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CA_Civil\142361007-CMP Eval Update 2022\Calcs\2022 Sumter County\"/>
    </mc:Choice>
  </mc:AlternateContent>
  <xr:revisionPtr revIDLastSave="0" documentId="8_{F04319D1-3D4D-4DBE-8003-E62C405AC603}" xr6:coauthVersionLast="47" xr6:coauthVersionMax="47" xr10:uidLastSave="{00000000-0000-0000-0000-000000000000}"/>
  <bookViews>
    <workbookView xWindow="-120" yWindow="-120" windowWidth="29040" windowHeight="15840" firstSheet="11" activeTab="11" xr2:uid="{ACD96FED-C3B1-44EE-B385-430271754C4A}"/>
  </bookViews>
  <sheets>
    <sheet name="2022 counts" sheetId="17" state="hidden" r:id="rId1"/>
    <sheet name="2022 Count Table" sheetId="19" state="hidden" r:id="rId2"/>
    <sheet name="2020_CapacityTable" sheetId="5" state="hidden" r:id="rId3"/>
    <sheet name="Cleanup TMS" sheetId="13" state="hidden" r:id="rId4"/>
    <sheet name="2021 Congestions" sheetId="25" state="hidden" r:id="rId5"/>
    <sheet name="21-22 Congestion Changes" sheetId="23" state="hidden" r:id="rId6"/>
    <sheet name="21-22ForReport" sheetId="24" state="hidden" r:id="rId7"/>
    <sheet name="SW&amp;BL" sheetId="22" state="hidden" r:id="rId8"/>
    <sheet name="2022 Sumter County GIS" sheetId="20" state="hidden" r:id="rId9"/>
    <sheet name="station changes (20-21)" sheetId="18" state="hidden" r:id="rId10"/>
    <sheet name="CSV-stations" sheetId="21" state="hidden" r:id="rId11"/>
    <sheet name="State of the System - Sumter Co" sheetId="16" r:id="rId12"/>
    <sheet name="2022 count comparison" sheetId="26" state="hidden" r:id="rId13"/>
  </sheets>
  <externalReferences>
    <externalReference r:id="rId14"/>
    <externalReference r:id="rId15"/>
    <externalReference r:id="rId16"/>
  </externalReferences>
  <definedNames>
    <definedName name="_BaseYear" localSheetId="3">#REF!</definedName>
    <definedName name="_BaseYear">#REF!</definedName>
    <definedName name="_ccExpDt">[1]ProjectDetail!$C$19</definedName>
    <definedName name="_ccIssDt">[1]ProjectDetail!$C$18</definedName>
    <definedName name="_ccNo">[1]ProjectDetail!$C$17</definedName>
    <definedName name="_CountyMinGR" localSheetId="3">#REF!</definedName>
    <definedName name="_CountyMinGR">#REF!</definedName>
    <definedName name="_devAddr">[1]ProjectDetail!$C$23</definedName>
    <definedName name="_devCity">[1]ProjectDetail!$C$24</definedName>
    <definedName name="_devEmail">[1]ProjectDetail!$C$26</definedName>
    <definedName name="_devName">[1]ProjectDetail!$C$22</definedName>
    <definedName name="_devPhone">[1]ProjectDetail!$C$25</definedName>
    <definedName name="_devSt">[1]ProjectDetail!$E$24</definedName>
    <definedName name="_devZip">[1]ProjectDetail!$G$24</definedName>
    <definedName name="_engAddr">[1]ProjectDetail!$C$30</definedName>
    <definedName name="_engCity">[1]ProjectDetail!$C$31</definedName>
    <definedName name="_engEmail">[1]ProjectDetail!$C$33</definedName>
    <definedName name="_engName">[1]ProjectDetail!$C$29</definedName>
    <definedName name="_engPhone">[1]ProjectDetail!$C$32</definedName>
    <definedName name="_engSt">[1]ProjectDetail!$E$31</definedName>
    <definedName name="_engZip">[1]ProjectDetail!$G$31</definedName>
    <definedName name="_xlnm._FilterDatabase" localSheetId="2" hidden="1">'2020_CapacityTable'!$B$22:$H$22</definedName>
    <definedName name="_xlnm._FilterDatabase" localSheetId="1" hidden="1">'2022 Count Table'!$A$5:$N$234</definedName>
    <definedName name="_xlnm._FilterDatabase" localSheetId="0" hidden="1">'2022 counts'!$C$5:$AN$357</definedName>
    <definedName name="_xlnm._FilterDatabase" localSheetId="8" hidden="1">'2022 Sumter County GIS'!$A$1:$J$260</definedName>
    <definedName name="_xlnm._FilterDatabase" localSheetId="5" hidden="1">'21-22 Congestion Changes'!$A$1:$N$260</definedName>
    <definedName name="_xlnm._FilterDatabase" localSheetId="3" hidden="1">'Cleanup TMS'!$A$1:$CZ$260</definedName>
    <definedName name="_xlnm._FilterDatabase" localSheetId="11" hidden="1">'State of the System - Sumter Co'!$A$1:$AK$260</definedName>
    <definedName name="_ForecastYearInt" localSheetId="3">#REF!</definedName>
    <definedName name="_ForecastYearInt">#REF!</definedName>
    <definedName name="_InputLoc" localSheetId="3">#REF!</definedName>
    <definedName name="_InputLoc">#REF!</definedName>
    <definedName name="_LastForecastYear" localSheetId="3">#REF!</definedName>
    <definedName name="_LastForecastYear">#REF!</definedName>
    <definedName name="_List_ProjTypes" localSheetId="3">#REF!</definedName>
    <definedName name="_List_ProjTypes">#REF!</definedName>
    <definedName name="_MinPctMsvInRoi">[1]_Setup!$F$14</definedName>
    <definedName name="_MinPctMsvOutROI">[1]_Setup!$G$14</definedName>
    <definedName name="_MinTripsInROI">[1]_Setup!$F$13</definedName>
    <definedName name="_MinTripsOutROI">[1]_Setup!$G$13</definedName>
    <definedName name="_MsvPct">[1]_Setup!$B$19</definedName>
    <definedName name="_NumForecastYEars" localSheetId="3">#REF!</definedName>
    <definedName name="_NumForecastYEars">#REF!</definedName>
    <definedName name="_projFolio">[1]ProjectDetail!$C$13</definedName>
    <definedName name="_projLoc">[1]ProjectDetail!$C$11</definedName>
    <definedName name="_projName">[1]ProjectDetail!$C$10</definedName>
    <definedName name="_projNo">[1]ProjectDetail!$C$8</definedName>
    <definedName name="_projNote">[1]ProjectDetail!$C$35</definedName>
    <definedName name="_projPin">[1]ProjectDetail!$C$12</definedName>
    <definedName name="_projTaz">[1]ProjectDetail!$C$14</definedName>
    <definedName name="_projType">[1]ProjectDetail!$C$9</definedName>
    <definedName name="_RunWizard" localSheetId="3">[1]_Setup!#REF!</definedName>
    <definedName name="_RunWizard">[1]_Setup!#REF!</definedName>
    <definedName name="_ScoFylYr_1">[2]_Setup!$B$6</definedName>
    <definedName name="_ScoFylYr_2">[2]_Setup!$C$6</definedName>
    <definedName name="_ScoFylYr_3">[2]_Setup!$D$6</definedName>
    <definedName name="_ScoFylYr_4">[2]_Setup!$E$6</definedName>
    <definedName name="_ScoFylYr_5">[1]_Setup!$F$6</definedName>
    <definedName name="_ScoFylYr_6">[1]_Setup!$G$6</definedName>
    <definedName name="Coord_Types">'[3]Control Panel'!$I$1:$I$3</definedName>
    <definedName name="CountDB">[3]Inventory!$AH$7:$CS$37</definedName>
    <definedName name="CountDB1">[3]Inventory!$AH$9:$CS$37</definedName>
    <definedName name="_xlnm.Database" localSheetId="3">#REF!</definedName>
    <definedName name="_xlnm.Database">#REF!</definedName>
    <definedName name="_xlnm.Print_Area" localSheetId="3">'Cleanup TMS'!$I$1:$AR$230</definedName>
    <definedName name="_xlnm.Print_Titles" localSheetId="1">'2022 Count Table'!$1:$5</definedName>
    <definedName name="_xlnm.Print_Titles" localSheetId="0">'2022 counts'!$1:$5</definedName>
    <definedName name="_xlnm.Print_Titles" localSheetId="3">'Cleanup TMS'!$1:$1</definedName>
    <definedName name="_xlnm.Print_Titles" localSheetId="11">'State of the System - Sumter Co'!$1:$1</definedName>
    <definedName name="RAW_DATA" localSheetId="3">#REF!</definedName>
    <definedName name="RAW_DATA">#REF!</definedName>
    <definedName name="Test" localSheetId="3">#REF!</definedName>
    <definedName name="Te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53" i="17" l="1"/>
  <c r="E7" i="23"/>
  <c r="AS270" i="13"/>
  <c r="M239" i="13"/>
  <c r="C17" i="20"/>
  <c r="C175" i="20"/>
  <c r="C184" i="20"/>
  <c r="C187" i="20"/>
  <c r="C255" i="20"/>
  <c r="M99" i="13"/>
  <c r="Q212" i="17"/>
  <c r="Q220" i="17"/>
  <c r="AC220" i="17"/>
  <c r="O220" i="17"/>
  <c r="U17" i="16"/>
  <c r="U175" i="16"/>
  <c r="U184" i="16"/>
  <c r="U187" i="16"/>
  <c r="U255" i="16"/>
  <c r="AB184" i="16"/>
  <c r="AB187" i="16"/>
  <c r="V17" i="16"/>
  <c r="V175" i="16"/>
  <c r="V184" i="16"/>
  <c r="V187" i="16"/>
  <c r="V255" i="16"/>
  <c r="M175" i="23" l="1"/>
  <c r="M184" i="23"/>
  <c r="M187" i="23"/>
  <c r="M255" i="23"/>
  <c r="I175" i="23"/>
  <c r="I184" i="23"/>
  <c r="I187" i="23"/>
  <c r="I255" i="23"/>
  <c r="F91" i="23"/>
  <c r="F163" i="23"/>
  <c r="F226" i="23"/>
  <c r="F227" i="23"/>
  <c r="F228" i="23"/>
  <c r="E2" i="23"/>
  <c r="B6" i="17" l="1"/>
  <c r="B7" i="17"/>
  <c r="B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72" i="17"/>
  <c r="B73" i="17"/>
  <c r="B74" i="17"/>
  <c r="B75" i="17"/>
  <c r="B76" i="17"/>
  <c r="B77" i="17"/>
  <c r="B78" i="17"/>
  <c r="B79" i="17"/>
  <c r="B80" i="17"/>
  <c r="B81" i="17"/>
  <c r="B82" i="17"/>
  <c r="B83" i="17"/>
  <c r="B84" i="17"/>
  <c r="B85" i="17"/>
  <c r="B86" i="17"/>
  <c r="B87" i="17"/>
  <c r="B88" i="17"/>
  <c r="B89" i="17"/>
  <c r="B90" i="17"/>
  <c r="B91" i="17"/>
  <c r="B92" i="17"/>
  <c r="B93" i="17"/>
  <c r="B94" i="17"/>
  <c r="B95" i="17"/>
  <c r="B96" i="17"/>
  <c r="B97" i="17"/>
  <c r="B98" i="17"/>
  <c r="B99" i="17"/>
  <c r="B100" i="17"/>
  <c r="B101" i="17"/>
  <c r="B102" i="17"/>
  <c r="B103" i="17"/>
  <c r="B104" i="17"/>
  <c r="B105" i="17"/>
  <c r="B106" i="17"/>
  <c r="B107" i="17"/>
  <c r="B108" i="17"/>
  <c r="B109" i="17"/>
  <c r="B110" i="17"/>
  <c r="B111" i="17"/>
  <c r="B112" i="17"/>
  <c r="B113" i="17"/>
  <c r="B114" i="17"/>
  <c r="B115" i="17"/>
  <c r="B116" i="17"/>
  <c r="B117" i="17"/>
  <c r="B118" i="17"/>
  <c r="B119" i="17"/>
  <c r="B120" i="17"/>
  <c r="B121" i="17"/>
  <c r="B122" i="17"/>
  <c r="B123" i="17"/>
  <c r="B124" i="17"/>
  <c r="B125" i="17"/>
  <c r="B126" i="17"/>
  <c r="B127" i="17"/>
  <c r="B128" i="17"/>
  <c r="B129" i="17"/>
  <c r="B131" i="17"/>
  <c r="B132" i="17"/>
  <c r="B133" i="17"/>
  <c r="B134" i="17"/>
  <c r="B135" i="17"/>
  <c r="B136" i="17"/>
  <c r="B137" i="17"/>
  <c r="B138" i="17"/>
  <c r="B139" i="17"/>
  <c r="B140" i="17"/>
  <c r="B141" i="17"/>
  <c r="B142" i="17"/>
  <c r="B143" i="17"/>
  <c r="B144" i="17"/>
  <c r="B145" i="17"/>
  <c r="B146" i="17"/>
  <c r="B147" i="17"/>
  <c r="B148" i="17"/>
  <c r="B150" i="17"/>
  <c r="B151" i="17"/>
  <c r="B152" i="17"/>
  <c r="B153" i="17"/>
  <c r="B154" i="17"/>
  <c r="B155" i="17"/>
  <c r="B156" i="17"/>
  <c r="B157" i="17"/>
  <c r="B158" i="17"/>
  <c r="B159" i="17"/>
  <c r="B160" i="17"/>
  <c r="B161" i="17"/>
  <c r="B162" i="17"/>
  <c r="B163" i="17"/>
  <c r="B164" i="17"/>
  <c r="B165" i="17"/>
  <c r="B166" i="17"/>
  <c r="B167" i="17"/>
  <c r="B168" i="17"/>
  <c r="B169" i="17"/>
  <c r="B170" i="17"/>
  <c r="B172" i="17"/>
  <c r="B173" i="17"/>
  <c r="B174" i="17"/>
  <c r="B175" i="17"/>
  <c r="B176" i="17"/>
  <c r="B177" i="17"/>
  <c r="B178" i="17"/>
  <c r="B179" i="17"/>
  <c r="B180" i="17"/>
  <c r="B181" i="17"/>
  <c r="B182" i="17"/>
  <c r="B183" i="17"/>
  <c r="B184" i="17"/>
  <c r="B185" i="17"/>
  <c r="B186" i="17"/>
  <c r="B187" i="17"/>
  <c r="B188" i="17"/>
  <c r="B189" i="17"/>
  <c r="B190" i="17"/>
  <c r="B191" i="17"/>
  <c r="B192" i="17"/>
  <c r="B193" i="17"/>
  <c r="B194" i="17"/>
  <c r="B195" i="17"/>
  <c r="B196" i="17"/>
  <c r="B197" i="17"/>
  <c r="B198" i="17"/>
  <c r="B199" i="17"/>
  <c r="B200" i="17"/>
  <c r="B201" i="17"/>
  <c r="B202" i="17"/>
  <c r="B203" i="17"/>
  <c r="B204" i="17"/>
  <c r="B205" i="17"/>
  <c r="B206" i="17"/>
  <c r="B207" i="17"/>
  <c r="B208" i="17"/>
  <c r="B209" i="17"/>
  <c r="B210" i="17"/>
  <c r="B211" i="17"/>
  <c r="B212" i="17"/>
  <c r="B213" i="17"/>
  <c r="B214" i="17"/>
  <c r="B215" i="17"/>
  <c r="B216" i="17"/>
  <c r="B217" i="17"/>
  <c r="B218" i="17"/>
  <c r="B219" i="17"/>
  <c r="B220" i="17"/>
  <c r="B221" i="17"/>
  <c r="B222" i="17"/>
  <c r="B223" i="17"/>
  <c r="B224" i="17"/>
  <c r="B225" i="17"/>
  <c r="B226" i="17"/>
  <c r="B227" i="17"/>
  <c r="B228" i="17"/>
  <c r="B229" i="17"/>
  <c r="B230" i="17"/>
  <c r="B231" i="17"/>
  <c r="B232" i="17"/>
  <c r="B233" i="17"/>
  <c r="B234" i="17"/>
  <c r="B235" i="17"/>
  <c r="B236" i="17"/>
  <c r="B237" i="17"/>
  <c r="B238" i="17"/>
  <c r="B239" i="17"/>
  <c r="B240" i="17"/>
  <c r="B241" i="17"/>
  <c r="B242" i="17"/>
  <c r="B243" i="17"/>
  <c r="B244" i="17"/>
  <c r="B245" i="17"/>
  <c r="B246" i="17"/>
  <c r="B262" i="17"/>
  <c r="B263" i="17"/>
  <c r="B264" i="17"/>
  <c r="B265" i="17"/>
  <c r="B266" i="17"/>
  <c r="B267" i="17"/>
  <c r="B268" i="17"/>
  <c r="B269" i="17"/>
  <c r="B270" i="17"/>
  <c r="B271" i="17"/>
  <c r="B272" i="17"/>
  <c r="B273" i="17"/>
  <c r="B274" i="17"/>
  <c r="B275" i="17"/>
  <c r="B276" i="17"/>
  <c r="B277" i="17"/>
  <c r="B278" i="17"/>
  <c r="B279" i="17"/>
  <c r="B280" i="17"/>
  <c r="B281" i="17"/>
  <c r="B282" i="17"/>
  <c r="B283" i="17"/>
  <c r="B284" i="17"/>
  <c r="B285" i="17"/>
  <c r="B286" i="17"/>
  <c r="B287" i="17"/>
  <c r="B288" i="17"/>
  <c r="B289" i="17"/>
  <c r="B290" i="17"/>
  <c r="B291" i="17"/>
  <c r="B292" i="17"/>
  <c r="B293" i="17"/>
  <c r="B294" i="17"/>
  <c r="B295" i="17"/>
  <c r="B296" i="17"/>
  <c r="B297" i="17"/>
  <c r="B298" i="17"/>
  <c r="B299" i="17"/>
  <c r="B300" i="17"/>
  <c r="B301" i="17"/>
  <c r="B302" i="17"/>
  <c r="B303" i="17"/>
  <c r="B304" i="17"/>
  <c r="R244" i="17"/>
  <c r="AC244" i="17"/>
  <c r="CI255" i="13" l="1"/>
  <c r="AJ255" i="16" s="1"/>
  <c r="CI17" i="13"/>
  <c r="CI175" i="13"/>
  <c r="A3" i="20"/>
  <c r="H3" i="20"/>
  <c r="I3" i="20"/>
  <c r="J3" i="20"/>
  <c r="A4" i="20"/>
  <c r="H4" i="20"/>
  <c r="I4" i="20"/>
  <c r="J4" i="20"/>
  <c r="A5" i="20"/>
  <c r="H5" i="20"/>
  <c r="I5" i="20"/>
  <c r="J5" i="20"/>
  <c r="A6" i="20"/>
  <c r="H6" i="20"/>
  <c r="I6" i="20"/>
  <c r="J6" i="20"/>
  <c r="A7" i="20"/>
  <c r="H7" i="20"/>
  <c r="I7" i="20"/>
  <c r="J7" i="20"/>
  <c r="A8" i="20"/>
  <c r="H8" i="20"/>
  <c r="I8" i="20"/>
  <c r="J8" i="20"/>
  <c r="A9" i="20"/>
  <c r="H9" i="20"/>
  <c r="I9" i="20"/>
  <c r="J9" i="20"/>
  <c r="A10" i="20"/>
  <c r="H10" i="20"/>
  <c r="I10" i="20"/>
  <c r="J10" i="20"/>
  <c r="A11" i="20"/>
  <c r="H11" i="20"/>
  <c r="I11" i="20"/>
  <c r="J11" i="20"/>
  <c r="A12" i="20"/>
  <c r="H12" i="20"/>
  <c r="I12" i="20"/>
  <c r="J12" i="20"/>
  <c r="A13" i="20"/>
  <c r="H13" i="20"/>
  <c r="I13" i="20"/>
  <c r="J13" i="20"/>
  <c r="A14" i="20"/>
  <c r="H14" i="20"/>
  <c r="I14" i="20"/>
  <c r="J14" i="20"/>
  <c r="A15" i="20"/>
  <c r="H15" i="20"/>
  <c r="I15" i="20"/>
  <c r="J15" i="20"/>
  <c r="A16" i="20"/>
  <c r="H16" i="20"/>
  <c r="I16" i="20"/>
  <c r="J16" i="20"/>
  <c r="A17" i="20"/>
  <c r="H17" i="20"/>
  <c r="I17" i="20"/>
  <c r="J17" i="20"/>
  <c r="A18" i="20"/>
  <c r="H18" i="20"/>
  <c r="I18" i="20"/>
  <c r="J18" i="20"/>
  <c r="A19" i="20"/>
  <c r="H19" i="20"/>
  <c r="I19" i="20"/>
  <c r="J19" i="20"/>
  <c r="A20" i="20"/>
  <c r="H20" i="20"/>
  <c r="I20" i="20"/>
  <c r="J20" i="20"/>
  <c r="A21" i="20"/>
  <c r="H21" i="20"/>
  <c r="I21" i="20"/>
  <c r="J21" i="20"/>
  <c r="A22" i="20"/>
  <c r="H22" i="20"/>
  <c r="I22" i="20"/>
  <c r="J22" i="20"/>
  <c r="A23" i="20"/>
  <c r="H23" i="20"/>
  <c r="I23" i="20"/>
  <c r="J23" i="20"/>
  <c r="A24" i="20"/>
  <c r="H24" i="20"/>
  <c r="I24" i="20"/>
  <c r="J24" i="20"/>
  <c r="A25" i="20"/>
  <c r="H25" i="20"/>
  <c r="I25" i="20"/>
  <c r="J25" i="20"/>
  <c r="A26" i="20"/>
  <c r="H26" i="20"/>
  <c r="I26" i="20"/>
  <c r="J26" i="20"/>
  <c r="A27" i="20"/>
  <c r="H27" i="20"/>
  <c r="I27" i="20"/>
  <c r="J27" i="20"/>
  <c r="A28" i="20"/>
  <c r="H28" i="20"/>
  <c r="I28" i="20"/>
  <c r="J28" i="20"/>
  <c r="A29" i="20"/>
  <c r="H29" i="20"/>
  <c r="I29" i="20"/>
  <c r="J29" i="20"/>
  <c r="A30" i="20"/>
  <c r="H30" i="20"/>
  <c r="I30" i="20"/>
  <c r="J30" i="20"/>
  <c r="A31" i="20"/>
  <c r="H31" i="20"/>
  <c r="I31" i="20"/>
  <c r="J31" i="20"/>
  <c r="A32" i="20"/>
  <c r="H32" i="20"/>
  <c r="I32" i="20"/>
  <c r="J32" i="20"/>
  <c r="A33" i="20"/>
  <c r="H33" i="20"/>
  <c r="I33" i="20"/>
  <c r="J33" i="20"/>
  <c r="A34" i="20"/>
  <c r="H34" i="20"/>
  <c r="I34" i="20"/>
  <c r="J34" i="20"/>
  <c r="A35" i="20"/>
  <c r="H35" i="20"/>
  <c r="I35" i="20"/>
  <c r="J35" i="20"/>
  <c r="A36" i="20"/>
  <c r="H36" i="20"/>
  <c r="I36" i="20"/>
  <c r="J36" i="20"/>
  <c r="A37" i="20"/>
  <c r="H37" i="20"/>
  <c r="I37" i="20"/>
  <c r="J37" i="20"/>
  <c r="A38" i="20"/>
  <c r="H38" i="20"/>
  <c r="I38" i="20"/>
  <c r="J38" i="20"/>
  <c r="A39" i="20"/>
  <c r="H39" i="20"/>
  <c r="I39" i="20"/>
  <c r="J39" i="20"/>
  <c r="A40" i="20"/>
  <c r="H40" i="20"/>
  <c r="I40" i="20"/>
  <c r="J40" i="20"/>
  <c r="A41" i="20"/>
  <c r="H41" i="20"/>
  <c r="I41" i="20"/>
  <c r="J41" i="20"/>
  <c r="A42" i="20"/>
  <c r="H42" i="20"/>
  <c r="I42" i="20"/>
  <c r="J42" i="20"/>
  <c r="A43" i="20"/>
  <c r="H43" i="20"/>
  <c r="I43" i="20"/>
  <c r="J43" i="20"/>
  <c r="A44" i="20"/>
  <c r="H44" i="20"/>
  <c r="I44" i="20"/>
  <c r="J44" i="20"/>
  <c r="A45" i="20"/>
  <c r="H45" i="20"/>
  <c r="I45" i="20"/>
  <c r="J45" i="20"/>
  <c r="A46" i="20"/>
  <c r="H46" i="20"/>
  <c r="I46" i="20"/>
  <c r="J46" i="20"/>
  <c r="A47" i="20"/>
  <c r="H47" i="20"/>
  <c r="I47" i="20"/>
  <c r="J47" i="20"/>
  <c r="A48" i="20"/>
  <c r="H48" i="20"/>
  <c r="I48" i="20"/>
  <c r="J48" i="20"/>
  <c r="A49" i="20"/>
  <c r="H49" i="20"/>
  <c r="I49" i="20"/>
  <c r="J49" i="20"/>
  <c r="A50" i="20"/>
  <c r="H50" i="20"/>
  <c r="I50" i="20"/>
  <c r="J50" i="20"/>
  <c r="A51" i="20"/>
  <c r="H51" i="20"/>
  <c r="I51" i="20"/>
  <c r="J51" i="20"/>
  <c r="A52" i="20"/>
  <c r="H52" i="20"/>
  <c r="I52" i="20"/>
  <c r="J52" i="20"/>
  <c r="A53" i="20"/>
  <c r="H53" i="20"/>
  <c r="I53" i="20"/>
  <c r="J53" i="20"/>
  <c r="A54" i="20"/>
  <c r="H54" i="20"/>
  <c r="I54" i="20"/>
  <c r="J54" i="20"/>
  <c r="A55" i="20"/>
  <c r="H55" i="20"/>
  <c r="I55" i="20"/>
  <c r="J55" i="20"/>
  <c r="A56" i="20"/>
  <c r="H56" i="20"/>
  <c r="I56" i="20"/>
  <c r="J56" i="20"/>
  <c r="A57" i="20"/>
  <c r="H57" i="20"/>
  <c r="I57" i="20"/>
  <c r="J57" i="20"/>
  <c r="A58" i="20"/>
  <c r="H58" i="20"/>
  <c r="I58" i="20"/>
  <c r="J58" i="20"/>
  <c r="A59" i="20"/>
  <c r="H59" i="20"/>
  <c r="I59" i="20"/>
  <c r="J59" i="20"/>
  <c r="A60" i="20"/>
  <c r="H60" i="20"/>
  <c r="I60" i="20"/>
  <c r="J60" i="20"/>
  <c r="A61" i="20"/>
  <c r="H61" i="20"/>
  <c r="I61" i="20"/>
  <c r="J61" i="20"/>
  <c r="A62" i="20"/>
  <c r="H62" i="20"/>
  <c r="I62" i="20"/>
  <c r="J62" i="20"/>
  <c r="A63" i="20"/>
  <c r="H63" i="20"/>
  <c r="I63" i="20"/>
  <c r="J63" i="20"/>
  <c r="A64" i="20"/>
  <c r="H64" i="20"/>
  <c r="I64" i="20"/>
  <c r="J64" i="20"/>
  <c r="A65" i="20"/>
  <c r="H65" i="20"/>
  <c r="I65" i="20"/>
  <c r="J65" i="20"/>
  <c r="A66" i="20"/>
  <c r="H66" i="20"/>
  <c r="I66" i="20"/>
  <c r="J66" i="20"/>
  <c r="A67" i="20"/>
  <c r="H67" i="20"/>
  <c r="I67" i="20"/>
  <c r="J67" i="20"/>
  <c r="A68" i="20"/>
  <c r="H68" i="20"/>
  <c r="I68" i="20"/>
  <c r="J68" i="20"/>
  <c r="A69" i="20"/>
  <c r="H69" i="20"/>
  <c r="I69" i="20"/>
  <c r="J69" i="20"/>
  <c r="A70" i="20"/>
  <c r="H70" i="20"/>
  <c r="I70" i="20"/>
  <c r="J70" i="20"/>
  <c r="A71" i="20"/>
  <c r="H71" i="20"/>
  <c r="I71" i="20"/>
  <c r="J71" i="20"/>
  <c r="A72" i="20"/>
  <c r="H72" i="20"/>
  <c r="I72" i="20"/>
  <c r="J72" i="20"/>
  <c r="A73" i="20"/>
  <c r="H73" i="20"/>
  <c r="I73" i="20"/>
  <c r="J73" i="20"/>
  <c r="A74" i="20"/>
  <c r="H74" i="20"/>
  <c r="I74" i="20"/>
  <c r="J74" i="20"/>
  <c r="A75" i="20"/>
  <c r="H75" i="20"/>
  <c r="I75" i="20"/>
  <c r="J75" i="20"/>
  <c r="A76" i="20"/>
  <c r="H76" i="20"/>
  <c r="I76" i="20"/>
  <c r="J76" i="20"/>
  <c r="A77" i="20"/>
  <c r="H77" i="20"/>
  <c r="I77" i="20"/>
  <c r="J77" i="20"/>
  <c r="A78" i="20"/>
  <c r="H78" i="20"/>
  <c r="I78" i="20"/>
  <c r="J78" i="20"/>
  <c r="A79" i="20"/>
  <c r="H79" i="20"/>
  <c r="I79" i="20"/>
  <c r="J79" i="20"/>
  <c r="A80" i="20"/>
  <c r="H80" i="20"/>
  <c r="I80" i="20"/>
  <c r="J80" i="20"/>
  <c r="A81" i="20"/>
  <c r="H81" i="20"/>
  <c r="I81" i="20"/>
  <c r="J81" i="20"/>
  <c r="A82" i="20"/>
  <c r="H82" i="20"/>
  <c r="I82" i="20"/>
  <c r="J82" i="20"/>
  <c r="A83" i="20"/>
  <c r="H83" i="20"/>
  <c r="I83" i="20"/>
  <c r="J83" i="20"/>
  <c r="A84" i="20"/>
  <c r="H84" i="20"/>
  <c r="I84" i="20"/>
  <c r="J84" i="20"/>
  <c r="A85" i="20"/>
  <c r="H85" i="20"/>
  <c r="I85" i="20"/>
  <c r="J85" i="20"/>
  <c r="A86" i="20"/>
  <c r="H86" i="20"/>
  <c r="I86" i="20"/>
  <c r="J86" i="20"/>
  <c r="A87" i="20"/>
  <c r="H87" i="20"/>
  <c r="I87" i="20"/>
  <c r="J87" i="20"/>
  <c r="A88" i="20"/>
  <c r="H88" i="20"/>
  <c r="I88" i="20"/>
  <c r="J88" i="20"/>
  <c r="A89" i="20"/>
  <c r="H89" i="20"/>
  <c r="I89" i="20"/>
  <c r="J89" i="20"/>
  <c r="A90" i="20"/>
  <c r="H90" i="20"/>
  <c r="I90" i="20"/>
  <c r="J90" i="20"/>
  <c r="A91" i="20"/>
  <c r="G91" i="20"/>
  <c r="H91" i="20"/>
  <c r="I91" i="20"/>
  <c r="J91" i="20"/>
  <c r="A92" i="20"/>
  <c r="H92" i="20"/>
  <c r="I92" i="20"/>
  <c r="J92" i="20"/>
  <c r="A93" i="20"/>
  <c r="H93" i="20"/>
  <c r="I93" i="20"/>
  <c r="J93" i="20"/>
  <c r="A94" i="20"/>
  <c r="H94" i="20"/>
  <c r="I94" i="20"/>
  <c r="J94" i="20"/>
  <c r="A95" i="20"/>
  <c r="H95" i="20"/>
  <c r="I95" i="20"/>
  <c r="J95" i="20"/>
  <c r="A96" i="20"/>
  <c r="H96" i="20"/>
  <c r="I96" i="20"/>
  <c r="J96" i="20"/>
  <c r="A97" i="20"/>
  <c r="H97" i="20"/>
  <c r="I97" i="20"/>
  <c r="J97" i="20"/>
  <c r="A98" i="20"/>
  <c r="H98" i="20"/>
  <c r="I98" i="20"/>
  <c r="J98" i="20"/>
  <c r="A99" i="20"/>
  <c r="H99" i="20"/>
  <c r="I99" i="20"/>
  <c r="J99" i="20"/>
  <c r="A100" i="20"/>
  <c r="H100" i="20"/>
  <c r="I100" i="20"/>
  <c r="J100" i="20"/>
  <c r="A101" i="20"/>
  <c r="H101" i="20"/>
  <c r="I101" i="20"/>
  <c r="J101" i="20"/>
  <c r="A102" i="20"/>
  <c r="H102" i="20"/>
  <c r="I102" i="20"/>
  <c r="J102" i="20"/>
  <c r="A103" i="20"/>
  <c r="H103" i="20"/>
  <c r="I103" i="20"/>
  <c r="J103" i="20"/>
  <c r="A104" i="20"/>
  <c r="H104" i="20"/>
  <c r="I104" i="20"/>
  <c r="J104" i="20"/>
  <c r="A105" i="20"/>
  <c r="H105" i="20"/>
  <c r="I105" i="20"/>
  <c r="J105" i="20"/>
  <c r="A106" i="20"/>
  <c r="H106" i="20"/>
  <c r="I106" i="20"/>
  <c r="J106" i="20"/>
  <c r="A107" i="20"/>
  <c r="H107" i="20"/>
  <c r="I107" i="20"/>
  <c r="J107" i="20"/>
  <c r="A108" i="20"/>
  <c r="H108" i="20"/>
  <c r="I108" i="20"/>
  <c r="J108" i="20"/>
  <c r="A109" i="20"/>
  <c r="H109" i="20"/>
  <c r="I109" i="20"/>
  <c r="J109" i="20"/>
  <c r="A110" i="20"/>
  <c r="H110" i="20"/>
  <c r="I110" i="20"/>
  <c r="J110" i="20"/>
  <c r="A111" i="20"/>
  <c r="H111" i="20"/>
  <c r="I111" i="20"/>
  <c r="J111" i="20"/>
  <c r="A112" i="20"/>
  <c r="H112" i="20"/>
  <c r="I112" i="20"/>
  <c r="J112" i="20"/>
  <c r="A113" i="20"/>
  <c r="H113" i="20"/>
  <c r="I113" i="20"/>
  <c r="J113" i="20"/>
  <c r="A114" i="20"/>
  <c r="H114" i="20"/>
  <c r="I114" i="20"/>
  <c r="J114" i="20"/>
  <c r="A115" i="20"/>
  <c r="H115" i="20"/>
  <c r="I115" i="20"/>
  <c r="J115" i="20"/>
  <c r="A116" i="20"/>
  <c r="H116" i="20"/>
  <c r="I116" i="20"/>
  <c r="J116" i="20"/>
  <c r="A117" i="20"/>
  <c r="H117" i="20"/>
  <c r="I117" i="20"/>
  <c r="J117" i="20"/>
  <c r="A118" i="20"/>
  <c r="H118" i="20"/>
  <c r="I118" i="20"/>
  <c r="J118" i="20"/>
  <c r="A119" i="20"/>
  <c r="H119" i="20"/>
  <c r="I119" i="20"/>
  <c r="J119" i="20"/>
  <c r="A120" i="20"/>
  <c r="H120" i="20"/>
  <c r="I120" i="20"/>
  <c r="J120" i="20"/>
  <c r="A121" i="20"/>
  <c r="H121" i="20"/>
  <c r="I121" i="20"/>
  <c r="J121" i="20"/>
  <c r="A122" i="20"/>
  <c r="H122" i="20"/>
  <c r="I122" i="20"/>
  <c r="J122" i="20"/>
  <c r="A123" i="20"/>
  <c r="H123" i="20"/>
  <c r="I123" i="20"/>
  <c r="J123" i="20"/>
  <c r="A124" i="20"/>
  <c r="H124" i="20"/>
  <c r="I124" i="20"/>
  <c r="J124" i="20"/>
  <c r="A125" i="20"/>
  <c r="H125" i="20"/>
  <c r="I125" i="20"/>
  <c r="J125" i="20"/>
  <c r="A126" i="20"/>
  <c r="H126" i="20"/>
  <c r="I126" i="20"/>
  <c r="J126" i="20"/>
  <c r="A127" i="20"/>
  <c r="H127" i="20"/>
  <c r="I127" i="20"/>
  <c r="J127" i="20"/>
  <c r="A128" i="20"/>
  <c r="H128" i="20"/>
  <c r="I128" i="20"/>
  <c r="J128" i="20"/>
  <c r="A129" i="20"/>
  <c r="H129" i="20"/>
  <c r="I129" i="20"/>
  <c r="J129" i="20"/>
  <c r="A130" i="20"/>
  <c r="H130" i="20"/>
  <c r="I130" i="20"/>
  <c r="J130" i="20"/>
  <c r="A131" i="20"/>
  <c r="H131" i="20"/>
  <c r="I131" i="20"/>
  <c r="J131" i="20"/>
  <c r="A132" i="20"/>
  <c r="H132" i="20"/>
  <c r="I132" i="20"/>
  <c r="J132" i="20"/>
  <c r="A133" i="20"/>
  <c r="H133" i="20"/>
  <c r="I133" i="20"/>
  <c r="J133" i="20"/>
  <c r="A134" i="20"/>
  <c r="H134" i="20"/>
  <c r="I134" i="20"/>
  <c r="J134" i="20"/>
  <c r="A135" i="20"/>
  <c r="H135" i="20"/>
  <c r="I135" i="20"/>
  <c r="J135" i="20"/>
  <c r="A136" i="20"/>
  <c r="H136" i="20"/>
  <c r="I136" i="20"/>
  <c r="J136" i="20"/>
  <c r="A137" i="20"/>
  <c r="H137" i="20"/>
  <c r="I137" i="20"/>
  <c r="J137" i="20"/>
  <c r="A138" i="20"/>
  <c r="H138" i="20"/>
  <c r="I138" i="20"/>
  <c r="J138" i="20"/>
  <c r="A139" i="20"/>
  <c r="H139" i="20"/>
  <c r="I139" i="20"/>
  <c r="J139" i="20"/>
  <c r="A140" i="20"/>
  <c r="H140" i="20"/>
  <c r="I140" i="20"/>
  <c r="J140" i="20"/>
  <c r="A141" i="20"/>
  <c r="H141" i="20"/>
  <c r="I141" i="20"/>
  <c r="J141" i="20"/>
  <c r="A142" i="20"/>
  <c r="H142" i="20"/>
  <c r="I142" i="20"/>
  <c r="J142" i="20"/>
  <c r="A143" i="20"/>
  <c r="H143" i="20"/>
  <c r="I143" i="20"/>
  <c r="J143" i="20"/>
  <c r="A144" i="20"/>
  <c r="H144" i="20"/>
  <c r="I144" i="20"/>
  <c r="J144" i="20"/>
  <c r="A145" i="20"/>
  <c r="H145" i="20"/>
  <c r="I145" i="20"/>
  <c r="J145" i="20"/>
  <c r="A146" i="20"/>
  <c r="H146" i="20"/>
  <c r="I146" i="20"/>
  <c r="J146" i="20"/>
  <c r="A147" i="20"/>
  <c r="H147" i="20"/>
  <c r="I147" i="20"/>
  <c r="J147" i="20"/>
  <c r="A148" i="20"/>
  <c r="H148" i="20"/>
  <c r="I148" i="20"/>
  <c r="J148" i="20"/>
  <c r="A149" i="20"/>
  <c r="H149" i="20"/>
  <c r="I149" i="20"/>
  <c r="J149" i="20"/>
  <c r="A150" i="20"/>
  <c r="H150" i="20"/>
  <c r="I150" i="20"/>
  <c r="J150" i="20"/>
  <c r="A151" i="20"/>
  <c r="H151" i="20"/>
  <c r="I151" i="20"/>
  <c r="J151" i="20"/>
  <c r="A152" i="20"/>
  <c r="H152" i="20"/>
  <c r="I152" i="20"/>
  <c r="J152" i="20"/>
  <c r="A153" i="20"/>
  <c r="H153" i="20"/>
  <c r="I153" i="20"/>
  <c r="J153" i="20"/>
  <c r="A154" i="20"/>
  <c r="H154" i="20"/>
  <c r="I154" i="20"/>
  <c r="J154" i="20"/>
  <c r="A155" i="20"/>
  <c r="H155" i="20"/>
  <c r="I155" i="20"/>
  <c r="J155" i="20"/>
  <c r="A156" i="20"/>
  <c r="H156" i="20"/>
  <c r="I156" i="20"/>
  <c r="J156" i="20"/>
  <c r="A157" i="20"/>
  <c r="H157" i="20"/>
  <c r="I157" i="20"/>
  <c r="J157" i="20"/>
  <c r="A158" i="20"/>
  <c r="H158" i="20"/>
  <c r="J158" i="20"/>
  <c r="A159" i="20"/>
  <c r="H159" i="20"/>
  <c r="I159" i="20"/>
  <c r="J159" i="20"/>
  <c r="A160" i="20"/>
  <c r="H160" i="20"/>
  <c r="I160" i="20"/>
  <c r="J160" i="20"/>
  <c r="A161" i="20"/>
  <c r="H161" i="20"/>
  <c r="I161" i="20"/>
  <c r="J161" i="20"/>
  <c r="A162" i="20"/>
  <c r="H162" i="20"/>
  <c r="I162" i="20"/>
  <c r="J162" i="20"/>
  <c r="A163" i="20"/>
  <c r="G163" i="20"/>
  <c r="H163" i="20"/>
  <c r="I163" i="20"/>
  <c r="J163" i="20"/>
  <c r="A164" i="20"/>
  <c r="H164" i="20"/>
  <c r="I164" i="20"/>
  <c r="J164" i="20"/>
  <c r="A165" i="20"/>
  <c r="H165" i="20"/>
  <c r="I165" i="20"/>
  <c r="J165" i="20"/>
  <c r="A166" i="20"/>
  <c r="H166" i="20"/>
  <c r="I166" i="20"/>
  <c r="J166" i="20"/>
  <c r="A167" i="20"/>
  <c r="H167" i="20"/>
  <c r="I167" i="20"/>
  <c r="J167" i="20"/>
  <c r="A168" i="20"/>
  <c r="H168" i="20"/>
  <c r="I168" i="20"/>
  <c r="J168" i="20"/>
  <c r="A169" i="20"/>
  <c r="H169" i="20"/>
  <c r="I169" i="20"/>
  <c r="J169" i="20"/>
  <c r="A170" i="20"/>
  <c r="H170" i="20"/>
  <c r="I170" i="20"/>
  <c r="J170" i="20"/>
  <c r="A171" i="20"/>
  <c r="H171" i="20"/>
  <c r="I171" i="20"/>
  <c r="J171" i="20"/>
  <c r="A172" i="20"/>
  <c r="H172" i="20"/>
  <c r="I172" i="20"/>
  <c r="J172" i="20"/>
  <c r="A173" i="20"/>
  <c r="H173" i="20"/>
  <c r="I173" i="20"/>
  <c r="J173" i="20"/>
  <c r="A174" i="20"/>
  <c r="H174" i="20"/>
  <c r="I174" i="20"/>
  <c r="J174" i="20"/>
  <c r="A175" i="20"/>
  <c r="H175" i="20"/>
  <c r="I175" i="20"/>
  <c r="J175" i="20"/>
  <c r="A176" i="20"/>
  <c r="H176" i="20"/>
  <c r="I176" i="20"/>
  <c r="J176" i="20"/>
  <c r="A177" i="20"/>
  <c r="H177" i="20"/>
  <c r="I177" i="20"/>
  <c r="J177" i="20"/>
  <c r="A178" i="20"/>
  <c r="H178" i="20"/>
  <c r="I178" i="20"/>
  <c r="J178" i="20"/>
  <c r="A179" i="20"/>
  <c r="H179" i="20"/>
  <c r="I179" i="20"/>
  <c r="J179" i="20"/>
  <c r="A180" i="20"/>
  <c r="H180" i="20"/>
  <c r="I180" i="20"/>
  <c r="J180" i="20"/>
  <c r="A181" i="20"/>
  <c r="H181" i="20"/>
  <c r="I181" i="20"/>
  <c r="J181" i="20"/>
  <c r="A182" i="20"/>
  <c r="H182" i="20"/>
  <c r="I182" i="20"/>
  <c r="J182" i="20"/>
  <c r="A183" i="20"/>
  <c r="H183" i="20"/>
  <c r="I183" i="20"/>
  <c r="J183" i="20"/>
  <c r="A184" i="20"/>
  <c r="H184" i="20"/>
  <c r="I184" i="20"/>
  <c r="J184" i="20"/>
  <c r="A185" i="20"/>
  <c r="H185" i="20"/>
  <c r="I185" i="20"/>
  <c r="J185" i="20"/>
  <c r="A186" i="20"/>
  <c r="H186" i="20"/>
  <c r="I186" i="20"/>
  <c r="J186" i="20"/>
  <c r="A187" i="20"/>
  <c r="H187" i="20"/>
  <c r="I187" i="20"/>
  <c r="J187" i="20"/>
  <c r="A188" i="20"/>
  <c r="H188" i="20"/>
  <c r="I188" i="20"/>
  <c r="J188" i="20"/>
  <c r="A189" i="20"/>
  <c r="H189" i="20"/>
  <c r="I189" i="20"/>
  <c r="J189" i="20"/>
  <c r="A190" i="20"/>
  <c r="H190" i="20"/>
  <c r="I190" i="20"/>
  <c r="J190" i="20"/>
  <c r="A191" i="20"/>
  <c r="H191" i="20"/>
  <c r="I191" i="20"/>
  <c r="J191" i="20"/>
  <c r="A192" i="20"/>
  <c r="H192" i="20"/>
  <c r="I192" i="20"/>
  <c r="J192" i="20"/>
  <c r="A193" i="20"/>
  <c r="H193" i="20"/>
  <c r="I193" i="20"/>
  <c r="J193" i="20"/>
  <c r="A194" i="20"/>
  <c r="H194" i="20"/>
  <c r="I194" i="20"/>
  <c r="J194" i="20"/>
  <c r="A195" i="20"/>
  <c r="H195" i="20"/>
  <c r="I195" i="20"/>
  <c r="J195" i="20"/>
  <c r="A196" i="20"/>
  <c r="H196" i="20"/>
  <c r="I196" i="20"/>
  <c r="J196" i="20"/>
  <c r="A197" i="20"/>
  <c r="H197" i="20"/>
  <c r="I197" i="20"/>
  <c r="J197" i="20"/>
  <c r="A198" i="20"/>
  <c r="H198" i="20"/>
  <c r="I198" i="20"/>
  <c r="J198" i="20"/>
  <c r="A199" i="20"/>
  <c r="H199" i="20"/>
  <c r="I199" i="20"/>
  <c r="J199" i="20"/>
  <c r="A200" i="20"/>
  <c r="H200" i="20"/>
  <c r="I200" i="20"/>
  <c r="J200" i="20"/>
  <c r="A201" i="20"/>
  <c r="H201" i="20"/>
  <c r="I201" i="20"/>
  <c r="J201" i="20"/>
  <c r="A202" i="20"/>
  <c r="H202" i="20"/>
  <c r="I202" i="20"/>
  <c r="J202" i="20"/>
  <c r="A203" i="20"/>
  <c r="H203" i="20"/>
  <c r="I203" i="20"/>
  <c r="J203" i="20"/>
  <c r="A204" i="20"/>
  <c r="H204" i="20"/>
  <c r="I204" i="20"/>
  <c r="J204" i="20"/>
  <c r="A205" i="20"/>
  <c r="H205" i="20"/>
  <c r="I205" i="20"/>
  <c r="J205" i="20"/>
  <c r="A206" i="20"/>
  <c r="H206" i="20"/>
  <c r="I206" i="20"/>
  <c r="J206" i="20"/>
  <c r="A207" i="20"/>
  <c r="F207" i="20"/>
  <c r="H207" i="20"/>
  <c r="I207" i="20"/>
  <c r="J207" i="20"/>
  <c r="A208" i="20"/>
  <c r="F208" i="20"/>
  <c r="H208" i="20"/>
  <c r="I208" i="20"/>
  <c r="J208" i="20"/>
  <c r="A209" i="20"/>
  <c r="F209" i="20"/>
  <c r="H209" i="20"/>
  <c r="I209" i="20"/>
  <c r="J209" i="20"/>
  <c r="A210" i="20"/>
  <c r="H210" i="20"/>
  <c r="I210" i="20"/>
  <c r="J210" i="20"/>
  <c r="A211" i="20"/>
  <c r="H211" i="20"/>
  <c r="I211" i="20"/>
  <c r="J211" i="20"/>
  <c r="A212" i="20"/>
  <c r="H212" i="20"/>
  <c r="I212" i="20"/>
  <c r="J212" i="20"/>
  <c r="A213" i="20"/>
  <c r="H213" i="20"/>
  <c r="I213" i="20"/>
  <c r="J213" i="20"/>
  <c r="A214" i="20"/>
  <c r="H214" i="20"/>
  <c r="I214" i="20"/>
  <c r="J214" i="20"/>
  <c r="A215" i="20"/>
  <c r="H215" i="20"/>
  <c r="I215" i="20"/>
  <c r="J215" i="20"/>
  <c r="A216" i="20"/>
  <c r="H216" i="20"/>
  <c r="I216" i="20"/>
  <c r="J216" i="20"/>
  <c r="A217" i="20"/>
  <c r="H217" i="20"/>
  <c r="I217" i="20"/>
  <c r="J217" i="20"/>
  <c r="A218" i="20"/>
  <c r="H218" i="20"/>
  <c r="I218" i="20"/>
  <c r="J218" i="20"/>
  <c r="A219" i="20"/>
  <c r="H219" i="20"/>
  <c r="I219" i="20"/>
  <c r="J219" i="20"/>
  <c r="A220" i="20"/>
  <c r="H220" i="20"/>
  <c r="I220" i="20"/>
  <c r="J220" i="20"/>
  <c r="A221" i="20"/>
  <c r="H221" i="20"/>
  <c r="I221" i="20"/>
  <c r="J221" i="20"/>
  <c r="A222" i="20"/>
  <c r="H222" i="20"/>
  <c r="I222" i="20"/>
  <c r="J222" i="20"/>
  <c r="A223" i="20"/>
  <c r="H223" i="20"/>
  <c r="I223" i="20"/>
  <c r="J223" i="20"/>
  <c r="A224" i="20"/>
  <c r="H224" i="20"/>
  <c r="I224" i="20"/>
  <c r="J224" i="20"/>
  <c r="A225" i="20"/>
  <c r="H225" i="20"/>
  <c r="I225" i="20"/>
  <c r="J225" i="20"/>
  <c r="A226" i="20"/>
  <c r="G226" i="20"/>
  <c r="H226" i="20"/>
  <c r="I226" i="20"/>
  <c r="J226" i="20"/>
  <c r="A227" i="20"/>
  <c r="G227" i="20"/>
  <c r="H227" i="20"/>
  <c r="I227" i="20"/>
  <c r="J227" i="20"/>
  <c r="A228" i="20"/>
  <c r="G228" i="20"/>
  <c r="H228" i="20"/>
  <c r="I228" i="20"/>
  <c r="J228" i="20"/>
  <c r="A229" i="20"/>
  <c r="H229" i="20"/>
  <c r="I229" i="20"/>
  <c r="J229" i="20"/>
  <c r="A230" i="20"/>
  <c r="H230" i="20"/>
  <c r="I230" i="20"/>
  <c r="J230" i="20"/>
  <c r="A231" i="20"/>
  <c r="H231" i="20"/>
  <c r="I231" i="20"/>
  <c r="J231" i="20"/>
  <c r="A232" i="20"/>
  <c r="H232" i="20"/>
  <c r="I232" i="20"/>
  <c r="J232" i="20"/>
  <c r="A233" i="20"/>
  <c r="H233" i="20"/>
  <c r="I233" i="20"/>
  <c r="J233" i="20"/>
  <c r="A234" i="20"/>
  <c r="H234" i="20"/>
  <c r="I234" i="20"/>
  <c r="J234" i="20"/>
  <c r="A235" i="20"/>
  <c r="H235" i="20"/>
  <c r="I235" i="20"/>
  <c r="J235" i="20"/>
  <c r="A236" i="20"/>
  <c r="H236" i="20"/>
  <c r="I236" i="20"/>
  <c r="J236" i="20"/>
  <c r="A237" i="20"/>
  <c r="H237" i="20"/>
  <c r="I237" i="20"/>
  <c r="J237" i="20"/>
  <c r="A238" i="20"/>
  <c r="H238" i="20"/>
  <c r="I238" i="20"/>
  <c r="J238" i="20"/>
  <c r="A239" i="20"/>
  <c r="H239" i="20"/>
  <c r="I239" i="20"/>
  <c r="J239" i="20"/>
  <c r="A240" i="20"/>
  <c r="H240" i="20"/>
  <c r="I240" i="20"/>
  <c r="J240" i="20"/>
  <c r="A241" i="20"/>
  <c r="H241" i="20"/>
  <c r="I241" i="20"/>
  <c r="J241" i="20"/>
  <c r="A242" i="20"/>
  <c r="H242" i="20"/>
  <c r="I242" i="20"/>
  <c r="J242" i="20"/>
  <c r="A243" i="20"/>
  <c r="H243" i="20"/>
  <c r="I243" i="20"/>
  <c r="J243" i="20"/>
  <c r="A244" i="20"/>
  <c r="H244" i="20"/>
  <c r="I244" i="20"/>
  <c r="J244" i="20"/>
  <c r="A245" i="20"/>
  <c r="H245" i="20"/>
  <c r="I245" i="20"/>
  <c r="J245" i="20"/>
  <c r="A246" i="20"/>
  <c r="H246" i="20"/>
  <c r="I246" i="20"/>
  <c r="J246" i="20"/>
  <c r="A247" i="20"/>
  <c r="H247" i="20"/>
  <c r="I247" i="20"/>
  <c r="J247" i="20"/>
  <c r="A248" i="20"/>
  <c r="H248" i="20"/>
  <c r="I248" i="20"/>
  <c r="J248" i="20"/>
  <c r="A249" i="20"/>
  <c r="H249" i="20"/>
  <c r="I249" i="20"/>
  <c r="J249" i="20"/>
  <c r="A250" i="20"/>
  <c r="H250" i="20"/>
  <c r="I250" i="20"/>
  <c r="J250" i="20"/>
  <c r="A251" i="20"/>
  <c r="H251" i="20"/>
  <c r="I251" i="20"/>
  <c r="J251" i="20"/>
  <c r="A252" i="20"/>
  <c r="H252" i="20"/>
  <c r="I252" i="20"/>
  <c r="J252" i="20"/>
  <c r="A253" i="20"/>
  <c r="H253" i="20"/>
  <c r="I253" i="20"/>
  <c r="J253" i="20"/>
  <c r="A254" i="20"/>
  <c r="H254" i="20"/>
  <c r="I254" i="20"/>
  <c r="J254" i="20"/>
  <c r="A255" i="20"/>
  <c r="H255" i="20"/>
  <c r="I255" i="20"/>
  <c r="J255" i="20"/>
  <c r="A256" i="20"/>
  <c r="H256" i="20"/>
  <c r="I256" i="20"/>
  <c r="J256" i="20"/>
  <c r="A257" i="20"/>
  <c r="H257" i="20"/>
  <c r="I257" i="20"/>
  <c r="J257" i="20"/>
  <c r="A258" i="20"/>
  <c r="H258" i="20"/>
  <c r="I258" i="20"/>
  <c r="J258" i="20"/>
  <c r="A259" i="20"/>
  <c r="H259" i="20"/>
  <c r="I259" i="20"/>
  <c r="J259" i="20"/>
  <c r="A260" i="20"/>
  <c r="H260" i="20"/>
  <c r="I260" i="20"/>
  <c r="J260" i="20"/>
  <c r="J2" i="20"/>
  <c r="I2" i="20"/>
  <c r="H2" i="20"/>
  <c r="A2" i="20"/>
  <c r="BN239" i="13"/>
  <c r="BM239" i="13"/>
  <c r="BN158" i="13"/>
  <c r="BM158" i="13"/>
  <c r="R19" i="17" l="1"/>
  <c r="AO19" i="17" s="1"/>
  <c r="BH17" i="13"/>
  <c r="BH255" i="13"/>
  <c r="R258" i="17"/>
  <c r="AP258" i="17" s="1"/>
  <c r="R259" i="17"/>
  <c r="R260" i="17"/>
  <c r="R257" i="17"/>
  <c r="R255" i="17"/>
  <c r="R247" i="17"/>
  <c r="AO247" i="17" s="1"/>
  <c r="R248" i="17"/>
  <c r="R249" i="17"/>
  <c r="R251" i="17"/>
  <c r="R252" i="17"/>
  <c r="R253" i="17"/>
  <c r="AO253" i="17" s="1"/>
  <c r="R254" i="17"/>
  <c r="Q247" i="17"/>
  <c r="Q246" i="17"/>
  <c r="R246" i="17"/>
  <c r="AP246" i="17" s="1"/>
  <c r="Q245" i="17"/>
  <c r="R245" i="17" s="1"/>
  <c r="Q244" i="17"/>
  <c r="Q243" i="17"/>
  <c r="R243" i="17"/>
  <c r="AP243" i="17" s="1"/>
  <c r="Q242" i="17"/>
  <c r="M242" i="17"/>
  <c r="Q241" i="17"/>
  <c r="R241" i="17" s="1"/>
  <c r="O242" i="17"/>
  <c r="P241" i="17"/>
  <c r="S211" i="17"/>
  <c r="AO211" i="17"/>
  <c r="AD240" i="17"/>
  <c r="AC240" i="17"/>
  <c r="AD238" i="17"/>
  <c r="AD237" i="17"/>
  <c r="AC237" i="17"/>
  <c r="AD236" i="17"/>
  <c r="AC236" i="17"/>
  <c r="AD235" i="17"/>
  <c r="AC235" i="17"/>
  <c r="AD233" i="17"/>
  <c r="AC233" i="17"/>
  <c r="AD232" i="17"/>
  <c r="AC232" i="17"/>
  <c r="AD231" i="17"/>
  <c r="AC231" i="17"/>
  <c r="AD230" i="17"/>
  <c r="AC230" i="17"/>
  <c r="AD229" i="17"/>
  <c r="AC229" i="17"/>
  <c r="AD228" i="17"/>
  <c r="AC228" i="17"/>
  <c r="AD227" i="17"/>
  <c r="AD224" i="17"/>
  <c r="AC227" i="17"/>
  <c r="AD226" i="17"/>
  <c r="AC226" i="17"/>
  <c r="AD225" i="17"/>
  <c r="AC225" i="17"/>
  <c r="AC224" i="17"/>
  <c r="AD223" i="17"/>
  <c r="AC223" i="17"/>
  <c r="AD222" i="17"/>
  <c r="AC222" i="17"/>
  <c r="AD221" i="17"/>
  <c r="AC221" i="17"/>
  <c r="AD219" i="17"/>
  <c r="AC219" i="17"/>
  <c r="AD217" i="17"/>
  <c r="AC217" i="17"/>
  <c r="AD216" i="17"/>
  <c r="AC216" i="17"/>
  <c r="AD214" i="17"/>
  <c r="AC214" i="17"/>
  <c r="AD213" i="17"/>
  <c r="AC213" i="17"/>
  <c r="AD211" i="17"/>
  <c r="AC211" i="17"/>
  <c r="AD209" i="17"/>
  <c r="AC209" i="17"/>
  <c r="AD208" i="17"/>
  <c r="AC208" i="17"/>
  <c r="AD207" i="17"/>
  <c r="AC207" i="17"/>
  <c r="AD205" i="17"/>
  <c r="AC205" i="17"/>
  <c r="AD204" i="17"/>
  <c r="AC204" i="17"/>
  <c r="AD203" i="17"/>
  <c r="AC203" i="17"/>
  <c r="AD202" i="17"/>
  <c r="AC202" i="17"/>
  <c r="AD198" i="17"/>
  <c r="AC198" i="17"/>
  <c r="AD196" i="17"/>
  <c r="AC196" i="17"/>
  <c r="AD194" i="17"/>
  <c r="AC194" i="17"/>
  <c r="AD192" i="17"/>
  <c r="AC192" i="17"/>
  <c r="AD190" i="17"/>
  <c r="AC190" i="17"/>
  <c r="AD187" i="17"/>
  <c r="AC187" i="17"/>
  <c r="AD186" i="17"/>
  <c r="AC186" i="17"/>
  <c r="AD185" i="17"/>
  <c r="AC185" i="17"/>
  <c r="AD184" i="17"/>
  <c r="AC184" i="17"/>
  <c r="R185" i="17"/>
  <c r="S185" i="17" s="1"/>
  <c r="T185" i="17" s="1"/>
  <c r="R184" i="17"/>
  <c r="S184" i="17" s="1"/>
  <c r="T184" i="17" s="1"/>
  <c r="AB184" i="17"/>
  <c r="R186" i="17"/>
  <c r="R187" i="17"/>
  <c r="R188" i="17"/>
  <c r="AP188" i="17" s="1"/>
  <c r="R189" i="17"/>
  <c r="AD189" i="17" s="1"/>
  <c r="R190" i="17"/>
  <c r="R191" i="17"/>
  <c r="AD191" i="17" s="1"/>
  <c r="R192" i="17"/>
  <c r="R193" i="17"/>
  <c r="AP193" i="17" s="1"/>
  <c r="R194" i="17"/>
  <c r="S194" i="17" s="1"/>
  <c r="T194" i="17" s="1"/>
  <c r="R195" i="17"/>
  <c r="AO195" i="17" s="1"/>
  <c r="R196" i="17"/>
  <c r="AO196" i="17" s="1"/>
  <c r="R197" i="17"/>
  <c r="AC197" i="17" s="1"/>
  <c r="R198" i="17"/>
  <c r="R199" i="17"/>
  <c r="AC199" i="17" s="1"/>
  <c r="R200" i="17"/>
  <c r="AD200" i="17" s="1"/>
  <c r="R201" i="17"/>
  <c r="AD201" i="17" s="1"/>
  <c r="R202" i="17"/>
  <c r="R203" i="17"/>
  <c r="R204" i="17"/>
  <c r="R205" i="17"/>
  <c r="S205" i="17" s="1"/>
  <c r="T205" i="17" s="1"/>
  <c r="R206" i="17"/>
  <c r="AP206" i="17" s="1"/>
  <c r="R207" i="17"/>
  <c r="AO207" i="17" s="1"/>
  <c r="R208" i="17"/>
  <c r="AO208" i="17" s="1"/>
  <c r="R209" i="17"/>
  <c r="R210" i="17"/>
  <c r="R213" i="17"/>
  <c r="R214" i="17"/>
  <c r="R215" i="17"/>
  <c r="AD215" i="17" s="1"/>
  <c r="R216" i="17"/>
  <c r="R217" i="17"/>
  <c r="S217" i="17" s="1"/>
  <c r="T217" i="17" s="1"/>
  <c r="R218" i="17"/>
  <c r="S218" i="17" s="1"/>
  <c r="T218" i="17" s="1"/>
  <c r="R219" i="17"/>
  <c r="AO219" i="17" s="1"/>
  <c r="R221" i="17"/>
  <c r="R222" i="17"/>
  <c r="R223" i="17"/>
  <c r="R224" i="17"/>
  <c r="R225" i="17"/>
  <c r="R226" i="17"/>
  <c r="R227" i="17"/>
  <c r="R229" i="17"/>
  <c r="S229" i="17" s="1"/>
  <c r="T229" i="17" s="1"/>
  <c r="R230" i="17"/>
  <c r="AP230" i="17" s="1"/>
  <c r="R231" i="17"/>
  <c r="AO231" i="17" s="1"/>
  <c r="R233" i="17"/>
  <c r="R234" i="17"/>
  <c r="AD234" i="17" s="1"/>
  <c r="R235" i="17"/>
  <c r="AP235" i="17" s="1"/>
  <c r="R236" i="17"/>
  <c r="R237" i="17"/>
  <c r="R238" i="17"/>
  <c r="AF7" i="17"/>
  <c r="AF8" i="17"/>
  <c r="AF9" i="17"/>
  <c r="AF10" i="17"/>
  <c r="AF11" i="17"/>
  <c r="AF12" i="17"/>
  <c r="AF13" i="17"/>
  <c r="AF14" i="17"/>
  <c r="AF15" i="17"/>
  <c r="AF16" i="17"/>
  <c r="AF17" i="17"/>
  <c r="AF18" i="17"/>
  <c r="AF19" i="17"/>
  <c r="AF20" i="17"/>
  <c r="AF21" i="17"/>
  <c r="AF22" i="17"/>
  <c r="AF23" i="17"/>
  <c r="AF24" i="17"/>
  <c r="AF25" i="17"/>
  <c r="AF26" i="17"/>
  <c r="AF27" i="17"/>
  <c r="AF28" i="17"/>
  <c r="AF29" i="17"/>
  <c r="AF30" i="17"/>
  <c r="AF31" i="17"/>
  <c r="AF32" i="17"/>
  <c r="AF33" i="17"/>
  <c r="AF34" i="17"/>
  <c r="AF35" i="17"/>
  <c r="AF36" i="17"/>
  <c r="AF37" i="17"/>
  <c r="AF38" i="17"/>
  <c r="AF39" i="17"/>
  <c r="AF40" i="17"/>
  <c r="AF41" i="17"/>
  <c r="AF42" i="17"/>
  <c r="AF43" i="17"/>
  <c r="AF44" i="17"/>
  <c r="AF45" i="17"/>
  <c r="AF46" i="17"/>
  <c r="AF47" i="17"/>
  <c r="AF48" i="17"/>
  <c r="AF49" i="17"/>
  <c r="AF50" i="17"/>
  <c r="AF51" i="17"/>
  <c r="AF52" i="17"/>
  <c r="AF53" i="17"/>
  <c r="AF54" i="17"/>
  <c r="AF55" i="17"/>
  <c r="AF56" i="17"/>
  <c r="AF57" i="17"/>
  <c r="AF58" i="17"/>
  <c r="AF59" i="17"/>
  <c r="AF60" i="17"/>
  <c r="AF61" i="17"/>
  <c r="AF62" i="17"/>
  <c r="AF63" i="17"/>
  <c r="AF64" i="17"/>
  <c r="AF65" i="17"/>
  <c r="AF66" i="17"/>
  <c r="AF67" i="17"/>
  <c r="AF68" i="17"/>
  <c r="AF69" i="17"/>
  <c r="AF70" i="17"/>
  <c r="AF71" i="17"/>
  <c r="AF72" i="17"/>
  <c r="AF73" i="17"/>
  <c r="AF74" i="17"/>
  <c r="AF75" i="17"/>
  <c r="AF76" i="17"/>
  <c r="AF77" i="17"/>
  <c r="AF78" i="17"/>
  <c r="AF79" i="17"/>
  <c r="AF80" i="17"/>
  <c r="AF81" i="17"/>
  <c r="AF82" i="17"/>
  <c r="AF83" i="17"/>
  <c r="AF84" i="17"/>
  <c r="AF85" i="17"/>
  <c r="AF86" i="17"/>
  <c r="AF87" i="17"/>
  <c r="AF88" i="17"/>
  <c r="AF89" i="17"/>
  <c r="AF90" i="17"/>
  <c r="AF91" i="17"/>
  <c r="AF92" i="17"/>
  <c r="AF93" i="17"/>
  <c r="AF94" i="17"/>
  <c r="AF95" i="17"/>
  <c r="AF96" i="17"/>
  <c r="AF97" i="17"/>
  <c r="AF98" i="17"/>
  <c r="AF99" i="17"/>
  <c r="AF100" i="17"/>
  <c r="AF101" i="17"/>
  <c r="AF102" i="17"/>
  <c r="AF103" i="17"/>
  <c r="AF104" i="17"/>
  <c r="AF105" i="17"/>
  <c r="AF106" i="17"/>
  <c r="AF107" i="17"/>
  <c r="AF108" i="17"/>
  <c r="AF109" i="17"/>
  <c r="AF110" i="17"/>
  <c r="AF111" i="17"/>
  <c r="AF112" i="17"/>
  <c r="AF113" i="17"/>
  <c r="AF114" i="17"/>
  <c r="AF115" i="17"/>
  <c r="AF116" i="17"/>
  <c r="AF117" i="17"/>
  <c r="AF118" i="17"/>
  <c r="AF119" i="17"/>
  <c r="AF120" i="17"/>
  <c r="AF121" i="17"/>
  <c r="AF122" i="17"/>
  <c r="AF123" i="17"/>
  <c r="AF124" i="17"/>
  <c r="AF125" i="17"/>
  <c r="AF126" i="17"/>
  <c r="AF127" i="17"/>
  <c r="AF128" i="17"/>
  <c r="AF129" i="17"/>
  <c r="AF130" i="17"/>
  <c r="AF131" i="17"/>
  <c r="AF132" i="17"/>
  <c r="AF133" i="17"/>
  <c r="AF134" i="17"/>
  <c r="AF135" i="17"/>
  <c r="AF136" i="17"/>
  <c r="AF137" i="17"/>
  <c r="AF138" i="17"/>
  <c r="AF139" i="17"/>
  <c r="AF140" i="17"/>
  <c r="AF141" i="17"/>
  <c r="AF142" i="17"/>
  <c r="AF143" i="17"/>
  <c r="AF144" i="17"/>
  <c r="AF145" i="17"/>
  <c r="AF146" i="17"/>
  <c r="AF147" i="17"/>
  <c r="AF148" i="17"/>
  <c r="AF149" i="17"/>
  <c r="AF150" i="17"/>
  <c r="AF151" i="17"/>
  <c r="AF152" i="17"/>
  <c r="AF153" i="17"/>
  <c r="AF154" i="17"/>
  <c r="AF155" i="17"/>
  <c r="AF156" i="17"/>
  <c r="AF157" i="17"/>
  <c r="AF158" i="17"/>
  <c r="AF159" i="17"/>
  <c r="AF160" i="17"/>
  <c r="AF161" i="17"/>
  <c r="AF162" i="17"/>
  <c r="AF163" i="17"/>
  <c r="AF164" i="17"/>
  <c r="AF165" i="17"/>
  <c r="AF166" i="17"/>
  <c r="AF167" i="17"/>
  <c r="AF168" i="17"/>
  <c r="AF169" i="17"/>
  <c r="AF170" i="17"/>
  <c r="AF171" i="17"/>
  <c r="AF172" i="17"/>
  <c r="AF173" i="17"/>
  <c r="AF174" i="17"/>
  <c r="AF175" i="17"/>
  <c r="AF176" i="17"/>
  <c r="AF177" i="17"/>
  <c r="AF178" i="17"/>
  <c r="AF179" i="17"/>
  <c r="AF180" i="17"/>
  <c r="AF181" i="17"/>
  <c r="AF182" i="17"/>
  <c r="AF183" i="17"/>
  <c r="AF6" i="17"/>
  <c r="AE7" i="17"/>
  <c r="AE8" i="17"/>
  <c r="AE9" i="17"/>
  <c r="AE10" i="17"/>
  <c r="AE11" i="17"/>
  <c r="AE12" i="17"/>
  <c r="AE13" i="17"/>
  <c r="AE14" i="17"/>
  <c r="AE15" i="17"/>
  <c r="AE16" i="17"/>
  <c r="AE17" i="17"/>
  <c r="AE18" i="17"/>
  <c r="AE19" i="17"/>
  <c r="AE20" i="17"/>
  <c r="AE21" i="17"/>
  <c r="AE22" i="17"/>
  <c r="AE23" i="17"/>
  <c r="AE24" i="17"/>
  <c r="AE25" i="17"/>
  <c r="AE26" i="17"/>
  <c r="AE27" i="17"/>
  <c r="AE28" i="17"/>
  <c r="AE29" i="17"/>
  <c r="AE30" i="17"/>
  <c r="AE31" i="17"/>
  <c r="AE32" i="17"/>
  <c r="AE33" i="17"/>
  <c r="AE34" i="17"/>
  <c r="AE35" i="17"/>
  <c r="AE36" i="17"/>
  <c r="AE37" i="17"/>
  <c r="AE38" i="17"/>
  <c r="AE39" i="17"/>
  <c r="AE40" i="17"/>
  <c r="AE41" i="17"/>
  <c r="AE42" i="17"/>
  <c r="AE43" i="17"/>
  <c r="AE44" i="17"/>
  <c r="AE45" i="17"/>
  <c r="AE46" i="17"/>
  <c r="AE47" i="17"/>
  <c r="AE48" i="17"/>
  <c r="AE49" i="17"/>
  <c r="AE50" i="17"/>
  <c r="AE51" i="17"/>
  <c r="AE52" i="17"/>
  <c r="AE53" i="17"/>
  <c r="AE54" i="17"/>
  <c r="AE55" i="17"/>
  <c r="AE56" i="17"/>
  <c r="AE57" i="17"/>
  <c r="AE58" i="17"/>
  <c r="AE59" i="17"/>
  <c r="AE60" i="17"/>
  <c r="AE61" i="17"/>
  <c r="AE62" i="17"/>
  <c r="AE63" i="17"/>
  <c r="AE64" i="17"/>
  <c r="AE65" i="17"/>
  <c r="AE66" i="17"/>
  <c r="AE67" i="17"/>
  <c r="AE68" i="17"/>
  <c r="AE69" i="17"/>
  <c r="AE70" i="17"/>
  <c r="AE71" i="17"/>
  <c r="AE72" i="17"/>
  <c r="AE73" i="17"/>
  <c r="AE74" i="17"/>
  <c r="AE75" i="17"/>
  <c r="AE76" i="17"/>
  <c r="AE77" i="17"/>
  <c r="AE78" i="17"/>
  <c r="AE79" i="17"/>
  <c r="AE80" i="17"/>
  <c r="AE81" i="17"/>
  <c r="AE82" i="17"/>
  <c r="AE83" i="17"/>
  <c r="AE84" i="17"/>
  <c r="AE85" i="17"/>
  <c r="AE86" i="17"/>
  <c r="AE87" i="17"/>
  <c r="AE88" i="17"/>
  <c r="AE89" i="17"/>
  <c r="AE90" i="17"/>
  <c r="AE91" i="17"/>
  <c r="AE92" i="17"/>
  <c r="AE93" i="17"/>
  <c r="AE94" i="17"/>
  <c r="AE95" i="17"/>
  <c r="AE96" i="17"/>
  <c r="AE97" i="17"/>
  <c r="AE98" i="17"/>
  <c r="AE99" i="17"/>
  <c r="AE100" i="17"/>
  <c r="AE101" i="17"/>
  <c r="AE102" i="17"/>
  <c r="AE103" i="17"/>
  <c r="AE104" i="17"/>
  <c r="AE105" i="17"/>
  <c r="AE106" i="17"/>
  <c r="AE107" i="17"/>
  <c r="AE108" i="17"/>
  <c r="AE109" i="17"/>
  <c r="AE110" i="17"/>
  <c r="AE111" i="17"/>
  <c r="AE112" i="17"/>
  <c r="AE113" i="17"/>
  <c r="AE114" i="17"/>
  <c r="AE115" i="17"/>
  <c r="AE116" i="17"/>
  <c r="AE117" i="17"/>
  <c r="AE118" i="17"/>
  <c r="AE119" i="17"/>
  <c r="AE120" i="17"/>
  <c r="AE121" i="17"/>
  <c r="AE122" i="17"/>
  <c r="AE123" i="17"/>
  <c r="AE124" i="17"/>
  <c r="AE125" i="17"/>
  <c r="AE126" i="17"/>
  <c r="AE127" i="17"/>
  <c r="AE128" i="17"/>
  <c r="AE129" i="17"/>
  <c r="AE130" i="17"/>
  <c r="AE131" i="17"/>
  <c r="AE132" i="17"/>
  <c r="AE133" i="17"/>
  <c r="AE134" i="17"/>
  <c r="AE135" i="17"/>
  <c r="AE136" i="17"/>
  <c r="AE137" i="17"/>
  <c r="AE138" i="17"/>
  <c r="AE139" i="17"/>
  <c r="AE140" i="17"/>
  <c r="AE141" i="17"/>
  <c r="AE142" i="17"/>
  <c r="AE143" i="17"/>
  <c r="AE144" i="17"/>
  <c r="AE145" i="17"/>
  <c r="AE146" i="17"/>
  <c r="AE147" i="17"/>
  <c r="AE148" i="17"/>
  <c r="AE149" i="17"/>
  <c r="AE150" i="17"/>
  <c r="AE151" i="17"/>
  <c r="AE152" i="17"/>
  <c r="AE153" i="17"/>
  <c r="AE154" i="17"/>
  <c r="AE155" i="17"/>
  <c r="AE156" i="17"/>
  <c r="AE157" i="17"/>
  <c r="AE158" i="17"/>
  <c r="AE159" i="17"/>
  <c r="AE160" i="17"/>
  <c r="AE161" i="17"/>
  <c r="AE162" i="17"/>
  <c r="AE163" i="17"/>
  <c r="AE164" i="17"/>
  <c r="AE165" i="17"/>
  <c r="AE166" i="17"/>
  <c r="AE167" i="17"/>
  <c r="AE168" i="17"/>
  <c r="AE169" i="17"/>
  <c r="AE170" i="17"/>
  <c r="AE171" i="17"/>
  <c r="AE172" i="17"/>
  <c r="AE173" i="17"/>
  <c r="AE174" i="17"/>
  <c r="AE175" i="17"/>
  <c r="AE176" i="17"/>
  <c r="AE177" i="17"/>
  <c r="AE178" i="17"/>
  <c r="AE179" i="17"/>
  <c r="AE180" i="17"/>
  <c r="AE181" i="17"/>
  <c r="AE182" i="17"/>
  <c r="AE183" i="17"/>
  <c r="AE6" i="17"/>
  <c r="AD7" i="17"/>
  <c r="AD8" i="17"/>
  <c r="AD9" i="17"/>
  <c r="AD10" i="17"/>
  <c r="AD11" i="17"/>
  <c r="AD12" i="17"/>
  <c r="AD13" i="17"/>
  <c r="AD14" i="17"/>
  <c r="AD15" i="17"/>
  <c r="AD16" i="17"/>
  <c r="AD17" i="17"/>
  <c r="AD18" i="17"/>
  <c r="AD19" i="17"/>
  <c r="AD20" i="17"/>
  <c r="AD21" i="17"/>
  <c r="AD22" i="17"/>
  <c r="AD23" i="17"/>
  <c r="AD24" i="17"/>
  <c r="AD25" i="17"/>
  <c r="AD26" i="17"/>
  <c r="AD27" i="17"/>
  <c r="AD28" i="17"/>
  <c r="AD29" i="17"/>
  <c r="AD30" i="17"/>
  <c r="AD31" i="17"/>
  <c r="AD32" i="17"/>
  <c r="AD33" i="17"/>
  <c r="AD34" i="17"/>
  <c r="AD35" i="17"/>
  <c r="AD36" i="17"/>
  <c r="AD37" i="17"/>
  <c r="AD38" i="17"/>
  <c r="AD39" i="17"/>
  <c r="AD40" i="17"/>
  <c r="AD41" i="17"/>
  <c r="AD42" i="17"/>
  <c r="AD43" i="17"/>
  <c r="AD44" i="17"/>
  <c r="AD45" i="17"/>
  <c r="AD46" i="17"/>
  <c r="AD47" i="17"/>
  <c r="AD48" i="17"/>
  <c r="AD49" i="17"/>
  <c r="AD50" i="17"/>
  <c r="AD51" i="17"/>
  <c r="AD52" i="17"/>
  <c r="AD53" i="17"/>
  <c r="AD54" i="17"/>
  <c r="AD55" i="17"/>
  <c r="AD56" i="17"/>
  <c r="AD57" i="17"/>
  <c r="AD58" i="17"/>
  <c r="AD59" i="17"/>
  <c r="AD60" i="17"/>
  <c r="AD61" i="17"/>
  <c r="AD62" i="17"/>
  <c r="AD63" i="17"/>
  <c r="AD64" i="17"/>
  <c r="AD65" i="17"/>
  <c r="AD66" i="17"/>
  <c r="AD67" i="17"/>
  <c r="AD68" i="17"/>
  <c r="AD69" i="17"/>
  <c r="AD70" i="17"/>
  <c r="AD71" i="17"/>
  <c r="AD72" i="17"/>
  <c r="AD73" i="17"/>
  <c r="AD74" i="17"/>
  <c r="AD75" i="17"/>
  <c r="AD76" i="17"/>
  <c r="AD77" i="17"/>
  <c r="AD78" i="17"/>
  <c r="AD79" i="17"/>
  <c r="AD80" i="17"/>
  <c r="AD81" i="17"/>
  <c r="AD82" i="17"/>
  <c r="AD83" i="17"/>
  <c r="AD84" i="17"/>
  <c r="AD85" i="17"/>
  <c r="AD86" i="17"/>
  <c r="AD87" i="17"/>
  <c r="AD88" i="17"/>
  <c r="AD89" i="17"/>
  <c r="AD90" i="17"/>
  <c r="AD91" i="17"/>
  <c r="AD92" i="17"/>
  <c r="AD93" i="17"/>
  <c r="AD94" i="17"/>
  <c r="AD95" i="17"/>
  <c r="AD96" i="17"/>
  <c r="AD97" i="17"/>
  <c r="AD98" i="17"/>
  <c r="AD99" i="17"/>
  <c r="AD100" i="17"/>
  <c r="AD101" i="17"/>
  <c r="AD102" i="17"/>
  <c r="AD103" i="17"/>
  <c r="AD104" i="17"/>
  <c r="AD105" i="17"/>
  <c r="AD106" i="17"/>
  <c r="AD107" i="17"/>
  <c r="AD108" i="17"/>
  <c r="AD109" i="17"/>
  <c r="AD110" i="17"/>
  <c r="AD111" i="17"/>
  <c r="AD112" i="17"/>
  <c r="AD113" i="17"/>
  <c r="AD114" i="17"/>
  <c r="AD115" i="17"/>
  <c r="AD116" i="17"/>
  <c r="AD117" i="17"/>
  <c r="AD118" i="17"/>
  <c r="AD119" i="17"/>
  <c r="AD120" i="17"/>
  <c r="AD121" i="17"/>
  <c r="AD122" i="17"/>
  <c r="AD123" i="17"/>
  <c r="AD124" i="17"/>
  <c r="AD125" i="17"/>
  <c r="AD126" i="17"/>
  <c r="AD127" i="17"/>
  <c r="AD128" i="17"/>
  <c r="AD129" i="17"/>
  <c r="AD130" i="17"/>
  <c r="AD131" i="17"/>
  <c r="AD132" i="17"/>
  <c r="AD133" i="17"/>
  <c r="AD134" i="17"/>
  <c r="AD135" i="17"/>
  <c r="AD136" i="17"/>
  <c r="AD137" i="17"/>
  <c r="AD138" i="17"/>
  <c r="AD139" i="17"/>
  <c r="AD140" i="17"/>
  <c r="AD141" i="17"/>
  <c r="AD142" i="17"/>
  <c r="AD143" i="17"/>
  <c r="AD144" i="17"/>
  <c r="AD145" i="17"/>
  <c r="AD146" i="17"/>
  <c r="AD147" i="17"/>
  <c r="AD148" i="17"/>
  <c r="AD149" i="17"/>
  <c r="AD150" i="17"/>
  <c r="AD151" i="17"/>
  <c r="AD152" i="17"/>
  <c r="AD153" i="17"/>
  <c r="AD154" i="17"/>
  <c r="AD155" i="17"/>
  <c r="AD156" i="17"/>
  <c r="AD157" i="17"/>
  <c r="AD158" i="17"/>
  <c r="AD159" i="17"/>
  <c r="AD160" i="17"/>
  <c r="AD161" i="17"/>
  <c r="AD162" i="17"/>
  <c r="AD163" i="17"/>
  <c r="AD164" i="17"/>
  <c r="AD165" i="17"/>
  <c r="AD166" i="17"/>
  <c r="AD167" i="17"/>
  <c r="AD168" i="17"/>
  <c r="AD169" i="17"/>
  <c r="AD170" i="17"/>
  <c r="AD171" i="17"/>
  <c r="AD172" i="17"/>
  <c r="AD173" i="17"/>
  <c r="AD174" i="17"/>
  <c r="AD175" i="17"/>
  <c r="AD176" i="17"/>
  <c r="AD177" i="17"/>
  <c r="AD178" i="17"/>
  <c r="AD179" i="17"/>
  <c r="AD180" i="17"/>
  <c r="AD181" i="17"/>
  <c r="AD182" i="17"/>
  <c r="AD183" i="17"/>
  <c r="AD6" i="17"/>
  <c r="AC7" i="17"/>
  <c r="AC8" i="17"/>
  <c r="AC9" i="17"/>
  <c r="AC10" i="17"/>
  <c r="AC11" i="17"/>
  <c r="AC12" i="17"/>
  <c r="AC13" i="17"/>
  <c r="AC14" i="17"/>
  <c r="AC15" i="17"/>
  <c r="AC16" i="17"/>
  <c r="AC17" i="17"/>
  <c r="AC18" i="17"/>
  <c r="AC19" i="17"/>
  <c r="AC20" i="17"/>
  <c r="AC21" i="17"/>
  <c r="AC22" i="17"/>
  <c r="AC23" i="17"/>
  <c r="AC24" i="17"/>
  <c r="AC25" i="17"/>
  <c r="AC26" i="17"/>
  <c r="AC27" i="17"/>
  <c r="AC28" i="17"/>
  <c r="AC29" i="17"/>
  <c r="AC30" i="17"/>
  <c r="AC31" i="17"/>
  <c r="AC32" i="17"/>
  <c r="AC33" i="17"/>
  <c r="AC34" i="17"/>
  <c r="AC35" i="17"/>
  <c r="AC36" i="17"/>
  <c r="AC37" i="17"/>
  <c r="AC38" i="17"/>
  <c r="AC39" i="17"/>
  <c r="AC40" i="17"/>
  <c r="AC41" i="17"/>
  <c r="AC42" i="17"/>
  <c r="AC43" i="17"/>
  <c r="AC44" i="17"/>
  <c r="AC45" i="17"/>
  <c r="AC46" i="17"/>
  <c r="AC47" i="17"/>
  <c r="AC48" i="17"/>
  <c r="AC49" i="17"/>
  <c r="AC50" i="17"/>
  <c r="AC51" i="17"/>
  <c r="AC52" i="17"/>
  <c r="AC53" i="17"/>
  <c r="AC54" i="17"/>
  <c r="AC55" i="17"/>
  <c r="AC56" i="17"/>
  <c r="AC57" i="17"/>
  <c r="AC58" i="17"/>
  <c r="AC59" i="17"/>
  <c r="AC60" i="17"/>
  <c r="AC61" i="17"/>
  <c r="AC62" i="17"/>
  <c r="AC63" i="17"/>
  <c r="AC64" i="17"/>
  <c r="AC65" i="17"/>
  <c r="AC66" i="17"/>
  <c r="AC67" i="17"/>
  <c r="AC68" i="17"/>
  <c r="AC69" i="17"/>
  <c r="AC70" i="17"/>
  <c r="AC71" i="17"/>
  <c r="AC72" i="17"/>
  <c r="AC73" i="17"/>
  <c r="AC74" i="17"/>
  <c r="AC75" i="17"/>
  <c r="AC76" i="17"/>
  <c r="AC77" i="17"/>
  <c r="AC78" i="17"/>
  <c r="AC79" i="17"/>
  <c r="AC80" i="17"/>
  <c r="AC81" i="17"/>
  <c r="AC82" i="17"/>
  <c r="AC83" i="17"/>
  <c r="AC84" i="17"/>
  <c r="AC85" i="17"/>
  <c r="AC86" i="17"/>
  <c r="AC87" i="17"/>
  <c r="AC88" i="17"/>
  <c r="AC89" i="17"/>
  <c r="AC90" i="17"/>
  <c r="AC91" i="17"/>
  <c r="AC92" i="17"/>
  <c r="AC93" i="17"/>
  <c r="AC94" i="17"/>
  <c r="AC95" i="17"/>
  <c r="AC96" i="17"/>
  <c r="AC97" i="17"/>
  <c r="AC98" i="17"/>
  <c r="AC99" i="17"/>
  <c r="AC100" i="17"/>
  <c r="AC101" i="17"/>
  <c r="AC102" i="17"/>
  <c r="AC103" i="17"/>
  <c r="AC104" i="17"/>
  <c r="AC105" i="17"/>
  <c r="AC106" i="17"/>
  <c r="AC107" i="17"/>
  <c r="AC108" i="17"/>
  <c r="AC109" i="17"/>
  <c r="AC110" i="17"/>
  <c r="AC111" i="17"/>
  <c r="AC112" i="17"/>
  <c r="AC113" i="17"/>
  <c r="AC114" i="17"/>
  <c r="AC115" i="17"/>
  <c r="AC116" i="17"/>
  <c r="AC117" i="17"/>
  <c r="AC118" i="17"/>
  <c r="AC119" i="17"/>
  <c r="AC120" i="17"/>
  <c r="AC121" i="17"/>
  <c r="AC122" i="17"/>
  <c r="AC123" i="17"/>
  <c r="AC124" i="17"/>
  <c r="AC125" i="17"/>
  <c r="AC126" i="17"/>
  <c r="AC127" i="17"/>
  <c r="AC128" i="17"/>
  <c r="AC129" i="17"/>
  <c r="AC130" i="17"/>
  <c r="AC131" i="17"/>
  <c r="AC132" i="17"/>
  <c r="AC133" i="17"/>
  <c r="AC134" i="17"/>
  <c r="AC135" i="17"/>
  <c r="AC136" i="17"/>
  <c r="AC137" i="17"/>
  <c r="AC138" i="17"/>
  <c r="AC139" i="17"/>
  <c r="AC140" i="17"/>
  <c r="AC141" i="17"/>
  <c r="AC142" i="17"/>
  <c r="AC143" i="17"/>
  <c r="AC144" i="17"/>
  <c r="AC145" i="17"/>
  <c r="AC146" i="17"/>
  <c r="AC147" i="17"/>
  <c r="AC148" i="17"/>
  <c r="AC149" i="17"/>
  <c r="AC150" i="17"/>
  <c r="AC151" i="17"/>
  <c r="AC152" i="17"/>
  <c r="AC153" i="17"/>
  <c r="AC154" i="17"/>
  <c r="AC155" i="17"/>
  <c r="AC156" i="17"/>
  <c r="AC157" i="17"/>
  <c r="AC158" i="17"/>
  <c r="AC159" i="17"/>
  <c r="AC160" i="17"/>
  <c r="AC161" i="17"/>
  <c r="AC162" i="17"/>
  <c r="AC163" i="17"/>
  <c r="AC164" i="17"/>
  <c r="AC165" i="17"/>
  <c r="AC166" i="17"/>
  <c r="AC167" i="17"/>
  <c r="AC168" i="17"/>
  <c r="AC169" i="17"/>
  <c r="AC170" i="17"/>
  <c r="AC171" i="17"/>
  <c r="AC172" i="17"/>
  <c r="AC173" i="17"/>
  <c r="AC174" i="17"/>
  <c r="AC175" i="17"/>
  <c r="AC176" i="17"/>
  <c r="AC177" i="17"/>
  <c r="AC178" i="17"/>
  <c r="AC179" i="17"/>
  <c r="AC180" i="17"/>
  <c r="AC181" i="17"/>
  <c r="AC182" i="17"/>
  <c r="AC183" i="17"/>
  <c r="AC6" i="17"/>
  <c r="AB6" i="17"/>
  <c r="AB7" i="17"/>
  <c r="AB8" i="17"/>
  <c r="AB9" i="17"/>
  <c r="AB10" i="17"/>
  <c r="AB11" i="17"/>
  <c r="AB12" i="17"/>
  <c r="AB13" i="17"/>
  <c r="AB14" i="17"/>
  <c r="AB15" i="17"/>
  <c r="AB16" i="17"/>
  <c r="AB17" i="17"/>
  <c r="AB18" i="17"/>
  <c r="AB19" i="17"/>
  <c r="AB20" i="17"/>
  <c r="AB21" i="17"/>
  <c r="AB22" i="17"/>
  <c r="AB23" i="17"/>
  <c r="AB24" i="17"/>
  <c r="AB25" i="17"/>
  <c r="AB26" i="17"/>
  <c r="AB27" i="17"/>
  <c r="AB28" i="17"/>
  <c r="AB29" i="17"/>
  <c r="AB30" i="17"/>
  <c r="AB31" i="17"/>
  <c r="AB32" i="17"/>
  <c r="AB33" i="17"/>
  <c r="AB34" i="17"/>
  <c r="AB35" i="17"/>
  <c r="AB36" i="17"/>
  <c r="AB37" i="17"/>
  <c r="AB38" i="17"/>
  <c r="AB39" i="17"/>
  <c r="AB40" i="17"/>
  <c r="AB41" i="17"/>
  <c r="AB42" i="17"/>
  <c r="AB43" i="17"/>
  <c r="AB44" i="17"/>
  <c r="AB45" i="17"/>
  <c r="AB46" i="17"/>
  <c r="AB47" i="17"/>
  <c r="AB48" i="17"/>
  <c r="AB49" i="17"/>
  <c r="AB50" i="17"/>
  <c r="AB51" i="17"/>
  <c r="AB52" i="17"/>
  <c r="AB53" i="17"/>
  <c r="AB54" i="17"/>
  <c r="AB55" i="17"/>
  <c r="AB56" i="17"/>
  <c r="AB57" i="17"/>
  <c r="AB58" i="17"/>
  <c r="AB59" i="17"/>
  <c r="AB60" i="17"/>
  <c r="AB61" i="17"/>
  <c r="AB62" i="17"/>
  <c r="AB63" i="17"/>
  <c r="AB64" i="17"/>
  <c r="AB65" i="17"/>
  <c r="AB66" i="17"/>
  <c r="AB67" i="17"/>
  <c r="AB68" i="17"/>
  <c r="AB69" i="17"/>
  <c r="AB70" i="17"/>
  <c r="AB71" i="17"/>
  <c r="AB72" i="17"/>
  <c r="AB73" i="17"/>
  <c r="AB74" i="17"/>
  <c r="AB75" i="17"/>
  <c r="AB76" i="17"/>
  <c r="AB77" i="17"/>
  <c r="AB78" i="17"/>
  <c r="AB79" i="17"/>
  <c r="AB80" i="17"/>
  <c r="AB81" i="17"/>
  <c r="AB82" i="17"/>
  <c r="AB83" i="17"/>
  <c r="AB84" i="17"/>
  <c r="AB85" i="17"/>
  <c r="AB86" i="17"/>
  <c r="AB87" i="17"/>
  <c r="AB88" i="17"/>
  <c r="AB89" i="17"/>
  <c r="AB90" i="17"/>
  <c r="AB91" i="17"/>
  <c r="AB92" i="17"/>
  <c r="AB93" i="17"/>
  <c r="AB94" i="17"/>
  <c r="AB95" i="17"/>
  <c r="AB96" i="17"/>
  <c r="AB97" i="17"/>
  <c r="AB98" i="17"/>
  <c r="AB99" i="17"/>
  <c r="AB100" i="17"/>
  <c r="AB101" i="17"/>
  <c r="AB102" i="17"/>
  <c r="AB103" i="17"/>
  <c r="AB104" i="17"/>
  <c r="AB105" i="17"/>
  <c r="AB106" i="17"/>
  <c r="AB107" i="17"/>
  <c r="AB108" i="17"/>
  <c r="AB109" i="17"/>
  <c r="AB110" i="17"/>
  <c r="AB111" i="17"/>
  <c r="AB112" i="17"/>
  <c r="AB113" i="17"/>
  <c r="AB114" i="17"/>
  <c r="AB115" i="17"/>
  <c r="AB116" i="17"/>
  <c r="AB117" i="17"/>
  <c r="AB118" i="17"/>
  <c r="AB119" i="17"/>
  <c r="AB120" i="17"/>
  <c r="AB121" i="17"/>
  <c r="AB122" i="17"/>
  <c r="AB123" i="17"/>
  <c r="AB124" i="17"/>
  <c r="AB125" i="17"/>
  <c r="AB126" i="17"/>
  <c r="AB127" i="17"/>
  <c r="AB128" i="17"/>
  <c r="AB129" i="17"/>
  <c r="AB130" i="17"/>
  <c r="AB131" i="17"/>
  <c r="AB132" i="17"/>
  <c r="AB133" i="17"/>
  <c r="AB134" i="17"/>
  <c r="AB135" i="17"/>
  <c r="AB136" i="17"/>
  <c r="AB137" i="17"/>
  <c r="AB138" i="17"/>
  <c r="AB139" i="17"/>
  <c r="AB140" i="17"/>
  <c r="AB141" i="17"/>
  <c r="AB142" i="17"/>
  <c r="AB143" i="17"/>
  <c r="AB144" i="17"/>
  <c r="AB145" i="17"/>
  <c r="AB146" i="17"/>
  <c r="AB147" i="17"/>
  <c r="AB148" i="17"/>
  <c r="AB149" i="17"/>
  <c r="AB150" i="17"/>
  <c r="AB151" i="17"/>
  <c r="AB152" i="17"/>
  <c r="AB153" i="17"/>
  <c r="AB154" i="17"/>
  <c r="AB155" i="17"/>
  <c r="AB156" i="17"/>
  <c r="AB157" i="17"/>
  <c r="AB158" i="17"/>
  <c r="AB159" i="17"/>
  <c r="AB160" i="17"/>
  <c r="AB161" i="17"/>
  <c r="AB162" i="17"/>
  <c r="AB163" i="17"/>
  <c r="AB164" i="17"/>
  <c r="AB165" i="17"/>
  <c r="AB166" i="17"/>
  <c r="AB167" i="17"/>
  <c r="AB168" i="17"/>
  <c r="AB169" i="17"/>
  <c r="AB170" i="17"/>
  <c r="AB171" i="17"/>
  <c r="AB172" i="17"/>
  <c r="AB173" i="17"/>
  <c r="AB174" i="17"/>
  <c r="AB175" i="17"/>
  <c r="AB176" i="17"/>
  <c r="AB177" i="17"/>
  <c r="AB178" i="17"/>
  <c r="AB179" i="17"/>
  <c r="AB180" i="17"/>
  <c r="AB181" i="17"/>
  <c r="AB182" i="17"/>
  <c r="AB183" i="17"/>
  <c r="AA6" i="17"/>
  <c r="AA7" i="17"/>
  <c r="AA8" i="17"/>
  <c r="AA9" i="17"/>
  <c r="AA10" i="17"/>
  <c r="AA11" i="17"/>
  <c r="AA12" i="17"/>
  <c r="AA13" i="17"/>
  <c r="AA14" i="17"/>
  <c r="AA15" i="17"/>
  <c r="AA16" i="17"/>
  <c r="AA17" i="17"/>
  <c r="AA18" i="17"/>
  <c r="AA19" i="17"/>
  <c r="AA20" i="17"/>
  <c r="AA21" i="17"/>
  <c r="AA22" i="17"/>
  <c r="AA23" i="17"/>
  <c r="AA24" i="17"/>
  <c r="AA25" i="17"/>
  <c r="AA26" i="17"/>
  <c r="AA27" i="17"/>
  <c r="AA28" i="17"/>
  <c r="AA29" i="17"/>
  <c r="AA30" i="17"/>
  <c r="AA31" i="17"/>
  <c r="AA32" i="17"/>
  <c r="AA33" i="17"/>
  <c r="AA34" i="17"/>
  <c r="AA35" i="17"/>
  <c r="AA36" i="17"/>
  <c r="AA37" i="17"/>
  <c r="AA38" i="17"/>
  <c r="AA39" i="17"/>
  <c r="AA40" i="17"/>
  <c r="AA41" i="17"/>
  <c r="AA42" i="17"/>
  <c r="AA43" i="17"/>
  <c r="AA44" i="17"/>
  <c r="AA45" i="17"/>
  <c r="AA46" i="17"/>
  <c r="AA47" i="17"/>
  <c r="AA48" i="17"/>
  <c r="AA49" i="17"/>
  <c r="AA50" i="17"/>
  <c r="AA51" i="17"/>
  <c r="AA52" i="17"/>
  <c r="AA53" i="17"/>
  <c r="AA54" i="17"/>
  <c r="AA55" i="17"/>
  <c r="AA56" i="17"/>
  <c r="AA57" i="17"/>
  <c r="AA58" i="17"/>
  <c r="AA59" i="17"/>
  <c r="AA60" i="17"/>
  <c r="AA61" i="17"/>
  <c r="AA62" i="17"/>
  <c r="AA63" i="17"/>
  <c r="AA64" i="17"/>
  <c r="AA65" i="17"/>
  <c r="AA66" i="17"/>
  <c r="AA67" i="17"/>
  <c r="AA68" i="17"/>
  <c r="AA69" i="17"/>
  <c r="AA70" i="17"/>
  <c r="AA71" i="17"/>
  <c r="AA72" i="17"/>
  <c r="AA73" i="17"/>
  <c r="AA74" i="17"/>
  <c r="AA75" i="17"/>
  <c r="AA76" i="17"/>
  <c r="AA77" i="17"/>
  <c r="AA78" i="17"/>
  <c r="AA79" i="17"/>
  <c r="AA80" i="17"/>
  <c r="AA81" i="17"/>
  <c r="AA82" i="17"/>
  <c r="AA83" i="17"/>
  <c r="AA84" i="17"/>
  <c r="AA85" i="17"/>
  <c r="AA86" i="17"/>
  <c r="AA87" i="17"/>
  <c r="AA88" i="17"/>
  <c r="AA89" i="17"/>
  <c r="AA90" i="17"/>
  <c r="AA91" i="17"/>
  <c r="AA92" i="17"/>
  <c r="AA93" i="17"/>
  <c r="AA94" i="17"/>
  <c r="AA95" i="17"/>
  <c r="AA96" i="17"/>
  <c r="AA97" i="17"/>
  <c r="AA98" i="17"/>
  <c r="AA99" i="17"/>
  <c r="AA100" i="17"/>
  <c r="AA101" i="17"/>
  <c r="AA102" i="17"/>
  <c r="AA103" i="17"/>
  <c r="AA104" i="17"/>
  <c r="AA105" i="17"/>
  <c r="AA106" i="17"/>
  <c r="AA107" i="17"/>
  <c r="AA108" i="17"/>
  <c r="AA109" i="17"/>
  <c r="AA110" i="17"/>
  <c r="AA111" i="17"/>
  <c r="AA112" i="17"/>
  <c r="AA113" i="17"/>
  <c r="AA114" i="17"/>
  <c r="AA115" i="17"/>
  <c r="AA116" i="17"/>
  <c r="AA117" i="17"/>
  <c r="AA118" i="17"/>
  <c r="AA119" i="17"/>
  <c r="AA120" i="17"/>
  <c r="AA121" i="17"/>
  <c r="AA122" i="17"/>
  <c r="AA123" i="17"/>
  <c r="AA124" i="17"/>
  <c r="AA125" i="17"/>
  <c r="AA126" i="17"/>
  <c r="AA127" i="17"/>
  <c r="AA128" i="17"/>
  <c r="AA129" i="17"/>
  <c r="AA130" i="17"/>
  <c r="AA131" i="17"/>
  <c r="AA132" i="17"/>
  <c r="AA133" i="17"/>
  <c r="AA134" i="17"/>
  <c r="AA135" i="17"/>
  <c r="AA136" i="17"/>
  <c r="AA137" i="17"/>
  <c r="AA138" i="17"/>
  <c r="AA139" i="17"/>
  <c r="AA140" i="17"/>
  <c r="AA141" i="17"/>
  <c r="AA142" i="17"/>
  <c r="AA143" i="17"/>
  <c r="AA144" i="17"/>
  <c r="AA145" i="17"/>
  <c r="AA146" i="17"/>
  <c r="AA147" i="17"/>
  <c r="AA148" i="17"/>
  <c r="AA149" i="17"/>
  <c r="AA150" i="17"/>
  <c r="AA151" i="17"/>
  <c r="AA152" i="17"/>
  <c r="AA153" i="17"/>
  <c r="AA154" i="17"/>
  <c r="AA155" i="17"/>
  <c r="AA156" i="17"/>
  <c r="AA157" i="17"/>
  <c r="AA158" i="17"/>
  <c r="AA159" i="17"/>
  <c r="AA160" i="17"/>
  <c r="AA161" i="17"/>
  <c r="AA162" i="17"/>
  <c r="AA163" i="17"/>
  <c r="AA164" i="17"/>
  <c r="AA165" i="17"/>
  <c r="AA166" i="17"/>
  <c r="AA167" i="17"/>
  <c r="AA168" i="17"/>
  <c r="AA169" i="17"/>
  <c r="AA170" i="17"/>
  <c r="AA171" i="17"/>
  <c r="AA172" i="17"/>
  <c r="AA173" i="17"/>
  <c r="AA174" i="17"/>
  <c r="AA175" i="17"/>
  <c r="AA176" i="17"/>
  <c r="AA177" i="17"/>
  <c r="AA178" i="17"/>
  <c r="AA179" i="17"/>
  <c r="AA180" i="17"/>
  <c r="AA181" i="17"/>
  <c r="AA182" i="17"/>
  <c r="AA183" i="17"/>
  <c r="R6" i="17"/>
  <c r="S6" i="17" s="1"/>
  <c r="AP185" i="17"/>
  <c r="AP186" i="17"/>
  <c r="AP187" i="17"/>
  <c r="AP189" i="17"/>
  <c r="AP190" i="17"/>
  <c r="AP191" i="17"/>
  <c r="AP192" i="17"/>
  <c r="AP198" i="17"/>
  <c r="AP200" i="17"/>
  <c r="AP201" i="17"/>
  <c r="AP202" i="17"/>
  <c r="AP203" i="17"/>
  <c r="AP204" i="17"/>
  <c r="AP208" i="17"/>
  <c r="AP209" i="17"/>
  <c r="AP210" i="17"/>
  <c r="AP213" i="17"/>
  <c r="AP214" i="17"/>
  <c r="AP215" i="17"/>
  <c r="AP216" i="17"/>
  <c r="AP221" i="17"/>
  <c r="AP222" i="17"/>
  <c r="AP223" i="17"/>
  <c r="AP224" i="17"/>
  <c r="AP225" i="17"/>
  <c r="AP226" i="17"/>
  <c r="AP227" i="17"/>
  <c r="AP233" i="17"/>
  <c r="AP237" i="17"/>
  <c r="AP238" i="17"/>
  <c r="AP248" i="17"/>
  <c r="AP249" i="17"/>
  <c r="AP251" i="17"/>
  <c r="AP252" i="17"/>
  <c r="AP254" i="17"/>
  <c r="AP255" i="17"/>
  <c r="AP256" i="17"/>
  <c r="AP257" i="17"/>
  <c r="AP259" i="17"/>
  <c r="AP260" i="17"/>
  <c r="AP262" i="17"/>
  <c r="AP263" i="17"/>
  <c r="AP264" i="17"/>
  <c r="AP265" i="17"/>
  <c r="AP266" i="17"/>
  <c r="AP267" i="17"/>
  <c r="AP268" i="17"/>
  <c r="AP269" i="17"/>
  <c r="AP270" i="17"/>
  <c r="AP271" i="17"/>
  <c r="AP272" i="17"/>
  <c r="AP273" i="17"/>
  <c r="AP274" i="17"/>
  <c r="AP275" i="17"/>
  <c r="AP276" i="17"/>
  <c r="AP277" i="17"/>
  <c r="AP278" i="17"/>
  <c r="AP279" i="17"/>
  <c r="AP280" i="17"/>
  <c r="AP281" i="17"/>
  <c r="AP282" i="17"/>
  <c r="AP283" i="17"/>
  <c r="AP284" i="17"/>
  <c r="AP285" i="17"/>
  <c r="AP286" i="17"/>
  <c r="AP287" i="17"/>
  <c r="AP288" i="17"/>
  <c r="AP289" i="17"/>
  <c r="AP290" i="17"/>
  <c r="AP291" i="17"/>
  <c r="AP292" i="17"/>
  <c r="AP293" i="17"/>
  <c r="AP294" i="17"/>
  <c r="AP295" i="17"/>
  <c r="AP296" i="17"/>
  <c r="AP297" i="17"/>
  <c r="AP298" i="17"/>
  <c r="AP299" i="17"/>
  <c r="AP300" i="17"/>
  <c r="AP301" i="17"/>
  <c r="AP302" i="17"/>
  <c r="AP303" i="17"/>
  <c r="AP304" i="17"/>
  <c r="AP305" i="17"/>
  <c r="AP306" i="17"/>
  <c r="AP307" i="17"/>
  <c r="AP308" i="17"/>
  <c r="AP309" i="17"/>
  <c r="AP310" i="17"/>
  <c r="AP311" i="17"/>
  <c r="AP312" i="17"/>
  <c r="AP313" i="17"/>
  <c r="AP314" i="17"/>
  <c r="AP315" i="17"/>
  <c r="AP316" i="17"/>
  <c r="AP317" i="17"/>
  <c r="AP318" i="17"/>
  <c r="AP319" i="17"/>
  <c r="AP320" i="17"/>
  <c r="AP321" i="17"/>
  <c r="AP322" i="17"/>
  <c r="AP323" i="17"/>
  <c r="AP324" i="17"/>
  <c r="AP325" i="17"/>
  <c r="AP326" i="17"/>
  <c r="AP327" i="17"/>
  <c r="AP328" i="17"/>
  <c r="AP329" i="17"/>
  <c r="AP330" i="17"/>
  <c r="AP331" i="17"/>
  <c r="AP332" i="17"/>
  <c r="AP333" i="17"/>
  <c r="AP334" i="17"/>
  <c r="AP335" i="17"/>
  <c r="AP336" i="17"/>
  <c r="AP337" i="17"/>
  <c r="AP338" i="17"/>
  <c r="AP339" i="17"/>
  <c r="AP340" i="17"/>
  <c r="AP341" i="17"/>
  <c r="AP342" i="17"/>
  <c r="AP343" i="17"/>
  <c r="AP344" i="17"/>
  <c r="AP345" i="17"/>
  <c r="AP346" i="17"/>
  <c r="AP347" i="17"/>
  <c r="AP348" i="17"/>
  <c r="AP349" i="17"/>
  <c r="AP350" i="17"/>
  <c r="AP351" i="17"/>
  <c r="AP352" i="17"/>
  <c r="AP353" i="17"/>
  <c r="AP354" i="17"/>
  <c r="AP355" i="17"/>
  <c r="AP356" i="17"/>
  <c r="AP357" i="17"/>
  <c r="AO185" i="17"/>
  <c r="AO186" i="17"/>
  <c r="AO187" i="17"/>
  <c r="AO188" i="17"/>
  <c r="AO189" i="17"/>
  <c r="AO190" i="17"/>
  <c r="AO191" i="17"/>
  <c r="AO192" i="17"/>
  <c r="AO194" i="17"/>
  <c r="AO198" i="17"/>
  <c r="AO200" i="17"/>
  <c r="AO201" i="17"/>
  <c r="AO202" i="17"/>
  <c r="AO203" i="17"/>
  <c r="AO204" i="17"/>
  <c r="AO205" i="17"/>
  <c r="AO209" i="17"/>
  <c r="AO213" i="17"/>
  <c r="AO214" i="17"/>
  <c r="AO215" i="17"/>
  <c r="AO216" i="17"/>
  <c r="AO217" i="17"/>
  <c r="AO221" i="17"/>
  <c r="AO222" i="17"/>
  <c r="AO223" i="17"/>
  <c r="AO224" i="17"/>
  <c r="AO225" i="17"/>
  <c r="AO226" i="17"/>
  <c r="AO227" i="17"/>
  <c r="AO229" i="17"/>
  <c r="AO230" i="17"/>
  <c r="AO233" i="17"/>
  <c r="AO237" i="17"/>
  <c r="AO238" i="17"/>
  <c r="AO248" i="17"/>
  <c r="AO249" i="17"/>
  <c r="AO251" i="17"/>
  <c r="AO252" i="17"/>
  <c r="AO254" i="17"/>
  <c r="AO255" i="17"/>
  <c r="AO256" i="17"/>
  <c r="AO257" i="17"/>
  <c r="AO258" i="17"/>
  <c r="AO259" i="17"/>
  <c r="AO260" i="17"/>
  <c r="AO262" i="17"/>
  <c r="AO263" i="17"/>
  <c r="AO264" i="17"/>
  <c r="AO265" i="17"/>
  <c r="AO266" i="17"/>
  <c r="AO267" i="17"/>
  <c r="AO268" i="17"/>
  <c r="AO269" i="17"/>
  <c r="AO270" i="17"/>
  <c r="AO271" i="17"/>
  <c r="AO272" i="17"/>
  <c r="AO273" i="17"/>
  <c r="AO274" i="17"/>
  <c r="AO275" i="17"/>
  <c r="AO276" i="17"/>
  <c r="AO277" i="17"/>
  <c r="AO278" i="17"/>
  <c r="AO279" i="17"/>
  <c r="AO280" i="17"/>
  <c r="AO281" i="17"/>
  <c r="AO282" i="17"/>
  <c r="AO283" i="17"/>
  <c r="AO284" i="17"/>
  <c r="AO285" i="17"/>
  <c r="AO286" i="17"/>
  <c r="AO287" i="17"/>
  <c r="AO288" i="17"/>
  <c r="AO289" i="17"/>
  <c r="AO290" i="17"/>
  <c r="AO291" i="17"/>
  <c r="AO292" i="17"/>
  <c r="AO293" i="17"/>
  <c r="AO294" i="17"/>
  <c r="AO295" i="17"/>
  <c r="AO296" i="17"/>
  <c r="AO297" i="17"/>
  <c r="AO298" i="17"/>
  <c r="AO299" i="17"/>
  <c r="AO300" i="17"/>
  <c r="AO301" i="17"/>
  <c r="AO302" i="17"/>
  <c r="AO303" i="17"/>
  <c r="AO304" i="17"/>
  <c r="AO305" i="17"/>
  <c r="AO306" i="17"/>
  <c r="AO307" i="17"/>
  <c r="AO308" i="17"/>
  <c r="AO309" i="17"/>
  <c r="AO310" i="17"/>
  <c r="AO311" i="17"/>
  <c r="AO312" i="17"/>
  <c r="AO313" i="17"/>
  <c r="AO314" i="17"/>
  <c r="AO315" i="17"/>
  <c r="AO316" i="17"/>
  <c r="AO317" i="17"/>
  <c r="AO318" i="17"/>
  <c r="AO319" i="17"/>
  <c r="AO320" i="17"/>
  <c r="AO321" i="17"/>
  <c r="AO322" i="17"/>
  <c r="AO323" i="17"/>
  <c r="AO324" i="17"/>
  <c r="AO325" i="17"/>
  <c r="AO326" i="17"/>
  <c r="AO327" i="17"/>
  <c r="AO328" i="17"/>
  <c r="AO329" i="17"/>
  <c r="AO330" i="17"/>
  <c r="AO331" i="17"/>
  <c r="AO332" i="17"/>
  <c r="AO333" i="17"/>
  <c r="AO334" i="17"/>
  <c r="AO335" i="17"/>
  <c r="AO336" i="17"/>
  <c r="AO337" i="17"/>
  <c r="AO338" i="17"/>
  <c r="AO339" i="17"/>
  <c r="AO340" i="17"/>
  <c r="AO341" i="17"/>
  <c r="AO342" i="17"/>
  <c r="AO343" i="17"/>
  <c r="AO344" i="17"/>
  <c r="AO345" i="17"/>
  <c r="AO346" i="17"/>
  <c r="AO347" i="17"/>
  <c r="AO348" i="17"/>
  <c r="AO349" i="17"/>
  <c r="AO350" i="17"/>
  <c r="AO351" i="17"/>
  <c r="AO352" i="17"/>
  <c r="AO353" i="17"/>
  <c r="AO354" i="17"/>
  <c r="AO355" i="17"/>
  <c r="AO356" i="17"/>
  <c r="AO357" i="17"/>
  <c r="AO6" i="17"/>
  <c r="T248" i="17"/>
  <c r="T254" i="17"/>
  <c r="T258" i="17"/>
  <c r="T259" i="17"/>
  <c r="T264" i="17"/>
  <c r="T282" i="17"/>
  <c r="T294" i="17"/>
  <c r="T300" i="17"/>
  <c r="S186" i="17"/>
  <c r="T186" i="17" s="1"/>
  <c r="S187" i="17"/>
  <c r="T187" i="17" s="1"/>
  <c r="S188" i="17"/>
  <c r="T188" i="17" s="1"/>
  <c r="S189" i="17"/>
  <c r="T189" i="17" s="1"/>
  <c r="S190" i="17"/>
  <c r="T190" i="17" s="1"/>
  <c r="S191" i="17"/>
  <c r="T191" i="17" s="1"/>
  <c r="S192" i="17"/>
  <c r="T192" i="17" s="1"/>
  <c r="S198" i="17"/>
  <c r="T198" i="17" s="1"/>
  <c r="S200" i="17"/>
  <c r="T200" i="17" s="1"/>
  <c r="S201" i="17"/>
  <c r="T201" i="17" s="1"/>
  <c r="S202" i="17"/>
  <c r="T202" i="17" s="1"/>
  <c r="S203" i="17"/>
  <c r="T203" i="17" s="1"/>
  <c r="S204" i="17"/>
  <c r="T204" i="17" s="1"/>
  <c r="S209" i="17"/>
  <c r="T209" i="17" s="1"/>
  <c r="S213" i="17"/>
  <c r="T213" i="17" s="1"/>
  <c r="S214" i="17"/>
  <c r="T214" i="17" s="1"/>
  <c r="S215" i="17"/>
  <c r="T215" i="17" s="1"/>
  <c r="S216" i="17"/>
  <c r="T216" i="17" s="1"/>
  <c r="S221" i="17"/>
  <c r="T221" i="17" s="1"/>
  <c r="S222" i="17"/>
  <c r="T222" i="17" s="1"/>
  <c r="S223" i="17"/>
  <c r="T223" i="17" s="1"/>
  <c r="S224" i="17"/>
  <c r="T224" i="17" s="1"/>
  <c r="S225" i="17"/>
  <c r="T225" i="17" s="1"/>
  <c r="S226" i="17"/>
  <c r="T226" i="17" s="1"/>
  <c r="S227" i="17"/>
  <c r="T227" i="17" s="1"/>
  <c r="S233" i="17"/>
  <c r="T233" i="17" s="1"/>
  <c r="S234" i="17"/>
  <c r="T234" i="17" s="1"/>
  <c r="S236" i="17"/>
  <c r="T236" i="17" s="1"/>
  <c r="S237" i="17"/>
  <c r="T237" i="17" s="1"/>
  <c r="S238" i="17"/>
  <c r="T238" i="17" s="1"/>
  <c r="S248" i="17"/>
  <c r="S249" i="17"/>
  <c r="T249" i="17" s="1"/>
  <c r="S251" i="17"/>
  <c r="T251" i="17" s="1"/>
  <c r="S252" i="17"/>
  <c r="T252" i="17" s="1"/>
  <c r="S254" i="17"/>
  <c r="S255" i="17"/>
  <c r="T255" i="17" s="1"/>
  <c r="S256" i="17"/>
  <c r="T256" i="17" s="1"/>
  <c r="S257" i="17"/>
  <c r="T257" i="17" s="1"/>
  <c r="S258" i="17"/>
  <c r="S259" i="17"/>
  <c r="S260" i="17"/>
  <c r="T260" i="17" s="1"/>
  <c r="S262" i="17"/>
  <c r="T262" i="17" s="1"/>
  <c r="S263" i="17"/>
  <c r="T263" i="17" s="1"/>
  <c r="S264" i="17"/>
  <c r="S265" i="17"/>
  <c r="T265" i="17" s="1"/>
  <c r="S266" i="17"/>
  <c r="T266" i="17" s="1"/>
  <c r="S267" i="17"/>
  <c r="T267" i="17" s="1"/>
  <c r="S268" i="17"/>
  <c r="T268" i="17" s="1"/>
  <c r="S269" i="17"/>
  <c r="T269" i="17" s="1"/>
  <c r="S270" i="17"/>
  <c r="T270" i="17" s="1"/>
  <c r="S271" i="17"/>
  <c r="T271" i="17" s="1"/>
  <c r="S272" i="17"/>
  <c r="T272" i="17" s="1"/>
  <c r="S273" i="17"/>
  <c r="T273" i="17" s="1"/>
  <c r="S274" i="17"/>
  <c r="T274" i="17" s="1"/>
  <c r="S275" i="17"/>
  <c r="T275" i="17" s="1"/>
  <c r="S276" i="17"/>
  <c r="T276" i="17" s="1"/>
  <c r="S277" i="17"/>
  <c r="T277" i="17" s="1"/>
  <c r="S278" i="17"/>
  <c r="T278" i="17" s="1"/>
  <c r="S279" i="17"/>
  <c r="T279" i="17" s="1"/>
  <c r="S280" i="17"/>
  <c r="T280" i="17" s="1"/>
  <c r="S281" i="17"/>
  <c r="T281" i="17" s="1"/>
  <c r="S282" i="17"/>
  <c r="S283" i="17"/>
  <c r="T283" i="17" s="1"/>
  <c r="S284" i="17"/>
  <c r="T284" i="17" s="1"/>
  <c r="S285" i="17"/>
  <c r="T285" i="17" s="1"/>
  <c r="S286" i="17"/>
  <c r="T286" i="17" s="1"/>
  <c r="S287" i="17"/>
  <c r="T287" i="17" s="1"/>
  <c r="S288" i="17"/>
  <c r="T288" i="17" s="1"/>
  <c r="S289" i="17"/>
  <c r="T289" i="17" s="1"/>
  <c r="S290" i="17"/>
  <c r="T290" i="17" s="1"/>
  <c r="S291" i="17"/>
  <c r="T291" i="17" s="1"/>
  <c r="S292" i="17"/>
  <c r="T292" i="17" s="1"/>
  <c r="S293" i="17"/>
  <c r="T293" i="17" s="1"/>
  <c r="S294" i="17"/>
  <c r="S295" i="17"/>
  <c r="T295" i="17" s="1"/>
  <c r="S296" i="17"/>
  <c r="T296" i="17" s="1"/>
  <c r="S297" i="17"/>
  <c r="T297" i="17" s="1"/>
  <c r="S298" i="17"/>
  <c r="T298" i="17" s="1"/>
  <c r="S299" i="17"/>
  <c r="T299" i="17" s="1"/>
  <c r="S300" i="17"/>
  <c r="S301" i="17"/>
  <c r="T301" i="17" s="1"/>
  <c r="S302" i="17"/>
  <c r="T302" i="17" s="1"/>
  <c r="S303" i="17"/>
  <c r="T303" i="17" s="1"/>
  <c r="S304" i="17"/>
  <c r="T304" i="17" s="1"/>
  <c r="R7" i="17"/>
  <c r="AP7" i="17" s="1"/>
  <c r="R8" i="17"/>
  <c r="S8" i="17" s="1"/>
  <c r="T8" i="17" s="1"/>
  <c r="R9" i="17"/>
  <c r="R10" i="17"/>
  <c r="R11" i="17"/>
  <c r="R12" i="17"/>
  <c r="R13" i="17"/>
  <c r="AP13" i="17" s="1"/>
  <c r="R14" i="17"/>
  <c r="AP14" i="17" s="1"/>
  <c r="R15" i="17"/>
  <c r="R16" i="17"/>
  <c r="R17" i="17"/>
  <c r="R18" i="17"/>
  <c r="R20" i="17"/>
  <c r="AP20" i="17" s="1"/>
  <c r="R21" i="17"/>
  <c r="S21" i="17" s="1"/>
  <c r="T21" i="17" s="1"/>
  <c r="R22" i="17"/>
  <c r="S22" i="17" s="1"/>
  <c r="T22" i="17" s="1"/>
  <c r="R23" i="17"/>
  <c r="R24" i="17"/>
  <c r="R25" i="17"/>
  <c r="R26" i="17"/>
  <c r="AP26" i="17" s="1"/>
  <c r="R27" i="17"/>
  <c r="AP27" i="17" s="1"/>
  <c r="R28" i="17"/>
  <c r="R29" i="17"/>
  <c r="R30" i="17"/>
  <c r="R31" i="17"/>
  <c r="R32" i="17"/>
  <c r="AP32" i="17" s="1"/>
  <c r="R33" i="17"/>
  <c r="S33" i="17" s="1"/>
  <c r="T33" i="17" s="1"/>
  <c r="R34" i="17"/>
  <c r="S34" i="17" s="1"/>
  <c r="T34" i="17" s="1"/>
  <c r="R35" i="17"/>
  <c r="R36" i="17"/>
  <c r="R37" i="17"/>
  <c r="R38" i="17"/>
  <c r="AP38" i="17" s="1"/>
  <c r="R39" i="17"/>
  <c r="AP39" i="17" s="1"/>
  <c r="R40" i="17"/>
  <c r="R41" i="17"/>
  <c r="R42" i="17"/>
  <c r="R43" i="17"/>
  <c r="R44" i="17"/>
  <c r="AP44" i="17" s="1"/>
  <c r="R45" i="17"/>
  <c r="AP45" i="17" s="1"/>
  <c r="R46" i="17"/>
  <c r="S46" i="17" s="1"/>
  <c r="T46" i="17" s="1"/>
  <c r="R47" i="17"/>
  <c r="R48" i="17"/>
  <c r="R49" i="17"/>
  <c r="R50" i="17"/>
  <c r="AP50" i="17" s="1"/>
  <c r="R51" i="17"/>
  <c r="AP51" i="17" s="1"/>
  <c r="R52" i="17"/>
  <c r="R53" i="17"/>
  <c r="R54" i="17"/>
  <c r="R55" i="17"/>
  <c r="R56" i="17"/>
  <c r="AP56" i="17" s="1"/>
  <c r="R57" i="17"/>
  <c r="AP57" i="17" s="1"/>
  <c r="R58" i="17"/>
  <c r="S58" i="17" s="1"/>
  <c r="T58" i="17" s="1"/>
  <c r="R59" i="17"/>
  <c r="R60" i="17"/>
  <c r="R61" i="17"/>
  <c r="R62" i="17"/>
  <c r="AP62" i="17" s="1"/>
  <c r="R63" i="17"/>
  <c r="AP63" i="17" s="1"/>
  <c r="R64" i="17"/>
  <c r="R65" i="17"/>
  <c r="R66" i="17"/>
  <c r="R67" i="17"/>
  <c r="R68" i="17"/>
  <c r="AP68" i="17" s="1"/>
  <c r="R69" i="17"/>
  <c r="AP69" i="17" s="1"/>
  <c r="R70" i="17"/>
  <c r="S70" i="17" s="1"/>
  <c r="T70" i="17" s="1"/>
  <c r="R71" i="17"/>
  <c r="S71" i="17" s="1"/>
  <c r="T71" i="17" s="1"/>
  <c r="R72" i="17"/>
  <c r="R73" i="17"/>
  <c r="R74" i="17"/>
  <c r="R75" i="17"/>
  <c r="AP75" i="17" s="1"/>
  <c r="R76" i="17"/>
  <c r="AP76" i="17" s="1"/>
  <c r="R77" i="17"/>
  <c r="R78" i="17"/>
  <c r="R79" i="17"/>
  <c r="R80" i="17"/>
  <c r="R81" i="17"/>
  <c r="AP81" i="17" s="1"/>
  <c r="R82" i="17"/>
  <c r="AP82" i="17" s="1"/>
  <c r="R83" i="17"/>
  <c r="S83" i="17" s="1"/>
  <c r="T83" i="17" s="1"/>
  <c r="R84" i="17"/>
  <c r="R85" i="17"/>
  <c r="R86" i="17"/>
  <c r="R87" i="17"/>
  <c r="AP87" i="17" s="1"/>
  <c r="R88" i="17"/>
  <c r="AP88" i="17" s="1"/>
  <c r="R89" i="17"/>
  <c r="R90" i="17"/>
  <c r="R91" i="17"/>
  <c r="R92" i="17"/>
  <c r="R93" i="17"/>
  <c r="AP93" i="17" s="1"/>
  <c r="R94" i="17"/>
  <c r="AP94" i="17" s="1"/>
  <c r="R95" i="17"/>
  <c r="S95" i="17" s="1"/>
  <c r="T95" i="17" s="1"/>
  <c r="R96" i="17"/>
  <c r="R97" i="17"/>
  <c r="R98" i="17"/>
  <c r="R99" i="17"/>
  <c r="AP99" i="17" s="1"/>
  <c r="R100" i="17"/>
  <c r="AP100" i="17" s="1"/>
  <c r="R101" i="17"/>
  <c r="R102" i="17"/>
  <c r="R103" i="17"/>
  <c r="R104" i="17"/>
  <c r="R105" i="17"/>
  <c r="AP105" i="17" s="1"/>
  <c r="R106" i="17"/>
  <c r="AP106" i="17" s="1"/>
  <c r="R107" i="17"/>
  <c r="S107" i="17" s="1"/>
  <c r="T107" i="17" s="1"/>
  <c r="R108" i="17"/>
  <c r="S108" i="17" s="1"/>
  <c r="T108" i="17" s="1"/>
  <c r="R109" i="17"/>
  <c r="R110" i="17"/>
  <c r="R111" i="17"/>
  <c r="AP111" i="17" s="1"/>
  <c r="R112" i="17"/>
  <c r="AP112" i="17" s="1"/>
  <c r="R113" i="17"/>
  <c r="R114" i="17"/>
  <c r="AP114" i="17" s="1"/>
  <c r="R115" i="17"/>
  <c r="R116" i="17"/>
  <c r="AP116" i="17" s="1"/>
  <c r="R117" i="17"/>
  <c r="AP117" i="17" s="1"/>
  <c r="R118" i="17"/>
  <c r="AP118" i="17" s="1"/>
  <c r="R119" i="17"/>
  <c r="AP119" i="17" s="1"/>
  <c r="R120" i="17"/>
  <c r="AO120" i="17" s="1"/>
  <c r="R121" i="17"/>
  <c r="AP121" i="17" s="1"/>
  <c r="R122" i="17"/>
  <c r="AP122" i="17" s="1"/>
  <c r="R123" i="17"/>
  <c r="AP123" i="17" s="1"/>
  <c r="R124" i="17"/>
  <c r="AP124" i="17" s="1"/>
  <c r="R125" i="17"/>
  <c r="AP125" i="17" s="1"/>
  <c r="R126" i="17"/>
  <c r="AP126" i="17" s="1"/>
  <c r="R127" i="17"/>
  <c r="R128" i="17"/>
  <c r="AP128" i="17" s="1"/>
  <c r="R129" i="17"/>
  <c r="AP129" i="17" s="1"/>
  <c r="R130" i="17"/>
  <c r="AO130" i="17" s="1"/>
  <c r="R131" i="17"/>
  <c r="AP131" i="17" s="1"/>
  <c r="R132" i="17"/>
  <c r="AP132" i="17" s="1"/>
  <c r="R133" i="17"/>
  <c r="AP133" i="17" s="1"/>
  <c r="R134" i="17"/>
  <c r="AP134" i="17" s="1"/>
  <c r="R135" i="17"/>
  <c r="AP135" i="17" s="1"/>
  <c r="R136" i="17"/>
  <c r="AP136" i="17" s="1"/>
  <c r="R137" i="17"/>
  <c r="AP137" i="17" s="1"/>
  <c r="R138" i="17"/>
  <c r="AP138" i="17" s="1"/>
  <c r="R139" i="17"/>
  <c r="R140" i="17"/>
  <c r="AP140" i="17" s="1"/>
  <c r="R141" i="17"/>
  <c r="AP141" i="17" s="1"/>
  <c r="R142" i="17"/>
  <c r="AP142" i="17" s="1"/>
  <c r="R143" i="17"/>
  <c r="AP143" i="17" s="1"/>
  <c r="R144" i="17"/>
  <c r="AP144" i="17" s="1"/>
  <c r="R145" i="17"/>
  <c r="AP145" i="17" s="1"/>
  <c r="R146" i="17"/>
  <c r="AP146" i="17" s="1"/>
  <c r="R147" i="17"/>
  <c r="AP147" i="17" s="1"/>
  <c r="R148" i="17"/>
  <c r="AP148" i="17" s="1"/>
  <c r="R149" i="17"/>
  <c r="AP149" i="17" s="1"/>
  <c r="R150" i="17"/>
  <c r="AP150" i="17" s="1"/>
  <c r="R151" i="17"/>
  <c r="AP151" i="17" s="1"/>
  <c r="R152" i="17"/>
  <c r="AP152" i="17" s="1"/>
  <c r="R153" i="17"/>
  <c r="AP153" i="17" s="1"/>
  <c r="R154" i="17"/>
  <c r="AP154" i="17" s="1"/>
  <c r="R155" i="17"/>
  <c r="AP155" i="17" s="1"/>
  <c r="R156" i="17"/>
  <c r="AP156" i="17" s="1"/>
  <c r="R157" i="17"/>
  <c r="AP157" i="17" s="1"/>
  <c r="R158" i="17"/>
  <c r="AP158" i="17" s="1"/>
  <c r="R159" i="17"/>
  <c r="AP159" i="17" s="1"/>
  <c r="R160" i="17"/>
  <c r="AP160" i="17" s="1"/>
  <c r="R161" i="17"/>
  <c r="AP161" i="17" s="1"/>
  <c r="R162" i="17"/>
  <c r="AP162" i="17" s="1"/>
  <c r="R163" i="17"/>
  <c r="AP163" i="17" s="1"/>
  <c r="R164" i="17"/>
  <c r="AO164" i="17" s="1"/>
  <c r="R165" i="17"/>
  <c r="AP165" i="17" s="1"/>
  <c r="R166" i="17"/>
  <c r="AP166" i="17" s="1"/>
  <c r="R167" i="17"/>
  <c r="AP167" i="17" s="1"/>
  <c r="R168" i="17"/>
  <c r="AP168" i="17" s="1"/>
  <c r="R169" i="17"/>
  <c r="AP169" i="17" s="1"/>
  <c r="R170" i="17"/>
  <c r="AO170" i="17" s="1"/>
  <c r="R171" i="17"/>
  <c r="AP171" i="17" s="1"/>
  <c r="R172" i="17"/>
  <c r="AP172" i="17" s="1"/>
  <c r="R173" i="17"/>
  <c r="AP173" i="17" s="1"/>
  <c r="R174" i="17"/>
  <c r="AP174" i="17" s="1"/>
  <c r="R175" i="17"/>
  <c r="R176" i="17"/>
  <c r="AP176" i="17" s="1"/>
  <c r="R177" i="17"/>
  <c r="AP177" i="17" s="1"/>
  <c r="R178" i="17"/>
  <c r="AP178" i="17" s="1"/>
  <c r="R179" i="17"/>
  <c r="AP179" i="17" s="1"/>
  <c r="R180" i="17"/>
  <c r="AP180" i="17" s="1"/>
  <c r="R181" i="17"/>
  <c r="AP181" i="17" s="1"/>
  <c r="R182" i="17"/>
  <c r="AP182" i="17" s="1"/>
  <c r="R183" i="17"/>
  <c r="AP183" i="17" s="1"/>
  <c r="S104" i="17" l="1"/>
  <c r="T104" i="17" s="1"/>
  <c r="AO104" i="17"/>
  <c r="AP104" i="17"/>
  <c r="AO92" i="17"/>
  <c r="AP92" i="17"/>
  <c r="AO80" i="17"/>
  <c r="AP80" i="17"/>
  <c r="S171" i="17"/>
  <c r="T171" i="17" s="1"/>
  <c r="S159" i="17"/>
  <c r="T159" i="17" s="1"/>
  <c r="S147" i="17"/>
  <c r="T147" i="17" s="1"/>
  <c r="S134" i="17"/>
  <c r="T134" i="17" s="1"/>
  <c r="S121" i="17"/>
  <c r="T121" i="17" s="1"/>
  <c r="AO183" i="17"/>
  <c r="AO171" i="17"/>
  <c r="AO159" i="17"/>
  <c r="AO147" i="17"/>
  <c r="AO135" i="17"/>
  <c r="AO122" i="17"/>
  <c r="AO100" i="17"/>
  <c r="AO63" i="17"/>
  <c r="AO26" i="17"/>
  <c r="AP170" i="17"/>
  <c r="AP175" i="17"/>
  <c r="S175" i="17"/>
  <c r="T175" i="17" s="1"/>
  <c r="AP139" i="17"/>
  <c r="S139" i="17"/>
  <c r="T139" i="17" s="1"/>
  <c r="AO127" i="17"/>
  <c r="AP127" i="17"/>
  <c r="AO115" i="17"/>
  <c r="AP115" i="17"/>
  <c r="AO103" i="17"/>
  <c r="AP103" i="17"/>
  <c r="AO91" i="17"/>
  <c r="AP91" i="17"/>
  <c r="AO79" i="17"/>
  <c r="AP79" i="17"/>
  <c r="AO67" i="17"/>
  <c r="AP67" i="17"/>
  <c r="AO55" i="17"/>
  <c r="AP55" i="17"/>
  <c r="AO43" i="17"/>
  <c r="AP43" i="17"/>
  <c r="AO31" i="17"/>
  <c r="AP31" i="17"/>
  <c r="AO18" i="17"/>
  <c r="AP18" i="17"/>
  <c r="S183" i="17"/>
  <c r="T183" i="17" s="1"/>
  <c r="S170" i="17"/>
  <c r="T170" i="17" s="1"/>
  <c r="S158" i="17"/>
  <c r="T158" i="17" s="1"/>
  <c r="S146" i="17"/>
  <c r="T146" i="17" s="1"/>
  <c r="S133" i="17"/>
  <c r="T133" i="17" s="1"/>
  <c r="S94" i="17"/>
  <c r="T94" i="17" s="1"/>
  <c r="S82" i="17"/>
  <c r="T82" i="17" s="1"/>
  <c r="S57" i="17"/>
  <c r="T57" i="17" s="1"/>
  <c r="S45" i="17"/>
  <c r="T45" i="17" s="1"/>
  <c r="S20" i="17"/>
  <c r="T20" i="17" s="1"/>
  <c r="S7" i="17"/>
  <c r="T7" i="17" s="1"/>
  <c r="AO182" i="17"/>
  <c r="AO158" i="17"/>
  <c r="AO146" i="17"/>
  <c r="AO134" i="17"/>
  <c r="AO121" i="17"/>
  <c r="AO99" i="17"/>
  <c r="AO62" i="17"/>
  <c r="AO20" i="17"/>
  <c r="AP164" i="17"/>
  <c r="AO102" i="17"/>
  <c r="AP102" i="17"/>
  <c r="AO90" i="17"/>
  <c r="AP90" i="17"/>
  <c r="AO78" i="17"/>
  <c r="AP78" i="17"/>
  <c r="AO66" i="17"/>
  <c r="AP66" i="17"/>
  <c r="AO54" i="17"/>
  <c r="AP54" i="17"/>
  <c r="AO42" i="17"/>
  <c r="AP42" i="17"/>
  <c r="AO30" i="17"/>
  <c r="AP30" i="17"/>
  <c r="AO17" i="17"/>
  <c r="AP17" i="17"/>
  <c r="S182" i="17"/>
  <c r="T182" i="17" s="1"/>
  <c r="S169" i="17"/>
  <c r="T169" i="17" s="1"/>
  <c r="S157" i="17"/>
  <c r="T157" i="17" s="1"/>
  <c r="S145" i="17"/>
  <c r="T145" i="17" s="1"/>
  <c r="S132" i="17"/>
  <c r="T132" i="17" s="1"/>
  <c r="S119" i="17"/>
  <c r="T119" i="17" s="1"/>
  <c r="S106" i="17"/>
  <c r="T106" i="17" s="1"/>
  <c r="S93" i="17"/>
  <c r="T93" i="17" s="1"/>
  <c r="S81" i="17"/>
  <c r="T81" i="17" s="1"/>
  <c r="S69" i="17"/>
  <c r="T69" i="17" s="1"/>
  <c r="S56" i="17"/>
  <c r="T56" i="17" s="1"/>
  <c r="S44" i="17"/>
  <c r="T44" i="17" s="1"/>
  <c r="S32" i="17"/>
  <c r="T32" i="17" s="1"/>
  <c r="S18" i="17"/>
  <c r="T18" i="17" s="1"/>
  <c r="S62" i="17"/>
  <c r="T62" i="17" s="1"/>
  <c r="AO181" i="17"/>
  <c r="AO169" i="17"/>
  <c r="AO157" i="17"/>
  <c r="AO145" i="17"/>
  <c r="AO133" i="17"/>
  <c r="AO94" i="17"/>
  <c r="AO57" i="17"/>
  <c r="AO14" i="17"/>
  <c r="S113" i="17"/>
  <c r="T113" i="17" s="1"/>
  <c r="AP113" i="17"/>
  <c r="AO113" i="17"/>
  <c r="AP101" i="17"/>
  <c r="AO101" i="17"/>
  <c r="AP89" i="17"/>
  <c r="AO89" i="17"/>
  <c r="AP77" i="17"/>
  <c r="AO77" i="17"/>
  <c r="AO65" i="17"/>
  <c r="AP65" i="17"/>
  <c r="AO53" i="17"/>
  <c r="AP53" i="17"/>
  <c r="AO41" i="17"/>
  <c r="AP41" i="17"/>
  <c r="AO29" i="17"/>
  <c r="AP29" i="17"/>
  <c r="AO16" i="17"/>
  <c r="AP16" i="17"/>
  <c r="S181" i="17"/>
  <c r="T181" i="17" s="1"/>
  <c r="S168" i="17"/>
  <c r="T168" i="17" s="1"/>
  <c r="S156" i="17"/>
  <c r="T156" i="17" s="1"/>
  <c r="S144" i="17"/>
  <c r="T144" i="17" s="1"/>
  <c r="S131" i="17"/>
  <c r="T131" i="17" s="1"/>
  <c r="S118" i="17"/>
  <c r="T118" i="17" s="1"/>
  <c r="S105" i="17"/>
  <c r="T105" i="17" s="1"/>
  <c r="S92" i="17"/>
  <c r="T92" i="17" s="1"/>
  <c r="S80" i="17"/>
  <c r="T80" i="17" s="1"/>
  <c r="S68" i="17"/>
  <c r="T68" i="17" s="1"/>
  <c r="S55" i="17"/>
  <c r="T55" i="17" s="1"/>
  <c r="S43" i="17"/>
  <c r="T43" i="17" s="1"/>
  <c r="S31" i="17"/>
  <c r="T31" i="17" s="1"/>
  <c r="S17" i="17"/>
  <c r="T17" i="17" s="1"/>
  <c r="AO180" i="17"/>
  <c r="AO168" i="17"/>
  <c r="AO156" i="17"/>
  <c r="AO144" i="17"/>
  <c r="AO132" i="17"/>
  <c r="AO119" i="17"/>
  <c r="AO93" i="17"/>
  <c r="AO56" i="17"/>
  <c r="AO13" i="17"/>
  <c r="AP64" i="17"/>
  <c r="S64" i="17"/>
  <c r="T64" i="17" s="1"/>
  <c r="AO64" i="17"/>
  <c r="AP52" i="17"/>
  <c r="AO52" i="17"/>
  <c r="AP40" i="17"/>
  <c r="AO40" i="17"/>
  <c r="AP28" i="17"/>
  <c r="AO28" i="17"/>
  <c r="AP15" i="17"/>
  <c r="AO15" i="17"/>
  <c r="S180" i="17"/>
  <c r="T180" i="17" s="1"/>
  <c r="S167" i="17"/>
  <c r="T167" i="17" s="1"/>
  <c r="S155" i="17"/>
  <c r="T155" i="17" s="1"/>
  <c r="S143" i="17"/>
  <c r="T143" i="17" s="1"/>
  <c r="S129" i="17"/>
  <c r="T129" i="17" s="1"/>
  <c r="S117" i="17"/>
  <c r="T117" i="17" s="1"/>
  <c r="S103" i="17"/>
  <c r="T103" i="17" s="1"/>
  <c r="S91" i="17"/>
  <c r="T91" i="17" s="1"/>
  <c r="S79" i="17"/>
  <c r="T79" i="17" s="1"/>
  <c r="S67" i="17"/>
  <c r="T67" i="17" s="1"/>
  <c r="S54" i="17"/>
  <c r="T54" i="17" s="1"/>
  <c r="S42" i="17"/>
  <c r="T42" i="17" s="1"/>
  <c r="S30" i="17"/>
  <c r="T30" i="17" s="1"/>
  <c r="S16" i="17"/>
  <c r="T16" i="17" s="1"/>
  <c r="AO179" i="17"/>
  <c r="AO167" i="17"/>
  <c r="AO155" i="17"/>
  <c r="AO143" i="17"/>
  <c r="AO131" i="17"/>
  <c r="AO118" i="17"/>
  <c r="AO88" i="17"/>
  <c r="AO51" i="17"/>
  <c r="AO7" i="17"/>
  <c r="S179" i="17"/>
  <c r="T179" i="17" s="1"/>
  <c r="S166" i="17"/>
  <c r="T166" i="17" s="1"/>
  <c r="S154" i="17"/>
  <c r="T154" i="17" s="1"/>
  <c r="S142" i="17"/>
  <c r="T142" i="17" s="1"/>
  <c r="S128" i="17"/>
  <c r="T128" i="17" s="1"/>
  <c r="S116" i="17"/>
  <c r="T116" i="17" s="1"/>
  <c r="S102" i="17"/>
  <c r="T102" i="17" s="1"/>
  <c r="S90" i="17"/>
  <c r="T90" i="17" s="1"/>
  <c r="S78" i="17"/>
  <c r="T78" i="17" s="1"/>
  <c r="S66" i="17"/>
  <c r="T66" i="17" s="1"/>
  <c r="S53" i="17"/>
  <c r="T53" i="17" s="1"/>
  <c r="S41" i="17"/>
  <c r="T41" i="17" s="1"/>
  <c r="S29" i="17"/>
  <c r="T29" i="17" s="1"/>
  <c r="S15" i="17"/>
  <c r="T15" i="17" s="1"/>
  <c r="AO178" i="17"/>
  <c r="AO166" i="17"/>
  <c r="AO154" i="17"/>
  <c r="AO142" i="17"/>
  <c r="AO117" i="17"/>
  <c r="AO87" i="17"/>
  <c r="AO50" i="17"/>
  <c r="AO110" i="17"/>
  <c r="AP110" i="17"/>
  <c r="AO98" i="17"/>
  <c r="AP98" i="17"/>
  <c r="AO86" i="17"/>
  <c r="AP86" i="17"/>
  <c r="AO74" i="17"/>
  <c r="AP74" i="17"/>
  <c r="S178" i="17"/>
  <c r="T178" i="17" s="1"/>
  <c r="S165" i="17"/>
  <c r="T165" i="17" s="1"/>
  <c r="T153" i="17"/>
  <c r="S141" i="17"/>
  <c r="T141" i="17" s="1"/>
  <c r="S127" i="17"/>
  <c r="T127" i="17" s="1"/>
  <c r="S115" i="17"/>
  <c r="T115" i="17" s="1"/>
  <c r="S101" i="17"/>
  <c r="T101" i="17" s="1"/>
  <c r="S89" i="17"/>
  <c r="T89" i="17" s="1"/>
  <c r="S77" i="17"/>
  <c r="T77" i="17" s="1"/>
  <c r="S65" i="17"/>
  <c r="T65" i="17" s="1"/>
  <c r="S52" i="17"/>
  <c r="T52" i="17" s="1"/>
  <c r="S40" i="17"/>
  <c r="T40" i="17" s="1"/>
  <c r="S28" i="17"/>
  <c r="T28" i="17" s="1"/>
  <c r="S14" i="17"/>
  <c r="T14" i="17" s="1"/>
  <c r="AO177" i="17"/>
  <c r="AO165" i="17"/>
  <c r="AO153" i="17"/>
  <c r="AO141" i="17"/>
  <c r="AO129" i="17"/>
  <c r="AO116" i="17"/>
  <c r="AO82" i="17"/>
  <c r="AO45" i="17"/>
  <c r="AO109" i="17"/>
  <c r="AP109" i="17"/>
  <c r="AO97" i="17"/>
  <c r="AP97" i="17"/>
  <c r="AO85" i="17"/>
  <c r="AP85" i="17"/>
  <c r="S73" i="17"/>
  <c r="T73" i="17" s="1"/>
  <c r="AP73" i="17"/>
  <c r="AO73" i="17"/>
  <c r="AO61" i="17"/>
  <c r="AP61" i="17"/>
  <c r="AO49" i="17"/>
  <c r="AP49" i="17"/>
  <c r="AO37" i="17"/>
  <c r="AP37" i="17"/>
  <c r="AO25" i="17"/>
  <c r="AP25" i="17"/>
  <c r="AO12" i="17"/>
  <c r="AP12" i="17"/>
  <c r="S177" i="17"/>
  <c r="T177" i="17" s="1"/>
  <c r="S164" i="17"/>
  <c r="T164" i="17" s="1"/>
  <c r="S152" i="17"/>
  <c r="T152" i="17" s="1"/>
  <c r="S140" i="17"/>
  <c r="T140" i="17" s="1"/>
  <c r="S126" i="17"/>
  <c r="T126" i="17" s="1"/>
  <c r="S114" i="17"/>
  <c r="T114" i="17" s="1"/>
  <c r="S100" i="17"/>
  <c r="T100" i="17" s="1"/>
  <c r="S88" i="17"/>
  <c r="T88" i="17" s="1"/>
  <c r="S76" i="17"/>
  <c r="T76" i="17" s="1"/>
  <c r="S51" i="17"/>
  <c r="T51" i="17" s="1"/>
  <c r="S39" i="17"/>
  <c r="T39" i="17" s="1"/>
  <c r="S27" i="17"/>
  <c r="T27" i="17" s="1"/>
  <c r="S13" i="17"/>
  <c r="T13" i="17" s="1"/>
  <c r="AO176" i="17"/>
  <c r="AO152" i="17"/>
  <c r="AO140" i="17"/>
  <c r="AO128" i="17"/>
  <c r="AO114" i="17"/>
  <c r="AO81" i="17"/>
  <c r="AO44" i="17"/>
  <c r="S120" i="17"/>
  <c r="T120" i="17" s="1"/>
  <c r="AP120" i="17"/>
  <c r="AO108" i="17"/>
  <c r="AP108" i="17"/>
  <c r="AO96" i="17"/>
  <c r="AP96" i="17"/>
  <c r="AO84" i="17"/>
  <c r="AP84" i="17"/>
  <c r="AO72" i="17"/>
  <c r="AP72" i="17"/>
  <c r="AO60" i="17"/>
  <c r="AP60" i="17"/>
  <c r="AO48" i="17"/>
  <c r="AP48" i="17"/>
  <c r="AO36" i="17"/>
  <c r="AP36" i="17"/>
  <c r="AO24" i="17"/>
  <c r="AP24" i="17"/>
  <c r="AO11" i="17"/>
  <c r="AP11" i="17"/>
  <c r="S176" i="17"/>
  <c r="T176" i="17" s="1"/>
  <c r="S163" i="17"/>
  <c r="T163" i="17" s="1"/>
  <c r="S151" i="17"/>
  <c r="T151" i="17" s="1"/>
  <c r="S138" i="17"/>
  <c r="T138" i="17" s="1"/>
  <c r="S125" i="17"/>
  <c r="T125" i="17" s="1"/>
  <c r="S112" i="17"/>
  <c r="T112" i="17" s="1"/>
  <c r="S99" i="17"/>
  <c r="T99" i="17" s="1"/>
  <c r="S87" i="17"/>
  <c r="T87" i="17" s="1"/>
  <c r="S75" i="17"/>
  <c r="T75" i="17" s="1"/>
  <c r="S63" i="17"/>
  <c r="T63" i="17" s="1"/>
  <c r="S50" i="17"/>
  <c r="T50" i="17" s="1"/>
  <c r="S38" i="17"/>
  <c r="T38" i="17" s="1"/>
  <c r="S26" i="17"/>
  <c r="T26" i="17" s="1"/>
  <c r="S12" i="17"/>
  <c r="T12" i="17" s="1"/>
  <c r="AO175" i="17"/>
  <c r="AO163" i="17"/>
  <c r="AO151" i="17"/>
  <c r="AO139" i="17"/>
  <c r="AO126" i="17"/>
  <c r="AO112" i="17"/>
  <c r="AO76" i="17"/>
  <c r="AO39" i="17"/>
  <c r="AO107" i="17"/>
  <c r="AP107" i="17"/>
  <c r="AO95" i="17"/>
  <c r="AP95" i="17"/>
  <c r="AO83" i="17"/>
  <c r="AP83" i="17"/>
  <c r="AO71" i="17"/>
  <c r="AP71" i="17"/>
  <c r="AO59" i="17"/>
  <c r="AP59" i="17"/>
  <c r="AO47" i="17"/>
  <c r="AP47" i="17"/>
  <c r="AO35" i="17"/>
  <c r="AP35" i="17"/>
  <c r="AO23" i="17"/>
  <c r="AP23" i="17"/>
  <c r="AO10" i="17"/>
  <c r="AP10" i="17"/>
  <c r="S174" i="17"/>
  <c r="T174" i="17" s="1"/>
  <c r="S162" i="17"/>
  <c r="T162" i="17" s="1"/>
  <c r="S150" i="17"/>
  <c r="T150" i="17" s="1"/>
  <c r="S137" i="17"/>
  <c r="T137" i="17" s="1"/>
  <c r="S124" i="17"/>
  <c r="T124" i="17" s="1"/>
  <c r="S111" i="17"/>
  <c r="T111" i="17" s="1"/>
  <c r="S98" i="17"/>
  <c r="T98" i="17" s="1"/>
  <c r="S86" i="17"/>
  <c r="T86" i="17" s="1"/>
  <c r="S74" i="17"/>
  <c r="T74" i="17" s="1"/>
  <c r="S61" i="17"/>
  <c r="T61" i="17" s="1"/>
  <c r="S49" i="17"/>
  <c r="T49" i="17" s="1"/>
  <c r="S37" i="17"/>
  <c r="T37" i="17" s="1"/>
  <c r="S25" i="17"/>
  <c r="T25" i="17" s="1"/>
  <c r="S11" i="17"/>
  <c r="T11" i="17" s="1"/>
  <c r="AO174" i="17"/>
  <c r="AO162" i="17"/>
  <c r="AO150" i="17"/>
  <c r="AO138" i="17"/>
  <c r="AO125" i="17"/>
  <c r="AO111" i="17"/>
  <c r="AO75" i="17"/>
  <c r="AO38" i="17"/>
  <c r="S130" i="17"/>
  <c r="T130" i="17" s="1"/>
  <c r="AP130" i="17"/>
  <c r="AO70" i="17"/>
  <c r="AP70" i="17"/>
  <c r="AO58" i="17"/>
  <c r="AP58" i="17"/>
  <c r="AO46" i="17"/>
  <c r="AP46" i="17"/>
  <c r="AO34" i="17"/>
  <c r="AP34" i="17"/>
  <c r="AO22" i="17"/>
  <c r="AP22" i="17"/>
  <c r="AO9" i="17"/>
  <c r="AP9" i="17"/>
  <c r="S173" i="17"/>
  <c r="T173" i="17" s="1"/>
  <c r="S161" i="17"/>
  <c r="T161" i="17" s="1"/>
  <c r="S149" i="17"/>
  <c r="T149" i="17" s="1"/>
  <c r="S136" i="17"/>
  <c r="T136" i="17" s="1"/>
  <c r="S123" i="17"/>
  <c r="T123" i="17" s="1"/>
  <c r="S110" i="17"/>
  <c r="T110" i="17" s="1"/>
  <c r="S97" i="17"/>
  <c r="T97" i="17" s="1"/>
  <c r="S85" i="17"/>
  <c r="T85" i="17" s="1"/>
  <c r="S60" i="17"/>
  <c r="T60" i="17" s="1"/>
  <c r="S48" i="17"/>
  <c r="T48" i="17" s="1"/>
  <c r="S36" i="17"/>
  <c r="T36" i="17" s="1"/>
  <c r="S24" i="17"/>
  <c r="T24" i="17" s="1"/>
  <c r="S10" i="17"/>
  <c r="T10" i="17" s="1"/>
  <c r="AO173" i="17"/>
  <c r="AO161" i="17"/>
  <c r="AO149" i="17"/>
  <c r="AO137" i="17"/>
  <c r="AO124" i="17"/>
  <c r="AO106" i="17"/>
  <c r="AO69" i="17"/>
  <c r="AO32" i="17"/>
  <c r="AO33" i="17"/>
  <c r="AP33" i="17"/>
  <c r="AO21" i="17"/>
  <c r="AP21" i="17"/>
  <c r="AO8" i="17"/>
  <c r="AP8" i="17"/>
  <c r="S172" i="17"/>
  <c r="T172" i="17" s="1"/>
  <c r="S160" i="17"/>
  <c r="T160" i="17" s="1"/>
  <c r="S148" i="17"/>
  <c r="T148" i="17" s="1"/>
  <c r="S135" i="17"/>
  <c r="T135" i="17" s="1"/>
  <c r="S122" i="17"/>
  <c r="T122" i="17" s="1"/>
  <c r="S109" i="17"/>
  <c r="T109" i="17" s="1"/>
  <c r="S96" i="17"/>
  <c r="T96" i="17" s="1"/>
  <c r="S84" i="17"/>
  <c r="T84" i="17" s="1"/>
  <c r="S72" i="17"/>
  <c r="T72" i="17" s="1"/>
  <c r="S59" i="17"/>
  <c r="T59" i="17" s="1"/>
  <c r="S47" i="17"/>
  <c r="T47" i="17" s="1"/>
  <c r="S35" i="17"/>
  <c r="T35" i="17" s="1"/>
  <c r="S23" i="17"/>
  <c r="T23" i="17" s="1"/>
  <c r="S9" i="17"/>
  <c r="T9" i="17" s="1"/>
  <c r="AO172" i="17"/>
  <c r="AO160" i="17"/>
  <c r="AO148" i="17"/>
  <c r="AO136" i="17"/>
  <c r="AO123" i="17"/>
  <c r="AO105" i="17"/>
  <c r="AO68" i="17"/>
  <c r="AO27" i="17"/>
  <c r="AC238" i="17"/>
  <c r="AO236" i="17"/>
  <c r="AP236" i="17"/>
  <c r="AP234" i="17"/>
  <c r="AO234" i="17"/>
  <c r="AO218" i="17"/>
  <c r="AD218" i="17"/>
  <c r="AC218" i="17"/>
  <c r="S210" i="17"/>
  <c r="T210" i="17" s="1"/>
  <c r="AC210" i="17"/>
  <c r="AD210" i="17"/>
  <c r="AO210" i="17"/>
  <c r="AC206" i="17"/>
  <c r="AD206" i="17"/>
  <c r="AO206" i="17"/>
  <c r="S199" i="17"/>
  <c r="T199" i="17" s="1"/>
  <c r="AP199" i="17"/>
  <c r="AO199" i="17"/>
  <c r="AP197" i="17"/>
  <c r="AO197" i="17"/>
  <c r="S197" i="17"/>
  <c r="T197" i="17" s="1"/>
  <c r="AD197" i="17"/>
  <c r="AD188" i="17"/>
  <c r="AC188" i="17"/>
  <c r="AO184" i="17"/>
  <c r="S19" i="17"/>
  <c r="T19" i="17" s="1"/>
  <c r="AP19" i="17"/>
  <c r="S253" i="17"/>
  <c r="T253" i="17" s="1"/>
  <c r="AP247" i="17"/>
  <c r="AP253" i="17"/>
  <c r="S247" i="17"/>
  <c r="T247" i="17" s="1"/>
  <c r="S246" i="17"/>
  <c r="T246" i="17" s="1"/>
  <c r="AO246" i="17"/>
  <c r="S245" i="17"/>
  <c r="T245" i="17" s="1"/>
  <c r="AO245" i="17"/>
  <c r="AP245" i="17"/>
  <c r="S243" i="17"/>
  <c r="T243" i="17" s="1"/>
  <c r="AO243" i="17"/>
  <c r="AO241" i="17"/>
  <c r="AP241" i="17"/>
  <c r="S241" i="17"/>
  <c r="T241" i="17" s="1"/>
  <c r="S235" i="17"/>
  <c r="T235" i="17" s="1"/>
  <c r="AO235" i="17"/>
  <c r="AC234" i="17"/>
  <c r="AC215" i="17"/>
  <c r="AC201" i="17"/>
  <c r="AC200" i="17"/>
  <c r="AD199" i="17"/>
  <c r="AC195" i="17"/>
  <c r="AD195" i="17"/>
  <c r="AO193" i="17"/>
  <c r="S193" i="17"/>
  <c r="T193" i="17" s="1"/>
  <c r="AC193" i="17"/>
  <c r="AD193" i="17"/>
  <c r="AC191" i="17"/>
  <c r="AC189" i="17"/>
  <c r="AB186" i="17"/>
  <c r="AP184" i="17"/>
  <c r="AP219" i="17"/>
  <c r="AP229" i="17"/>
  <c r="AP217" i="17"/>
  <c r="AP205" i="17"/>
  <c r="AP196" i="17"/>
  <c r="AP218" i="17"/>
  <c r="S208" i="17"/>
  <c r="T208" i="17" s="1"/>
  <c r="S196" i="17"/>
  <c r="T196" i="17" s="1"/>
  <c r="AP231" i="17"/>
  <c r="AP207" i="17"/>
  <c r="AP194" i="17"/>
  <c r="S231" i="17"/>
  <c r="T231" i="17" s="1"/>
  <c r="S219" i="17"/>
  <c r="T219" i="17" s="1"/>
  <c r="S207" i="17"/>
  <c r="T207" i="17" s="1"/>
  <c r="S195" i="17"/>
  <c r="T195" i="17" s="1"/>
  <c r="S230" i="17"/>
  <c r="T230" i="17" s="1"/>
  <c r="S206" i="17"/>
  <c r="T206" i="17" s="1"/>
  <c r="AP195" i="17"/>
  <c r="T6" i="17"/>
  <c r="AP6" i="17"/>
  <c r="H232" i="18"/>
  <c r="G232" i="18"/>
  <c r="D186" i="13"/>
  <c r="C18" i="16"/>
  <c r="D18" i="16"/>
  <c r="E18" i="16"/>
  <c r="F18" i="16"/>
  <c r="G18" i="16"/>
  <c r="H18" i="16"/>
  <c r="I18" i="16"/>
  <c r="J18" i="16"/>
  <c r="P18" i="16"/>
  <c r="Q18" i="16"/>
  <c r="C15" i="16"/>
  <c r="D15" i="16"/>
  <c r="E15" i="16"/>
  <c r="F15" i="16"/>
  <c r="G15" i="16"/>
  <c r="H15" i="16"/>
  <c r="I15" i="16"/>
  <c r="J15" i="16"/>
  <c r="P15" i="16"/>
  <c r="Q15" i="16"/>
  <c r="B175" i="16"/>
  <c r="B184" i="16"/>
  <c r="B187" i="16"/>
  <c r="B255" i="16"/>
  <c r="C3" i="16"/>
  <c r="D3" i="16"/>
  <c r="E3" i="16"/>
  <c r="F3" i="16"/>
  <c r="G3" i="16"/>
  <c r="H3" i="16"/>
  <c r="I3" i="16"/>
  <c r="J3" i="16"/>
  <c r="P3" i="16"/>
  <c r="Q3" i="16"/>
  <c r="C4" i="16"/>
  <c r="D4" i="16"/>
  <c r="E4" i="16"/>
  <c r="F4" i="16"/>
  <c r="G4" i="16"/>
  <c r="H4" i="16"/>
  <c r="I4" i="16"/>
  <c r="J4" i="16"/>
  <c r="P4" i="16"/>
  <c r="Q4" i="16"/>
  <c r="C5" i="16"/>
  <c r="D5" i="16"/>
  <c r="E5" i="16"/>
  <c r="F5" i="16"/>
  <c r="G5" i="16"/>
  <c r="H5" i="16"/>
  <c r="I5" i="16"/>
  <c r="J5" i="16"/>
  <c r="P5" i="16"/>
  <c r="Q5" i="16"/>
  <c r="C6" i="16"/>
  <c r="D6" i="16"/>
  <c r="E6" i="16"/>
  <c r="F6" i="16"/>
  <c r="G6" i="16"/>
  <c r="H6" i="16"/>
  <c r="I6" i="16"/>
  <c r="J6" i="16"/>
  <c r="P6" i="16"/>
  <c r="Q6" i="16"/>
  <c r="C7" i="16"/>
  <c r="D7" i="16"/>
  <c r="E7" i="16"/>
  <c r="F7" i="16"/>
  <c r="G7" i="16"/>
  <c r="H7" i="16"/>
  <c r="I7" i="16"/>
  <c r="J7" i="16"/>
  <c r="P7" i="16"/>
  <c r="Q7" i="16"/>
  <c r="C8" i="16"/>
  <c r="D8" i="16"/>
  <c r="E8" i="16"/>
  <c r="F8" i="16"/>
  <c r="G8" i="16"/>
  <c r="H8" i="16"/>
  <c r="I8" i="16"/>
  <c r="J8" i="16"/>
  <c r="P8" i="16"/>
  <c r="Q8" i="16"/>
  <c r="C9" i="16"/>
  <c r="D9" i="16"/>
  <c r="E9" i="16"/>
  <c r="F9" i="16"/>
  <c r="G9" i="16"/>
  <c r="H9" i="16"/>
  <c r="I9" i="16"/>
  <c r="J9" i="16"/>
  <c r="P9" i="16"/>
  <c r="Q9" i="16"/>
  <c r="C10" i="16"/>
  <c r="D10" i="16"/>
  <c r="E10" i="16"/>
  <c r="F10" i="16"/>
  <c r="G10" i="16"/>
  <c r="H10" i="16"/>
  <c r="I10" i="16"/>
  <c r="J10" i="16"/>
  <c r="P10" i="16"/>
  <c r="Q10" i="16"/>
  <c r="C11" i="16"/>
  <c r="D11" i="16"/>
  <c r="E11" i="16"/>
  <c r="F11" i="16"/>
  <c r="G11" i="16"/>
  <c r="H11" i="16"/>
  <c r="I11" i="16"/>
  <c r="J11" i="16"/>
  <c r="P11" i="16"/>
  <c r="Q11" i="16"/>
  <c r="C12" i="16"/>
  <c r="D12" i="16"/>
  <c r="E12" i="16"/>
  <c r="F12" i="16"/>
  <c r="G12" i="16"/>
  <c r="H12" i="16"/>
  <c r="I12" i="16"/>
  <c r="J12" i="16"/>
  <c r="P12" i="16"/>
  <c r="Q12" i="16"/>
  <c r="C13" i="16"/>
  <c r="D13" i="16"/>
  <c r="E13" i="16"/>
  <c r="F13" i="16"/>
  <c r="G13" i="16"/>
  <c r="H13" i="16"/>
  <c r="I13" i="16"/>
  <c r="J13" i="16"/>
  <c r="P13" i="16"/>
  <c r="Q13" i="16"/>
  <c r="C14" i="16"/>
  <c r="D14" i="16"/>
  <c r="E14" i="16"/>
  <c r="F14" i="16"/>
  <c r="G14" i="16"/>
  <c r="H14" i="16"/>
  <c r="I14" i="16"/>
  <c r="J14" i="16"/>
  <c r="P14" i="16"/>
  <c r="Q14" i="16"/>
  <c r="C16" i="16"/>
  <c r="D16" i="16"/>
  <c r="E16" i="16"/>
  <c r="F16" i="16"/>
  <c r="G16" i="16"/>
  <c r="H16" i="16"/>
  <c r="I16" i="16"/>
  <c r="J16" i="16"/>
  <c r="P16" i="16"/>
  <c r="Q16" i="16"/>
  <c r="C17" i="16"/>
  <c r="D17" i="16"/>
  <c r="E17" i="16"/>
  <c r="F17" i="16"/>
  <c r="G17" i="16"/>
  <c r="H17" i="16"/>
  <c r="I17" i="16"/>
  <c r="J17" i="16"/>
  <c r="P17" i="16"/>
  <c r="Q17" i="16"/>
  <c r="AJ17" i="16"/>
  <c r="C19" i="16"/>
  <c r="D19" i="16"/>
  <c r="E19" i="16"/>
  <c r="F19" i="16"/>
  <c r="G19" i="16"/>
  <c r="H19" i="16"/>
  <c r="I19" i="16"/>
  <c r="J19" i="16"/>
  <c r="P19" i="16"/>
  <c r="Q19" i="16"/>
  <c r="C20" i="16"/>
  <c r="D20" i="16"/>
  <c r="E20" i="16"/>
  <c r="F20" i="16"/>
  <c r="G20" i="16"/>
  <c r="H20" i="16"/>
  <c r="I20" i="16"/>
  <c r="J20" i="16"/>
  <c r="P20" i="16"/>
  <c r="Q20" i="16"/>
  <c r="C21" i="16"/>
  <c r="D21" i="16"/>
  <c r="E21" i="16"/>
  <c r="F21" i="16"/>
  <c r="G21" i="16"/>
  <c r="H21" i="16"/>
  <c r="I21" i="16"/>
  <c r="J21" i="16"/>
  <c r="P21" i="16"/>
  <c r="Q21" i="16"/>
  <c r="C22" i="16"/>
  <c r="D22" i="16"/>
  <c r="E22" i="16"/>
  <c r="F22" i="16"/>
  <c r="G22" i="16"/>
  <c r="H22" i="16"/>
  <c r="I22" i="16"/>
  <c r="J22" i="16"/>
  <c r="P22" i="16"/>
  <c r="Q22" i="16"/>
  <c r="C23" i="16"/>
  <c r="D23" i="16"/>
  <c r="E23" i="16"/>
  <c r="F23" i="16"/>
  <c r="G23" i="16"/>
  <c r="H23" i="16"/>
  <c r="I23" i="16"/>
  <c r="J23" i="16"/>
  <c r="P23" i="16"/>
  <c r="Q23" i="16"/>
  <c r="C24" i="16"/>
  <c r="D24" i="16"/>
  <c r="E24" i="16"/>
  <c r="F24" i="16"/>
  <c r="G24" i="16"/>
  <c r="H24" i="16"/>
  <c r="I24" i="16"/>
  <c r="J24" i="16"/>
  <c r="P24" i="16"/>
  <c r="Q24" i="16"/>
  <c r="C25" i="16"/>
  <c r="D25" i="16"/>
  <c r="E25" i="16"/>
  <c r="F25" i="16"/>
  <c r="G25" i="16"/>
  <c r="H25" i="16"/>
  <c r="I25" i="16"/>
  <c r="J25" i="16"/>
  <c r="P25" i="16"/>
  <c r="Q25" i="16"/>
  <c r="C26" i="16"/>
  <c r="D26" i="16"/>
  <c r="E26" i="16"/>
  <c r="F26" i="16"/>
  <c r="G26" i="16"/>
  <c r="H26" i="16"/>
  <c r="I26" i="16"/>
  <c r="J26" i="16"/>
  <c r="P26" i="16"/>
  <c r="Q26" i="16"/>
  <c r="C27" i="16"/>
  <c r="D27" i="16"/>
  <c r="E27" i="16"/>
  <c r="F27" i="16"/>
  <c r="G27" i="16"/>
  <c r="H27" i="16"/>
  <c r="I27" i="16"/>
  <c r="J27" i="16"/>
  <c r="P27" i="16"/>
  <c r="Q27" i="16"/>
  <c r="C28" i="16"/>
  <c r="D28" i="16"/>
  <c r="E28" i="16"/>
  <c r="F28" i="16"/>
  <c r="G28" i="16"/>
  <c r="H28" i="16"/>
  <c r="I28" i="16"/>
  <c r="J28" i="16"/>
  <c r="P28" i="16"/>
  <c r="Q28" i="16"/>
  <c r="C29" i="16"/>
  <c r="D29" i="16"/>
  <c r="E29" i="16"/>
  <c r="F29" i="16"/>
  <c r="G29" i="16"/>
  <c r="H29" i="16"/>
  <c r="I29" i="16"/>
  <c r="J29" i="16"/>
  <c r="P29" i="16"/>
  <c r="Q29" i="16"/>
  <c r="C30" i="16"/>
  <c r="D30" i="16"/>
  <c r="E30" i="16"/>
  <c r="F30" i="16"/>
  <c r="G30" i="16"/>
  <c r="H30" i="16"/>
  <c r="I30" i="16"/>
  <c r="J30" i="16"/>
  <c r="P30" i="16"/>
  <c r="Q30" i="16"/>
  <c r="C31" i="16"/>
  <c r="D31" i="16"/>
  <c r="E31" i="16"/>
  <c r="F31" i="16"/>
  <c r="G31" i="16"/>
  <c r="H31" i="16"/>
  <c r="I31" i="16"/>
  <c r="J31" i="16"/>
  <c r="P31" i="16"/>
  <c r="Q31" i="16"/>
  <c r="C32" i="16"/>
  <c r="D32" i="16"/>
  <c r="E32" i="16"/>
  <c r="F32" i="16"/>
  <c r="G32" i="16"/>
  <c r="H32" i="16"/>
  <c r="I32" i="16"/>
  <c r="J32" i="16"/>
  <c r="P32" i="16"/>
  <c r="Q32" i="16"/>
  <c r="C33" i="16"/>
  <c r="D33" i="16"/>
  <c r="E33" i="16"/>
  <c r="F33" i="16"/>
  <c r="G33" i="16"/>
  <c r="H33" i="16"/>
  <c r="I33" i="16"/>
  <c r="J33" i="16"/>
  <c r="P33" i="16"/>
  <c r="Q33" i="16"/>
  <c r="C34" i="16"/>
  <c r="D34" i="16"/>
  <c r="E34" i="16"/>
  <c r="F34" i="16"/>
  <c r="G34" i="16"/>
  <c r="H34" i="16"/>
  <c r="I34" i="16"/>
  <c r="J34" i="16"/>
  <c r="P34" i="16"/>
  <c r="Q34" i="16"/>
  <c r="C35" i="16"/>
  <c r="D35" i="16"/>
  <c r="E35" i="16"/>
  <c r="F35" i="16"/>
  <c r="G35" i="16"/>
  <c r="H35" i="16"/>
  <c r="I35" i="16"/>
  <c r="J35" i="16"/>
  <c r="P35" i="16"/>
  <c r="Q35" i="16"/>
  <c r="C36" i="16"/>
  <c r="D36" i="16"/>
  <c r="E36" i="16"/>
  <c r="F36" i="16"/>
  <c r="G36" i="16"/>
  <c r="H36" i="16"/>
  <c r="I36" i="16"/>
  <c r="J36" i="16"/>
  <c r="P36" i="16"/>
  <c r="Q36" i="16"/>
  <c r="C37" i="16"/>
  <c r="D37" i="16"/>
  <c r="E37" i="16"/>
  <c r="F37" i="16"/>
  <c r="G37" i="16"/>
  <c r="H37" i="16"/>
  <c r="I37" i="16"/>
  <c r="J37" i="16"/>
  <c r="P37" i="16"/>
  <c r="Q37" i="16"/>
  <c r="C38" i="16"/>
  <c r="D38" i="16"/>
  <c r="E38" i="16"/>
  <c r="F38" i="16"/>
  <c r="G38" i="16"/>
  <c r="H38" i="16"/>
  <c r="I38" i="16"/>
  <c r="J38" i="16"/>
  <c r="P38" i="16"/>
  <c r="Q38" i="16"/>
  <c r="C39" i="16"/>
  <c r="D39" i="16"/>
  <c r="E39" i="16"/>
  <c r="F39" i="16"/>
  <c r="G39" i="16"/>
  <c r="H39" i="16"/>
  <c r="I39" i="16"/>
  <c r="J39" i="16"/>
  <c r="P39" i="16"/>
  <c r="Q39" i="16"/>
  <c r="C40" i="16"/>
  <c r="D40" i="16"/>
  <c r="E40" i="16"/>
  <c r="F40" i="16"/>
  <c r="G40" i="16"/>
  <c r="H40" i="16"/>
  <c r="I40" i="16"/>
  <c r="J40" i="16"/>
  <c r="P40" i="16"/>
  <c r="Q40" i="16"/>
  <c r="C41" i="16"/>
  <c r="D41" i="16"/>
  <c r="E41" i="16"/>
  <c r="F41" i="16"/>
  <c r="G41" i="16"/>
  <c r="H41" i="16"/>
  <c r="I41" i="16"/>
  <c r="J41" i="16"/>
  <c r="P41" i="16"/>
  <c r="Q41" i="16"/>
  <c r="C42" i="16"/>
  <c r="D42" i="16"/>
  <c r="E42" i="16"/>
  <c r="F42" i="16"/>
  <c r="G42" i="16"/>
  <c r="H42" i="16"/>
  <c r="I42" i="16"/>
  <c r="J42" i="16"/>
  <c r="P42" i="16"/>
  <c r="Q42" i="16"/>
  <c r="C43" i="16"/>
  <c r="D43" i="16"/>
  <c r="E43" i="16"/>
  <c r="F43" i="16"/>
  <c r="G43" i="16"/>
  <c r="H43" i="16"/>
  <c r="I43" i="16"/>
  <c r="J43" i="16"/>
  <c r="P43" i="16"/>
  <c r="Q43" i="16"/>
  <c r="C44" i="16"/>
  <c r="D44" i="16"/>
  <c r="E44" i="16"/>
  <c r="F44" i="16"/>
  <c r="G44" i="16"/>
  <c r="H44" i="16"/>
  <c r="I44" i="16"/>
  <c r="J44" i="16"/>
  <c r="P44" i="16"/>
  <c r="Q44" i="16"/>
  <c r="C45" i="16"/>
  <c r="D45" i="16"/>
  <c r="E45" i="16"/>
  <c r="F45" i="16"/>
  <c r="G45" i="16"/>
  <c r="H45" i="16"/>
  <c r="I45" i="16"/>
  <c r="J45" i="16"/>
  <c r="P45" i="16"/>
  <c r="Q45" i="16"/>
  <c r="C46" i="16"/>
  <c r="D46" i="16"/>
  <c r="E46" i="16"/>
  <c r="F46" i="16"/>
  <c r="G46" i="16"/>
  <c r="H46" i="16"/>
  <c r="I46" i="16"/>
  <c r="J46" i="16"/>
  <c r="P46" i="16"/>
  <c r="Q46" i="16"/>
  <c r="C47" i="16"/>
  <c r="D47" i="16"/>
  <c r="E47" i="16"/>
  <c r="F47" i="16"/>
  <c r="G47" i="16"/>
  <c r="H47" i="16"/>
  <c r="I47" i="16"/>
  <c r="J47" i="16"/>
  <c r="P47" i="16"/>
  <c r="Q47" i="16"/>
  <c r="C48" i="16"/>
  <c r="D48" i="16"/>
  <c r="E48" i="16"/>
  <c r="F48" i="16"/>
  <c r="G48" i="16"/>
  <c r="H48" i="16"/>
  <c r="I48" i="16"/>
  <c r="J48" i="16"/>
  <c r="P48" i="16"/>
  <c r="Q48" i="16"/>
  <c r="C49" i="16"/>
  <c r="D49" i="16"/>
  <c r="E49" i="16"/>
  <c r="F49" i="16"/>
  <c r="G49" i="16"/>
  <c r="H49" i="16"/>
  <c r="I49" i="16"/>
  <c r="J49" i="16"/>
  <c r="P49" i="16"/>
  <c r="Q49" i="16"/>
  <c r="C50" i="16"/>
  <c r="D50" i="16"/>
  <c r="E50" i="16"/>
  <c r="F50" i="16"/>
  <c r="G50" i="16"/>
  <c r="H50" i="16"/>
  <c r="I50" i="16"/>
  <c r="J50" i="16"/>
  <c r="P50" i="16"/>
  <c r="Q50" i="16"/>
  <c r="C51" i="16"/>
  <c r="D51" i="16"/>
  <c r="E51" i="16"/>
  <c r="F51" i="16"/>
  <c r="G51" i="16"/>
  <c r="H51" i="16"/>
  <c r="I51" i="16"/>
  <c r="J51" i="16"/>
  <c r="P51" i="16"/>
  <c r="Q51" i="16"/>
  <c r="C52" i="16"/>
  <c r="D52" i="16"/>
  <c r="E52" i="16"/>
  <c r="F52" i="16"/>
  <c r="G52" i="16"/>
  <c r="H52" i="16"/>
  <c r="I52" i="16"/>
  <c r="J52" i="16"/>
  <c r="P52" i="16"/>
  <c r="Q52" i="16"/>
  <c r="C53" i="16"/>
  <c r="D53" i="16"/>
  <c r="E53" i="16"/>
  <c r="F53" i="16"/>
  <c r="G53" i="16"/>
  <c r="H53" i="16"/>
  <c r="I53" i="16"/>
  <c r="J53" i="16"/>
  <c r="P53" i="16"/>
  <c r="Q53" i="16"/>
  <c r="C54" i="16"/>
  <c r="D54" i="16"/>
  <c r="E54" i="16"/>
  <c r="F54" i="16"/>
  <c r="G54" i="16"/>
  <c r="H54" i="16"/>
  <c r="I54" i="16"/>
  <c r="J54" i="16"/>
  <c r="P54" i="16"/>
  <c r="Q54" i="16"/>
  <c r="C55" i="16"/>
  <c r="D55" i="16"/>
  <c r="E55" i="16"/>
  <c r="F55" i="16"/>
  <c r="G55" i="16"/>
  <c r="H55" i="16"/>
  <c r="I55" i="16"/>
  <c r="J55" i="16"/>
  <c r="P55" i="16"/>
  <c r="Q55" i="16"/>
  <c r="C56" i="16"/>
  <c r="D56" i="16"/>
  <c r="E56" i="16"/>
  <c r="F56" i="16"/>
  <c r="G56" i="16"/>
  <c r="H56" i="16"/>
  <c r="I56" i="16"/>
  <c r="J56" i="16"/>
  <c r="P56" i="16"/>
  <c r="Q56" i="16"/>
  <c r="C57" i="16"/>
  <c r="D57" i="16"/>
  <c r="E57" i="16"/>
  <c r="F57" i="16"/>
  <c r="G57" i="16"/>
  <c r="H57" i="16"/>
  <c r="I57" i="16"/>
  <c r="J57" i="16"/>
  <c r="P57" i="16"/>
  <c r="Q57" i="16"/>
  <c r="C58" i="16"/>
  <c r="D58" i="16"/>
  <c r="E58" i="16"/>
  <c r="F58" i="16"/>
  <c r="G58" i="16"/>
  <c r="H58" i="16"/>
  <c r="I58" i="16"/>
  <c r="J58" i="16"/>
  <c r="P58" i="16"/>
  <c r="Q58" i="16"/>
  <c r="C59" i="16"/>
  <c r="D59" i="16"/>
  <c r="E59" i="16"/>
  <c r="F59" i="16"/>
  <c r="G59" i="16"/>
  <c r="H59" i="16"/>
  <c r="I59" i="16"/>
  <c r="J59" i="16"/>
  <c r="P59" i="16"/>
  <c r="Q59" i="16"/>
  <c r="C60" i="16"/>
  <c r="D60" i="16"/>
  <c r="E60" i="16"/>
  <c r="F60" i="16"/>
  <c r="G60" i="16"/>
  <c r="H60" i="16"/>
  <c r="I60" i="16"/>
  <c r="J60" i="16"/>
  <c r="P60" i="16"/>
  <c r="Q60" i="16"/>
  <c r="C61" i="16"/>
  <c r="D61" i="16"/>
  <c r="E61" i="16"/>
  <c r="F61" i="16"/>
  <c r="G61" i="16"/>
  <c r="H61" i="16"/>
  <c r="I61" i="16"/>
  <c r="J61" i="16"/>
  <c r="P61" i="16"/>
  <c r="Q61" i="16"/>
  <c r="C62" i="16"/>
  <c r="D62" i="16"/>
  <c r="E62" i="16"/>
  <c r="F62" i="16"/>
  <c r="G62" i="16"/>
  <c r="H62" i="16"/>
  <c r="I62" i="16"/>
  <c r="J62" i="16"/>
  <c r="P62" i="16"/>
  <c r="Q62" i="16"/>
  <c r="C63" i="16"/>
  <c r="D63" i="16"/>
  <c r="E63" i="16"/>
  <c r="F63" i="16"/>
  <c r="G63" i="16"/>
  <c r="H63" i="16"/>
  <c r="I63" i="16"/>
  <c r="J63" i="16"/>
  <c r="P63" i="16"/>
  <c r="Q63" i="16"/>
  <c r="C64" i="16"/>
  <c r="D64" i="16"/>
  <c r="E64" i="16"/>
  <c r="F64" i="16"/>
  <c r="G64" i="16"/>
  <c r="H64" i="16"/>
  <c r="I64" i="16"/>
  <c r="J64" i="16"/>
  <c r="P64" i="16"/>
  <c r="Q64" i="16"/>
  <c r="C65" i="16"/>
  <c r="D65" i="16"/>
  <c r="E65" i="16"/>
  <c r="F65" i="16"/>
  <c r="G65" i="16"/>
  <c r="H65" i="16"/>
  <c r="I65" i="16"/>
  <c r="J65" i="16"/>
  <c r="P65" i="16"/>
  <c r="Q65" i="16"/>
  <c r="C66" i="16"/>
  <c r="D66" i="16"/>
  <c r="E66" i="16"/>
  <c r="F66" i="16"/>
  <c r="G66" i="16"/>
  <c r="H66" i="16"/>
  <c r="I66" i="16"/>
  <c r="J66" i="16"/>
  <c r="P66" i="16"/>
  <c r="Q66" i="16"/>
  <c r="C67" i="16"/>
  <c r="D67" i="16"/>
  <c r="E67" i="16"/>
  <c r="F67" i="16"/>
  <c r="G67" i="16"/>
  <c r="H67" i="16"/>
  <c r="I67" i="16"/>
  <c r="J67" i="16"/>
  <c r="P67" i="16"/>
  <c r="Q67" i="16"/>
  <c r="C68" i="16"/>
  <c r="D68" i="16"/>
  <c r="E68" i="16"/>
  <c r="F68" i="16"/>
  <c r="G68" i="16"/>
  <c r="H68" i="16"/>
  <c r="I68" i="16"/>
  <c r="J68" i="16"/>
  <c r="P68" i="16"/>
  <c r="Q68" i="16"/>
  <c r="C69" i="16"/>
  <c r="D69" i="16"/>
  <c r="E69" i="16"/>
  <c r="F69" i="16"/>
  <c r="G69" i="16"/>
  <c r="H69" i="16"/>
  <c r="I69" i="16"/>
  <c r="J69" i="16"/>
  <c r="P69" i="16"/>
  <c r="Q69" i="16"/>
  <c r="C70" i="16"/>
  <c r="D70" i="16"/>
  <c r="E70" i="16"/>
  <c r="F70" i="16"/>
  <c r="G70" i="16"/>
  <c r="H70" i="16"/>
  <c r="I70" i="16"/>
  <c r="J70" i="16"/>
  <c r="P70" i="16"/>
  <c r="Q70" i="16"/>
  <c r="C71" i="16"/>
  <c r="D71" i="16"/>
  <c r="E71" i="16"/>
  <c r="F71" i="16"/>
  <c r="G71" i="16"/>
  <c r="H71" i="16"/>
  <c r="I71" i="16"/>
  <c r="J71" i="16"/>
  <c r="P71" i="16"/>
  <c r="Q71" i="16"/>
  <c r="C72" i="16"/>
  <c r="D72" i="16"/>
  <c r="E72" i="16"/>
  <c r="F72" i="16"/>
  <c r="G72" i="16"/>
  <c r="H72" i="16"/>
  <c r="I72" i="16"/>
  <c r="J72" i="16"/>
  <c r="P72" i="16"/>
  <c r="Q72" i="16"/>
  <c r="C73" i="16"/>
  <c r="D73" i="16"/>
  <c r="E73" i="16"/>
  <c r="F73" i="16"/>
  <c r="G73" i="16"/>
  <c r="H73" i="16"/>
  <c r="I73" i="16"/>
  <c r="J73" i="16"/>
  <c r="P73" i="16"/>
  <c r="Q73" i="16"/>
  <c r="C74" i="16"/>
  <c r="D74" i="16"/>
  <c r="E74" i="16"/>
  <c r="F74" i="16"/>
  <c r="G74" i="16"/>
  <c r="H74" i="16"/>
  <c r="I74" i="16"/>
  <c r="J74" i="16"/>
  <c r="P74" i="16"/>
  <c r="Q74" i="16"/>
  <c r="C75" i="16"/>
  <c r="D75" i="16"/>
  <c r="E75" i="16"/>
  <c r="F75" i="16"/>
  <c r="G75" i="16"/>
  <c r="H75" i="16"/>
  <c r="I75" i="16"/>
  <c r="J75" i="16"/>
  <c r="P75" i="16"/>
  <c r="Q75" i="16"/>
  <c r="C76" i="16"/>
  <c r="D76" i="16"/>
  <c r="E76" i="16"/>
  <c r="F76" i="16"/>
  <c r="G76" i="16"/>
  <c r="H76" i="16"/>
  <c r="I76" i="16"/>
  <c r="J76" i="16"/>
  <c r="P76" i="16"/>
  <c r="Q76" i="16"/>
  <c r="C77" i="16"/>
  <c r="D77" i="16"/>
  <c r="E77" i="16"/>
  <c r="F77" i="16"/>
  <c r="G77" i="16"/>
  <c r="H77" i="16"/>
  <c r="I77" i="16"/>
  <c r="J77" i="16"/>
  <c r="P77" i="16"/>
  <c r="Q77" i="16"/>
  <c r="C78" i="16"/>
  <c r="D78" i="16"/>
  <c r="E78" i="16"/>
  <c r="F78" i="16"/>
  <c r="G78" i="16"/>
  <c r="H78" i="16"/>
  <c r="I78" i="16"/>
  <c r="J78" i="16"/>
  <c r="P78" i="16"/>
  <c r="Q78" i="16"/>
  <c r="C79" i="16"/>
  <c r="D79" i="16"/>
  <c r="E79" i="16"/>
  <c r="F79" i="16"/>
  <c r="G79" i="16"/>
  <c r="H79" i="16"/>
  <c r="I79" i="16"/>
  <c r="J79" i="16"/>
  <c r="P79" i="16"/>
  <c r="Q79" i="16"/>
  <c r="C80" i="16"/>
  <c r="D80" i="16"/>
  <c r="E80" i="16"/>
  <c r="F80" i="16"/>
  <c r="G80" i="16"/>
  <c r="H80" i="16"/>
  <c r="I80" i="16"/>
  <c r="J80" i="16"/>
  <c r="P80" i="16"/>
  <c r="Q80" i="16"/>
  <c r="C81" i="16"/>
  <c r="D81" i="16"/>
  <c r="E81" i="16"/>
  <c r="F81" i="16"/>
  <c r="G81" i="16"/>
  <c r="H81" i="16"/>
  <c r="I81" i="16"/>
  <c r="J81" i="16"/>
  <c r="P81" i="16"/>
  <c r="Q81" i="16"/>
  <c r="C82" i="16"/>
  <c r="D82" i="16"/>
  <c r="E82" i="16"/>
  <c r="F82" i="16"/>
  <c r="G82" i="16"/>
  <c r="H82" i="16"/>
  <c r="I82" i="16"/>
  <c r="J82" i="16"/>
  <c r="P82" i="16"/>
  <c r="Q82" i="16"/>
  <c r="C83" i="16"/>
  <c r="D83" i="16"/>
  <c r="E83" i="16"/>
  <c r="F83" i="16"/>
  <c r="G83" i="16"/>
  <c r="H83" i="16"/>
  <c r="I83" i="16"/>
  <c r="J83" i="16"/>
  <c r="P83" i="16"/>
  <c r="Q83" i="16"/>
  <c r="C84" i="16"/>
  <c r="D84" i="16"/>
  <c r="E84" i="16"/>
  <c r="F84" i="16"/>
  <c r="G84" i="16"/>
  <c r="H84" i="16"/>
  <c r="I84" i="16"/>
  <c r="J84" i="16"/>
  <c r="P84" i="16"/>
  <c r="Q84" i="16"/>
  <c r="C85" i="16"/>
  <c r="D85" i="16"/>
  <c r="E85" i="16"/>
  <c r="F85" i="16"/>
  <c r="G85" i="16"/>
  <c r="H85" i="16"/>
  <c r="I85" i="16"/>
  <c r="J85" i="16"/>
  <c r="P85" i="16"/>
  <c r="Q85" i="16"/>
  <c r="C86" i="16"/>
  <c r="D86" i="16"/>
  <c r="E86" i="16"/>
  <c r="F86" i="16"/>
  <c r="G86" i="16"/>
  <c r="H86" i="16"/>
  <c r="I86" i="16"/>
  <c r="J86" i="16"/>
  <c r="P86" i="16"/>
  <c r="Q86" i="16"/>
  <c r="C87" i="16"/>
  <c r="D87" i="16"/>
  <c r="E87" i="16"/>
  <c r="F87" i="16"/>
  <c r="G87" i="16"/>
  <c r="H87" i="16"/>
  <c r="I87" i="16"/>
  <c r="J87" i="16"/>
  <c r="P87" i="16"/>
  <c r="Q87" i="16"/>
  <c r="C88" i="16"/>
  <c r="D88" i="16"/>
  <c r="E88" i="16"/>
  <c r="F88" i="16"/>
  <c r="G88" i="16"/>
  <c r="H88" i="16"/>
  <c r="I88" i="16"/>
  <c r="J88" i="16"/>
  <c r="P88" i="16"/>
  <c r="Q88" i="16"/>
  <c r="C89" i="16"/>
  <c r="D89" i="16"/>
  <c r="E89" i="16"/>
  <c r="F89" i="16"/>
  <c r="G89" i="16"/>
  <c r="H89" i="16"/>
  <c r="I89" i="16"/>
  <c r="J89" i="16"/>
  <c r="P89" i="16"/>
  <c r="Q89" i="16"/>
  <c r="C90" i="16"/>
  <c r="D90" i="16"/>
  <c r="E90" i="16"/>
  <c r="F90" i="16"/>
  <c r="G90" i="16"/>
  <c r="H90" i="16"/>
  <c r="I90" i="16"/>
  <c r="J90" i="16"/>
  <c r="P90" i="16"/>
  <c r="Q90" i="16"/>
  <c r="C91" i="16"/>
  <c r="D91" i="16"/>
  <c r="E91" i="16"/>
  <c r="F91" i="16"/>
  <c r="G91" i="16"/>
  <c r="H91" i="16"/>
  <c r="I91" i="16"/>
  <c r="J91" i="16"/>
  <c r="P91" i="16"/>
  <c r="Q91" i="16"/>
  <c r="C92" i="16"/>
  <c r="D92" i="16"/>
  <c r="E92" i="16"/>
  <c r="F92" i="16"/>
  <c r="G92" i="16"/>
  <c r="H92" i="16"/>
  <c r="I92" i="16"/>
  <c r="J92" i="16"/>
  <c r="P92" i="16"/>
  <c r="Q92" i="16"/>
  <c r="C93" i="16"/>
  <c r="D93" i="16"/>
  <c r="E93" i="16"/>
  <c r="F93" i="16"/>
  <c r="G93" i="16"/>
  <c r="H93" i="16"/>
  <c r="I93" i="16"/>
  <c r="J93" i="16"/>
  <c r="P93" i="16"/>
  <c r="Q93" i="16"/>
  <c r="C94" i="16"/>
  <c r="D94" i="16"/>
  <c r="E94" i="16"/>
  <c r="F94" i="16"/>
  <c r="G94" i="16"/>
  <c r="H94" i="16"/>
  <c r="I94" i="16"/>
  <c r="J94" i="16"/>
  <c r="P94" i="16"/>
  <c r="Q94" i="16"/>
  <c r="C95" i="16"/>
  <c r="D95" i="16"/>
  <c r="E95" i="16"/>
  <c r="F95" i="16"/>
  <c r="G95" i="16"/>
  <c r="H95" i="16"/>
  <c r="I95" i="16"/>
  <c r="J95" i="16"/>
  <c r="P95" i="16"/>
  <c r="Q95" i="16"/>
  <c r="C96" i="16"/>
  <c r="D96" i="16"/>
  <c r="E96" i="16"/>
  <c r="F96" i="16"/>
  <c r="G96" i="16"/>
  <c r="H96" i="16"/>
  <c r="I96" i="16"/>
  <c r="J96" i="16"/>
  <c r="P96" i="16"/>
  <c r="Q96" i="16"/>
  <c r="C97" i="16"/>
  <c r="D97" i="16"/>
  <c r="E97" i="16"/>
  <c r="F97" i="16"/>
  <c r="G97" i="16"/>
  <c r="H97" i="16"/>
  <c r="I97" i="16"/>
  <c r="J97" i="16"/>
  <c r="P97" i="16"/>
  <c r="Q97" i="16"/>
  <c r="C98" i="16"/>
  <c r="D98" i="16"/>
  <c r="E98" i="16"/>
  <c r="F98" i="16"/>
  <c r="G98" i="16"/>
  <c r="H98" i="16"/>
  <c r="I98" i="16"/>
  <c r="J98" i="16"/>
  <c r="P98" i="16"/>
  <c r="Q98" i="16"/>
  <c r="C99" i="16"/>
  <c r="D99" i="16"/>
  <c r="E99" i="16"/>
  <c r="F99" i="16"/>
  <c r="G99" i="16"/>
  <c r="H99" i="16"/>
  <c r="I99" i="16"/>
  <c r="J99" i="16"/>
  <c r="P99" i="16"/>
  <c r="Q99" i="16"/>
  <c r="C100" i="16"/>
  <c r="D100" i="16"/>
  <c r="E100" i="16"/>
  <c r="F100" i="16"/>
  <c r="G100" i="16"/>
  <c r="H100" i="16"/>
  <c r="I100" i="16"/>
  <c r="J100" i="16"/>
  <c r="P100" i="16"/>
  <c r="Q100" i="16"/>
  <c r="C101" i="16"/>
  <c r="D101" i="16"/>
  <c r="E101" i="16"/>
  <c r="F101" i="16"/>
  <c r="G101" i="16"/>
  <c r="H101" i="16"/>
  <c r="I101" i="16"/>
  <c r="J101" i="16"/>
  <c r="P101" i="16"/>
  <c r="Q101" i="16"/>
  <c r="C102" i="16"/>
  <c r="D102" i="16"/>
  <c r="E102" i="16"/>
  <c r="F102" i="16"/>
  <c r="G102" i="16"/>
  <c r="H102" i="16"/>
  <c r="I102" i="16"/>
  <c r="J102" i="16"/>
  <c r="P102" i="16"/>
  <c r="Q102" i="16"/>
  <c r="C103" i="16"/>
  <c r="D103" i="16"/>
  <c r="E103" i="16"/>
  <c r="F103" i="16"/>
  <c r="G103" i="16"/>
  <c r="H103" i="16"/>
  <c r="I103" i="16"/>
  <c r="J103" i="16"/>
  <c r="P103" i="16"/>
  <c r="Q103" i="16"/>
  <c r="C104" i="16"/>
  <c r="D104" i="16"/>
  <c r="E104" i="16"/>
  <c r="F104" i="16"/>
  <c r="G104" i="16"/>
  <c r="H104" i="16"/>
  <c r="I104" i="16"/>
  <c r="J104" i="16"/>
  <c r="P104" i="16"/>
  <c r="Q104" i="16"/>
  <c r="C105" i="16"/>
  <c r="D105" i="16"/>
  <c r="E105" i="16"/>
  <c r="F105" i="16"/>
  <c r="G105" i="16"/>
  <c r="H105" i="16"/>
  <c r="I105" i="16"/>
  <c r="J105" i="16"/>
  <c r="P105" i="16"/>
  <c r="Q105" i="16"/>
  <c r="C106" i="16"/>
  <c r="D106" i="16"/>
  <c r="E106" i="16"/>
  <c r="F106" i="16"/>
  <c r="G106" i="16"/>
  <c r="H106" i="16"/>
  <c r="I106" i="16"/>
  <c r="J106" i="16"/>
  <c r="P106" i="16"/>
  <c r="Q106" i="16"/>
  <c r="C107" i="16"/>
  <c r="D107" i="16"/>
  <c r="E107" i="16"/>
  <c r="F107" i="16"/>
  <c r="G107" i="16"/>
  <c r="H107" i="16"/>
  <c r="I107" i="16"/>
  <c r="J107" i="16"/>
  <c r="P107" i="16"/>
  <c r="Q107" i="16"/>
  <c r="C108" i="16"/>
  <c r="D108" i="16"/>
  <c r="E108" i="16"/>
  <c r="F108" i="16"/>
  <c r="G108" i="16"/>
  <c r="H108" i="16"/>
  <c r="I108" i="16"/>
  <c r="J108" i="16"/>
  <c r="P108" i="16"/>
  <c r="Q108" i="16"/>
  <c r="C109" i="16"/>
  <c r="D109" i="16"/>
  <c r="E109" i="16"/>
  <c r="F109" i="16"/>
  <c r="G109" i="16"/>
  <c r="H109" i="16"/>
  <c r="I109" i="16"/>
  <c r="J109" i="16"/>
  <c r="P109" i="16"/>
  <c r="Q109" i="16"/>
  <c r="C110" i="16"/>
  <c r="D110" i="16"/>
  <c r="E110" i="16"/>
  <c r="F110" i="16"/>
  <c r="G110" i="16"/>
  <c r="H110" i="16"/>
  <c r="I110" i="16"/>
  <c r="J110" i="16"/>
  <c r="P110" i="16"/>
  <c r="Q110" i="16"/>
  <c r="C111" i="16"/>
  <c r="D111" i="16"/>
  <c r="E111" i="16"/>
  <c r="F111" i="16"/>
  <c r="G111" i="16"/>
  <c r="H111" i="16"/>
  <c r="I111" i="16"/>
  <c r="J111" i="16"/>
  <c r="P111" i="16"/>
  <c r="Q111" i="16"/>
  <c r="C112" i="16"/>
  <c r="D112" i="16"/>
  <c r="E112" i="16"/>
  <c r="F112" i="16"/>
  <c r="G112" i="16"/>
  <c r="H112" i="16"/>
  <c r="I112" i="16"/>
  <c r="J112" i="16"/>
  <c r="P112" i="16"/>
  <c r="Q112" i="16"/>
  <c r="C113" i="16"/>
  <c r="D113" i="16"/>
  <c r="E113" i="16"/>
  <c r="F113" i="16"/>
  <c r="G113" i="16"/>
  <c r="H113" i="16"/>
  <c r="I113" i="16"/>
  <c r="J113" i="16"/>
  <c r="P113" i="16"/>
  <c r="Q113" i="16"/>
  <c r="C114" i="16"/>
  <c r="D114" i="16"/>
  <c r="E114" i="16"/>
  <c r="F114" i="16"/>
  <c r="G114" i="16"/>
  <c r="H114" i="16"/>
  <c r="I114" i="16"/>
  <c r="J114" i="16"/>
  <c r="P114" i="16"/>
  <c r="Q114" i="16"/>
  <c r="C115" i="16"/>
  <c r="D115" i="16"/>
  <c r="E115" i="16"/>
  <c r="F115" i="16"/>
  <c r="G115" i="16"/>
  <c r="H115" i="16"/>
  <c r="I115" i="16"/>
  <c r="J115" i="16"/>
  <c r="P115" i="16"/>
  <c r="Q115" i="16"/>
  <c r="C116" i="16"/>
  <c r="D116" i="16"/>
  <c r="E116" i="16"/>
  <c r="F116" i="16"/>
  <c r="G116" i="16"/>
  <c r="H116" i="16"/>
  <c r="I116" i="16"/>
  <c r="J116" i="16"/>
  <c r="P116" i="16"/>
  <c r="Q116" i="16"/>
  <c r="C117" i="16"/>
  <c r="D117" i="16"/>
  <c r="E117" i="16"/>
  <c r="F117" i="16"/>
  <c r="G117" i="16"/>
  <c r="H117" i="16"/>
  <c r="I117" i="16"/>
  <c r="J117" i="16"/>
  <c r="P117" i="16"/>
  <c r="Q117" i="16"/>
  <c r="C118" i="16"/>
  <c r="D118" i="16"/>
  <c r="E118" i="16"/>
  <c r="F118" i="16"/>
  <c r="G118" i="16"/>
  <c r="H118" i="16"/>
  <c r="I118" i="16"/>
  <c r="J118" i="16"/>
  <c r="P118" i="16"/>
  <c r="Q118" i="16"/>
  <c r="C119" i="16"/>
  <c r="D119" i="16"/>
  <c r="E119" i="16"/>
  <c r="F119" i="16"/>
  <c r="G119" i="16"/>
  <c r="H119" i="16"/>
  <c r="I119" i="16"/>
  <c r="J119" i="16"/>
  <c r="P119" i="16"/>
  <c r="Q119" i="16"/>
  <c r="C120" i="16"/>
  <c r="D120" i="16"/>
  <c r="E120" i="16"/>
  <c r="F120" i="16"/>
  <c r="G120" i="16"/>
  <c r="H120" i="16"/>
  <c r="I120" i="16"/>
  <c r="J120" i="16"/>
  <c r="P120" i="16"/>
  <c r="Q120" i="16"/>
  <c r="C121" i="16"/>
  <c r="D121" i="16"/>
  <c r="E121" i="16"/>
  <c r="F121" i="16"/>
  <c r="G121" i="16"/>
  <c r="H121" i="16"/>
  <c r="I121" i="16"/>
  <c r="J121" i="16"/>
  <c r="P121" i="16"/>
  <c r="Q121" i="16"/>
  <c r="C122" i="16"/>
  <c r="D122" i="16"/>
  <c r="E122" i="16"/>
  <c r="F122" i="16"/>
  <c r="G122" i="16"/>
  <c r="H122" i="16"/>
  <c r="I122" i="16"/>
  <c r="J122" i="16"/>
  <c r="P122" i="16"/>
  <c r="Q122" i="16"/>
  <c r="C123" i="16"/>
  <c r="D123" i="16"/>
  <c r="E123" i="16"/>
  <c r="F123" i="16"/>
  <c r="G123" i="16"/>
  <c r="H123" i="16"/>
  <c r="I123" i="16"/>
  <c r="J123" i="16"/>
  <c r="P123" i="16"/>
  <c r="Q123" i="16"/>
  <c r="C124" i="16"/>
  <c r="D124" i="16"/>
  <c r="E124" i="16"/>
  <c r="F124" i="16"/>
  <c r="G124" i="16"/>
  <c r="H124" i="16"/>
  <c r="I124" i="16"/>
  <c r="J124" i="16"/>
  <c r="P124" i="16"/>
  <c r="Q124" i="16"/>
  <c r="C125" i="16"/>
  <c r="D125" i="16"/>
  <c r="E125" i="16"/>
  <c r="F125" i="16"/>
  <c r="G125" i="16"/>
  <c r="H125" i="16"/>
  <c r="I125" i="16"/>
  <c r="J125" i="16"/>
  <c r="P125" i="16"/>
  <c r="Q125" i="16"/>
  <c r="C126" i="16"/>
  <c r="D126" i="16"/>
  <c r="E126" i="16"/>
  <c r="F126" i="16"/>
  <c r="G126" i="16"/>
  <c r="H126" i="16"/>
  <c r="I126" i="16"/>
  <c r="J126" i="16"/>
  <c r="P126" i="16"/>
  <c r="Q126" i="16"/>
  <c r="C127" i="16"/>
  <c r="D127" i="16"/>
  <c r="E127" i="16"/>
  <c r="F127" i="16"/>
  <c r="G127" i="16"/>
  <c r="H127" i="16"/>
  <c r="I127" i="16"/>
  <c r="J127" i="16"/>
  <c r="P127" i="16"/>
  <c r="Q127" i="16"/>
  <c r="C128" i="16"/>
  <c r="D128" i="16"/>
  <c r="E128" i="16"/>
  <c r="F128" i="16"/>
  <c r="G128" i="16"/>
  <c r="H128" i="16"/>
  <c r="I128" i="16"/>
  <c r="J128" i="16"/>
  <c r="P128" i="16"/>
  <c r="Q128" i="16"/>
  <c r="C129" i="16"/>
  <c r="D129" i="16"/>
  <c r="E129" i="16"/>
  <c r="F129" i="16"/>
  <c r="G129" i="16"/>
  <c r="H129" i="16"/>
  <c r="I129" i="16"/>
  <c r="J129" i="16"/>
  <c r="P129" i="16"/>
  <c r="Q129" i="16"/>
  <c r="C130" i="16"/>
  <c r="D130" i="16"/>
  <c r="E130" i="16"/>
  <c r="F130" i="16"/>
  <c r="G130" i="16"/>
  <c r="H130" i="16"/>
  <c r="I130" i="16"/>
  <c r="J130" i="16"/>
  <c r="P130" i="16"/>
  <c r="Q130" i="16"/>
  <c r="C131" i="16"/>
  <c r="D131" i="16"/>
  <c r="E131" i="16"/>
  <c r="F131" i="16"/>
  <c r="G131" i="16"/>
  <c r="H131" i="16"/>
  <c r="I131" i="16"/>
  <c r="J131" i="16"/>
  <c r="P131" i="16"/>
  <c r="Q131" i="16"/>
  <c r="C132" i="16"/>
  <c r="D132" i="16"/>
  <c r="E132" i="16"/>
  <c r="F132" i="16"/>
  <c r="G132" i="16"/>
  <c r="H132" i="16"/>
  <c r="I132" i="16"/>
  <c r="J132" i="16"/>
  <c r="P132" i="16"/>
  <c r="Q132" i="16"/>
  <c r="C133" i="16"/>
  <c r="D133" i="16"/>
  <c r="E133" i="16"/>
  <c r="F133" i="16"/>
  <c r="G133" i="16"/>
  <c r="H133" i="16"/>
  <c r="I133" i="16"/>
  <c r="J133" i="16"/>
  <c r="P133" i="16"/>
  <c r="Q133" i="16"/>
  <c r="C134" i="16"/>
  <c r="D134" i="16"/>
  <c r="E134" i="16"/>
  <c r="F134" i="16"/>
  <c r="G134" i="16"/>
  <c r="H134" i="16"/>
  <c r="I134" i="16"/>
  <c r="J134" i="16"/>
  <c r="P134" i="16"/>
  <c r="Q134" i="16"/>
  <c r="C135" i="16"/>
  <c r="D135" i="16"/>
  <c r="E135" i="16"/>
  <c r="F135" i="16"/>
  <c r="G135" i="16"/>
  <c r="H135" i="16"/>
  <c r="I135" i="16"/>
  <c r="J135" i="16"/>
  <c r="P135" i="16"/>
  <c r="Q135" i="16"/>
  <c r="C136" i="16"/>
  <c r="D136" i="16"/>
  <c r="E136" i="16"/>
  <c r="F136" i="16"/>
  <c r="G136" i="16"/>
  <c r="H136" i="16"/>
  <c r="I136" i="16"/>
  <c r="J136" i="16"/>
  <c r="P136" i="16"/>
  <c r="Q136" i="16"/>
  <c r="C137" i="16"/>
  <c r="D137" i="16"/>
  <c r="E137" i="16"/>
  <c r="F137" i="16"/>
  <c r="G137" i="16"/>
  <c r="H137" i="16"/>
  <c r="I137" i="16"/>
  <c r="J137" i="16"/>
  <c r="P137" i="16"/>
  <c r="Q137" i="16"/>
  <c r="C138" i="16"/>
  <c r="D138" i="16"/>
  <c r="E138" i="16"/>
  <c r="F138" i="16"/>
  <c r="G138" i="16"/>
  <c r="H138" i="16"/>
  <c r="I138" i="16"/>
  <c r="J138" i="16"/>
  <c r="P138" i="16"/>
  <c r="Q138" i="16"/>
  <c r="C139" i="16"/>
  <c r="D139" i="16"/>
  <c r="E139" i="16"/>
  <c r="F139" i="16"/>
  <c r="G139" i="16"/>
  <c r="H139" i="16"/>
  <c r="I139" i="16"/>
  <c r="J139" i="16"/>
  <c r="P139" i="16"/>
  <c r="Q139" i="16"/>
  <c r="C140" i="16"/>
  <c r="D140" i="16"/>
  <c r="E140" i="16"/>
  <c r="F140" i="16"/>
  <c r="G140" i="16"/>
  <c r="H140" i="16"/>
  <c r="I140" i="16"/>
  <c r="J140" i="16"/>
  <c r="P140" i="16"/>
  <c r="Q140" i="16"/>
  <c r="C141" i="16"/>
  <c r="D141" i="16"/>
  <c r="E141" i="16"/>
  <c r="F141" i="16"/>
  <c r="G141" i="16"/>
  <c r="H141" i="16"/>
  <c r="I141" i="16"/>
  <c r="J141" i="16"/>
  <c r="P141" i="16"/>
  <c r="Q141" i="16"/>
  <c r="C142" i="16"/>
  <c r="D142" i="16"/>
  <c r="E142" i="16"/>
  <c r="F142" i="16"/>
  <c r="G142" i="16"/>
  <c r="H142" i="16"/>
  <c r="I142" i="16"/>
  <c r="J142" i="16"/>
  <c r="P142" i="16"/>
  <c r="Q142" i="16"/>
  <c r="C143" i="16"/>
  <c r="D143" i="16"/>
  <c r="E143" i="16"/>
  <c r="F143" i="16"/>
  <c r="G143" i="16"/>
  <c r="H143" i="16"/>
  <c r="I143" i="16"/>
  <c r="J143" i="16"/>
  <c r="P143" i="16"/>
  <c r="Q143" i="16"/>
  <c r="C144" i="16"/>
  <c r="D144" i="16"/>
  <c r="E144" i="16"/>
  <c r="F144" i="16"/>
  <c r="G144" i="16"/>
  <c r="H144" i="16"/>
  <c r="I144" i="16"/>
  <c r="J144" i="16"/>
  <c r="P144" i="16"/>
  <c r="Q144" i="16"/>
  <c r="C145" i="16"/>
  <c r="D145" i="16"/>
  <c r="E145" i="16"/>
  <c r="F145" i="16"/>
  <c r="G145" i="16"/>
  <c r="H145" i="16"/>
  <c r="I145" i="16"/>
  <c r="J145" i="16"/>
  <c r="P145" i="16"/>
  <c r="Q145" i="16"/>
  <c r="C146" i="16"/>
  <c r="D146" i="16"/>
  <c r="E146" i="16"/>
  <c r="F146" i="16"/>
  <c r="G146" i="16"/>
  <c r="H146" i="16"/>
  <c r="I146" i="16"/>
  <c r="J146" i="16"/>
  <c r="P146" i="16"/>
  <c r="Q146" i="16"/>
  <c r="C147" i="16"/>
  <c r="D147" i="16"/>
  <c r="E147" i="16"/>
  <c r="F147" i="16"/>
  <c r="G147" i="16"/>
  <c r="H147" i="16"/>
  <c r="I147" i="16"/>
  <c r="J147" i="16"/>
  <c r="P147" i="16"/>
  <c r="Q147" i="16"/>
  <c r="C148" i="16"/>
  <c r="D148" i="16"/>
  <c r="E148" i="16"/>
  <c r="F148" i="16"/>
  <c r="G148" i="16"/>
  <c r="H148" i="16"/>
  <c r="I148" i="16"/>
  <c r="J148" i="16"/>
  <c r="P148" i="16"/>
  <c r="Q148" i="16"/>
  <c r="C149" i="16"/>
  <c r="D149" i="16"/>
  <c r="E149" i="16"/>
  <c r="F149" i="16"/>
  <c r="G149" i="16"/>
  <c r="H149" i="16"/>
  <c r="I149" i="16"/>
  <c r="J149" i="16"/>
  <c r="P149" i="16"/>
  <c r="Q149" i="16"/>
  <c r="C150" i="16"/>
  <c r="D150" i="16"/>
  <c r="E150" i="16"/>
  <c r="F150" i="16"/>
  <c r="G150" i="16"/>
  <c r="H150" i="16"/>
  <c r="I150" i="16"/>
  <c r="J150" i="16"/>
  <c r="P150" i="16"/>
  <c r="Q150" i="16"/>
  <c r="C151" i="16"/>
  <c r="D151" i="16"/>
  <c r="E151" i="16"/>
  <c r="F151" i="16"/>
  <c r="G151" i="16"/>
  <c r="H151" i="16"/>
  <c r="I151" i="16"/>
  <c r="J151" i="16"/>
  <c r="P151" i="16"/>
  <c r="Q151" i="16"/>
  <c r="C152" i="16"/>
  <c r="D152" i="16"/>
  <c r="E152" i="16"/>
  <c r="F152" i="16"/>
  <c r="G152" i="16"/>
  <c r="H152" i="16"/>
  <c r="I152" i="16"/>
  <c r="J152" i="16"/>
  <c r="P152" i="16"/>
  <c r="Q152" i="16"/>
  <c r="C153" i="16"/>
  <c r="D153" i="16"/>
  <c r="E153" i="16"/>
  <c r="F153" i="16"/>
  <c r="G153" i="16"/>
  <c r="H153" i="16"/>
  <c r="I153" i="16"/>
  <c r="J153" i="16"/>
  <c r="P153" i="16"/>
  <c r="Q153" i="16"/>
  <c r="C154" i="16"/>
  <c r="D154" i="16"/>
  <c r="E154" i="16"/>
  <c r="F154" i="16"/>
  <c r="G154" i="16"/>
  <c r="H154" i="16"/>
  <c r="I154" i="16"/>
  <c r="J154" i="16"/>
  <c r="P154" i="16"/>
  <c r="Q154" i="16"/>
  <c r="C155" i="16"/>
  <c r="D155" i="16"/>
  <c r="E155" i="16"/>
  <c r="F155" i="16"/>
  <c r="G155" i="16"/>
  <c r="H155" i="16"/>
  <c r="I155" i="16"/>
  <c r="J155" i="16"/>
  <c r="P155" i="16"/>
  <c r="Q155" i="16"/>
  <c r="C156" i="16"/>
  <c r="D156" i="16"/>
  <c r="E156" i="16"/>
  <c r="F156" i="16"/>
  <c r="G156" i="16"/>
  <c r="H156" i="16"/>
  <c r="I156" i="16"/>
  <c r="J156" i="16"/>
  <c r="P156" i="16"/>
  <c r="Q156" i="16"/>
  <c r="C157" i="16"/>
  <c r="D157" i="16"/>
  <c r="E157" i="16"/>
  <c r="F157" i="16"/>
  <c r="G157" i="16"/>
  <c r="H157" i="16"/>
  <c r="I157" i="16"/>
  <c r="J157" i="16"/>
  <c r="P157" i="16"/>
  <c r="Q157" i="16"/>
  <c r="C158" i="16"/>
  <c r="D158" i="16"/>
  <c r="E158" i="16"/>
  <c r="F158" i="16"/>
  <c r="G158" i="16"/>
  <c r="H158" i="16"/>
  <c r="I158" i="16"/>
  <c r="J158" i="16"/>
  <c r="P158" i="16"/>
  <c r="Q158" i="16"/>
  <c r="C159" i="16"/>
  <c r="D159" i="16"/>
  <c r="E159" i="16"/>
  <c r="F159" i="16"/>
  <c r="G159" i="16"/>
  <c r="H159" i="16"/>
  <c r="I159" i="16"/>
  <c r="J159" i="16"/>
  <c r="P159" i="16"/>
  <c r="Q159" i="16"/>
  <c r="C160" i="16"/>
  <c r="D160" i="16"/>
  <c r="E160" i="16"/>
  <c r="F160" i="16"/>
  <c r="G160" i="16"/>
  <c r="H160" i="16"/>
  <c r="I160" i="16"/>
  <c r="J160" i="16"/>
  <c r="P160" i="16"/>
  <c r="Q160" i="16"/>
  <c r="C161" i="16"/>
  <c r="D161" i="16"/>
  <c r="E161" i="16"/>
  <c r="F161" i="16"/>
  <c r="G161" i="16"/>
  <c r="H161" i="16"/>
  <c r="I161" i="16"/>
  <c r="J161" i="16"/>
  <c r="P161" i="16"/>
  <c r="Q161" i="16"/>
  <c r="C162" i="16"/>
  <c r="D162" i="16"/>
  <c r="E162" i="16"/>
  <c r="F162" i="16"/>
  <c r="G162" i="16"/>
  <c r="H162" i="16"/>
  <c r="I162" i="16"/>
  <c r="J162" i="16"/>
  <c r="P162" i="16"/>
  <c r="Q162" i="16"/>
  <c r="C163" i="16"/>
  <c r="D163" i="16"/>
  <c r="E163" i="16"/>
  <c r="F163" i="16"/>
  <c r="G163" i="16"/>
  <c r="H163" i="16"/>
  <c r="I163" i="16"/>
  <c r="J163" i="16"/>
  <c r="P163" i="16"/>
  <c r="Q163" i="16"/>
  <c r="C164" i="16"/>
  <c r="D164" i="16"/>
  <c r="E164" i="16"/>
  <c r="F164" i="16"/>
  <c r="G164" i="16"/>
  <c r="H164" i="16"/>
  <c r="I164" i="16"/>
  <c r="J164" i="16"/>
  <c r="P164" i="16"/>
  <c r="Q164" i="16"/>
  <c r="C165" i="16"/>
  <c r="D165" i="16"/>
  <c r="E165" i="16"/>
  <c r="F165" i="16"/>
  <c r="G165" i="16"/>
  <c r="H165" i="16"/>
  <c r="I165" i="16"/>
  <c r="J165" i="16"/>
  <c r="P165" i="16"/>
  <c r="Q165" i="16"/>
  <c r="C166" i="16"/>
  <c r="D166" i="16"/>
  <c r="E166" i="16"/>
  <c r="F166" i="16"/>
  <c r="G166" i="16"/>
  <c r="H166" i="16"/>
  <c r="I166" i="16"/>
  <c r="J166" i="16"/>
  <c r="P166" i="16"/>
  <c r="Q166" i="16"/>
  <c r="C167" i="16"/>
  <c r="D167" i="16"/>
  <c r="E167" i="16"/>
  <c r="F167" i="16"/>
  <c r="G167" i="16"/>
  <c r="H167" i="16"/>
  <c r="I167" i="16"/>
  <c r="J167" i="16"/>
  <c r="P167" i="16"/>
  <c r="Q167" i="16"/>
  <c r="C168" i="16"/>
  <c r="D168" i="16"/>
  <c r="E168" i="16"/>
  <c r="F168" i="16"/>
  <c r="G168" i="16"/>
  <c r="H168" i="16"/>
  <c r="I168" i="16"/>
  <c r="J168" i="16"/>
  <c r="P168" i="16"/>
  <c r="Q168" i="16"/>
  <c r="C169" i="16"/>
  <c r="D169" i="16"/>
  <c r="E169" i="16"/>
  <c r="F169" i="16"/>
  <c r="G169" i="16"/>
  <c r="H169" i="16"/>
  <c r="I169" i="16"/>
  <c r="J169" i="16"/>
  <c r="P169" i="16"/>
  <c r="Q169" i="16"/>
  <c r="C170" i="16"/>
  <c r="D170" i="16"/>
  <c r="E170" i="16"/>
  <c r="F170" i="16"/>
  <c r="G170" i="16"/>
  <c r="H170" i="16"/>
  <c r="I170" i="16"/>
  <c r="J170" i="16"/>
  <c r="P170" i="16"/>
  <c r="Q170" i="16"/>
  <c r="C171" i="16"/>
  <c r="D171" i="16"/>
  <c r="E171" i="16"/>
  <c r="F171" i="16"/>
  <c r="G171" i="16"/>
  <c r="H171" i="16"/>
  <c r="I171" i="16"/>
  <c r="J171" i="16"/>
  <c r="P171" i="16"/>
  <c r="Q171" i="16"/>
  <c r="C172" i="16"/>
  <c r="D172" i="16"/>
  <c r="E172" i="16"/>
  <c r="F172" i="16"/>
  <c r="G172" i="16"/>
  <c r="H172" i="16"/>
  <c r="I172" i="16"/>
  <c r="J172" i="16"/>
  <c r="P172" i="16"/>
  <c r="Q172" i="16"/>
  <c r="C173" i="16"/>
  <c r="D173" i="16"/>
  <c r="E173" i="16"/>
  <c r="F173" i="16"/>
  <c r="G173" i="16"/>
  <c r="H173" i="16"/>
  <c r="I173" i="16"/>
  <c r="J173" i="16"/>
  <c r="P173" i="16"/>
  <c r="Q173" i="16"/>
  <c r="C174" i="16"/>
  <c r="D174" i="16"/>
  <c r="E174" i="16"/>
  <c r="F174" i="16"/>
  <c r="G174" i="16"/>
  <c r="H174" i="16"/>
  <c r="I174" i="16"/>
  <c r="J174" i="16"/>
  <c r="P174" i="16"/>
  <c r="Q174" i="16"/>
  <c r="C175" i="16"/>
  <c r="D175" i="16"/>
  <c r="E175" i="16"/>
  <c r="F175" i="16"/>
  <c r="G175" i="16"/>
  <c r="H175" i="16"/>
  <c r="I175" i="16"/>
  <c r="J175" i="16"/>
  <c r="P175" i="16"/>
  <c r="Q175" i="16"/>
  <c r="T175" i="16"/>
  <c r="AD175" i="16" s="1"/>
  <c r="X175" i="16"/>
  <c r="AH175" i="16" s="1"/>
  <c r="Y175" i="16"/>
  <c r="AI175" i="16" s="1"/>
  <c r="Z175" i="16"/>
  <c r="AA175" i="16"/>
  <c r="AJ175" i="16"/>
  <c r="C176" i="16"/>
  <c r="D176" i="16"/>
  <c r="E176" i="16"/>
  <c r="F176" i="16"/>
  <c r="G176" i="16"/>
  <c r="H176" i="16"/>
  <c r="I176" i="16"/>
  <c r="J176" i="16"/>
  <c r="P176" i="16"/>
  <c r="Q176" i="16"/>
  <c r="C177" i="16"/>
  <c r="D177" i="16"/>
  <c r="E177" i="16"/>
  <c r="F177" i="16"/>
  <c r="G177" i="16"/>
  <c r="H177" i="16"/>
  <c r="I177" i="16"/>
  <c r="J177" i="16"/>
  <c r="P177" i="16"/>
  <c r="Q177" i="16"/>
  <c r="C178" i="16"/>
  <c r="D178" i="16"/>
  <c r="E178" i="16"/>
  <c r="F178" i="16"/>
  <c r="G178" i="16"/>
  <c r="H178" i="16"/>
  <c r="I178" i="16"/>
  <c r="J178" i="16"/>
  <c r="P178" i="16"/>
  <c r="Q178" i="16"/>
  <c r="C179" i="16"/>
  <c r="D179" i="16"/>
  <c r="E179" i="16"/>
  <c r="F179" i="16"/>
  <c r="G179" i="16"/>
  <c r="H179" i="16"/>
  <c r="I179" i="16"/>
  <c r="J179" i="16"/>
  <c r="P179" i="16"/>
  <c r="Q179" i="16"/>
  <c r="C180" i="16"/>
  <c r="D180" i="16"/>
  <c r="E180" i="16"/>
  <c r="F180" i="16"/>
  <c r="G180" i="16"/>
  <c r="H180" i="16"/>
  <c r="I180" i="16"/>
  <c r="J180" i="16"/>
  <c r="P180" i="16"/>
  <c r="Q180" i="16"/>
  <c r="C181" i="16"/>
  <c r="D181" i="16"/>
  <c r="E181" i="16"/>
  <c r="F181" i="16"/>
  <c r="G181" i="16"/>
  <c r="H181" i="16"/>
  <c r="I181" i="16"/>
  <c r="J181" i="16"/>
  <c r="P181" i="16"/>
  <c r="Q181" i="16"/>
  <c r="C182" i="16"/>
  <c r="D182" i="16"/>
  <c r="E182" i="16"/>
  <c r="F182" i="16"/>
  <c r="G182" i="16"/>
  <c r="H182" i="16"/>
  <c r="I182" i="16"/>
  <c r="J182" i="16"/>
  <c r="P182" i="16"/>
  <c r="Q182" i="16"/>
  <c r="C183" i="16"/>
  <c r="D183" i="16"/>
  <c r="E183" i="16"/>
  <c r="F183" i="16"/>
  <c r="G183" i="16"/>
  <c r="H183" i="16"/>
  <c r="I183" i="16"/>
  <c r="J183" i="16"/>
  <c r="P183" i="16"/>
  <c r="Q183" i="16"/>
  <c r="C184" i="16"/>
  <c r="D184" i="16"/>
  <c r="E184" i="16"/>
  <c r="F184" i="16"/>
  <c r="G184" i="16"/>
  <c r="H184" i="16"/>
  <c r="I184" i="16"/>
  <c r="J184" i="16"/>
  <c r="P184" i="16"/>
  <c r="Q184" i="16"/>
  <c r="T184" i="16"/>
  <c r="AD184" i="16" s="1"/>
  <c r="X184" i="16"/>
  <c r="AH184" i="16" s="1"/>
  <c r="Y184" i="16"/>
  <c r="AI184" i="16" s="1"/>
  <c r="Z184" i="16"/>
  <c r="AA184" i="16"/>
  <c r="AJ184" i="16"/>
  <c r="C185" i="16"/>
  <c r="D185" i="16"/>
  <c r="E185" i="16"/>
  <c r="F185" i="16"/>
  <c r="G185" i="16"/>
  <c r="H185" i="16"/>
  <c r="I185" i="16"/>
  <c r="J185" i="16"/>
  <c r="P185" i="16"/>
  <c r="Q185" i="16"/>
  <c r="C186" i="16"/>
  <c r="D186" i="16"/>
  <c r="E186" i="16"/>
  <c r="F186" i="16"/>
  <c r="G186" i="16"/>
  <c r="H186" i="16"/>
  <c r="I186" i="16"/>
  <c r="J186" i="16"/>
  <c r="P186" i="16"/>
  <c r="Q186" i="16"/>
  <c r="C187" i="16"/>
  <c r="D187" i="16"/>
  <c r="E187" i="16"/>
  <c r="F187" i="16"/>
  <c r="G187" i="16"/>
  <c r="H187" i="16"/>
  <c r="I187" i="16"/>
  <c r="J187" i="16"/>
  <c r="P187" i="16"/>
  <c r="Q187" i="16"/>
  <c r="T187" i="16"/>
  <c r="AD187" i="16" s="1"/>
  <c r="X187" i="16"/>
  <c r="AH187" i="16" s="1"/>
  <c r="Y187" i="16"/>
  <c r="AI187" i="16" s="1"/>
  <c r="Z187" i="16"/>
  <c r="AA187" i="16"/>
  <c r="AJ187" i="16"/>
  <c r="C188" i="16"/>
  <c r="D188" i="16"/>
  <c r="E188" i="16"/>
  <c r="F188" i="16"/>
  <c r="G188" i="16"/>
  <c r="H188" i="16"/>
  <c r="I188" i="16"/>
  <c r="J188" i="16"/>
  <c r="P188" i="16"/>
  <c r="Q188" i="16"/>
  <c r="C189" i="16"/>
  <c r="D189" i="16"/>
  <c r="E189" i="16"/>
  <c r="F189" i="16"/>
  <c r="G189" i="16"/>
  <c r="H189" i="16"/>
  <c r="I189" i="16"/>
  <c r="J189" i="16"/>
  <c r="P189" i="16"/>
  <c r="Q189" i="16"/>
  <c r="C190" i="16"/>
  <c r="D190" i="16"/>
  <c r="E190" i="16"/>
  <c r="F190" i="16"/>
  <c r="G190" i="16"/>
  <c r="H190" i="16"/>
  <c r="I190" i="16"/>
  <c r="J190" i="16"/>
  <c r="P190" i="16"/>
  <c r="Q190" i="16"/>
  <c r="C191" i="16"/>
  <c r="D191" i="16"/>
  <c r="E191" i="16"/>
  <c r="F191" i="16"/>
  <c r="G191" i="16"/>
  <c r="H191" i="16"/>
  <c r="I191" i="16"/>
  <c r="J191" i="16"/>
  <c r="P191" i="16"/>
  <c r="Q191" i="16"/>
  <c r="C192" i="16"/>
  <c r="D192" i="16"/>
  <c r="E192" i="16"/>
  <c r="F192" i="16"/>
  <c r="G192" i="16"/>
  <c r="H192" i="16"/>
  <c r="I192" i="16"/>
  <c r="J192" i="16"/>
  <c r="P192" i="16"/>
  <c r="Q192" i="16"/>
  <c r="C193" i="16"/>
  <c r="D193" i="16"/>
  <c r="E193" i="16"/>
  <c r="F193" i="16"/>
  <c r="G193" i="16"/>
  <c r="H193" i="16"/>
  <c r="I193" i="16"/>
  <c r="J193" i="16"/>
  <c r="P193" i="16"/>
  <c r="Q193" i="16"/>
  <c r="C194" i="16"/>
  <c r="D194" i="16"/>
  <c r="E194" i="16"/>
  <c r="F194" i="16"/>
  <c r="G194" i="16"/>
  <c r="H194" i="16"/>
  <c r="I194" i="16"/>
  <c r="J194" i="16"/>
  <c r="P194" i="16"/>
  <c r="Q194" i="16"/>
  <c r="C195" i="16"/>
  <c r="D195" i="16"/>
  <c r="E195" i="16"/>
  <c r="F195" i="16"/>
  <c r="G195" i="16"/>
  <c r="H195" i="16"/>
  <c r="I195" i="16"/>
  <c r="J195" i="16"/>
  <c r="P195" i="16"/>
  <c r="Q195" i="16"/>
  <c r="C196" i="16"/>
  <c r="D196" i="16"/>
  <c r="E196" i="16"/>
  <c r="F196" i="16"/>
  <c r="G196" i="16"/>
  <c r="H196" i="16"/>
  <c r="I196" i="16"/>
  <c r="J196" i="16"/>
  <c r="P196" i="16"/>
  <c r="Q196" i="16"/>
  <c r="C197" i="16"/>
  <c r="D197" i="16"/>
  <c r="E197" i="16"/>
  <c r="F197" i="16"/>
  <c r="G197" i="16"/>
  <c r="H197" i="16"/>
  <c r="I197" i="16"/>
  <c r="J197" i="16"/>
  <c r="P197" i="16"/>
  <c r="Q197" i="16"/>
  <c r="C198" i="16"/>
  <c r="D198" i="16"/>
  <c r="E198" i="16"/>
  <c r="F198" i="16"/>
  <c r="G198" i="16"/>
  <c r="H198" i="16"/>
  <c r="I198" i="16"/>
  <c r="J198" i="16"/>
  <c r="P198" i="16"/>
  <c r="Q198" i="16"/>
  <c r="C199" i="16"/>
  <c r="D199" i="16"/>
  <c r="E199" i="16"/>
  <c r="F199" i="16"/>
  <c r="G199" i="16"/>
  <c r="H199" i="16"/>
  <c r="I199" i="16"/>
  <c r="J199" i="16"/>
  <c r="P199" i="16"/>
  <c r="Q199" i="16"/>
  <c r="C200" i="16"/>
  <c r="D200" i="16"/>
  <c r="E200" i="16"/>
  <c r="F200" i="16"/>
  <c r="G200" i="16"/>
  <c r="H200" i="16"/>
  <c r="I200" i="16"/>
  <c r="J200" i="16"/>
  <c r="P200" i="16"/>
  <c r="Q200" i="16"/>
  <c r="C201" i="16"/>
  <c r="D201" i="16"/>
  <c r="E201" i="16"/>
  <c r="F201" i="16"/>
  <c r="G201" i="16"/>
  <c r="H201" i="16"/>
  <c r="I201" i="16"/>
  <c r="J201" i="16"/>
  <c r="P201" i="16"/>
  <c r="Q201" i="16"/>
  <c r="C202" i="16"/>
  <c r="D202" i="16"/>
  <c r="E202" i="16"/>
  <c r="F202" i="16"/>
  <c r="G202" i="16"/>
  <c r="H202" i="16"/>
  <c r="I202" i="16"/>
  <c r="J202" i="16"/>
  <c r="P202" i="16"/>
  <c r="Q202" i="16"/>
  <c r="C203" i="16"/>
  <c r="D203" i="16"/>
  <c r="E203" i="16"/>
  <c r="F203" i="16"/>
  <c r="G203" i="16"/>
  <c r="H203" i="16"/>
  <c r="I203" i="16"/>
  <c r="J203" i="16"/>
  <c r="P203" i="16"/>
  <c r="Q203" i="16"/>
  <c r="C204" i="16"/>
  <c r="D204" i="16"/>
  <c r="E204" i="16"/>
  <c r="F204" i="16"/>
  <c r="G204" i="16"/>
  <c r="H204" i="16"/>
  <c r="I204" i="16"/>
  <c r="J204" i="16"/>
  <c r="P204" i="16"/>
  <c r="Q204" i="16"/>
  <c r="C205" i="16"/>
  <c r="D205" i="16"/>
  <c r="E205" i="16"/>
  <c r="F205" i="16"/>
  <c r="G205" i="16"/>
  <c r="H205" i="16"/>
  <c r="I205" i="16"/>
  <c r="J205" i="16"/>
  <c r="P205" i="16"/>
  <c r="Q205" i="16"/>
  <c r="C206" i="16"/>
  <c r="D206" i="16"/>
  <c r="E206" i="16"/>
  <c r="F206" i="16"/>
  <c r="G206" i="16"/>
  <c r="H206" i="16"/>
  <c r="I206" i="16"/>
  <c r="J206" i="16"/>
  <c r="P206" i="16"/>
  <c r="Q206" i="16"/>
  <c r="C207" i="16"/>
  <c r="D207" i="16"/>
  <c r="E207" i="16"/>
  <c r="F207" i="16"/>
  <c r="G207" i="16"/>
  <c r="H207" i="16"/>
  <c r="I207" i="16"/>
  <c r="J207" i="16"/>
  <c r="P207" i="16"/>
  <c r="Q207" i="16"/>
  <c r="AE207" i="16"/>
  <c r="AF207" i="16"/>
  <c r="AG207" i="16"/>
  <c r="AJ207" i="16"/>
  <c r="AK207" i="16"/>
  <c r="C208" i="16"/>
  <c r="D208" i="16"/>
  <c r="E208" i="16"/>
  <c r="F208" i="16"/>
  <c r="G208" i="16"/>
  <c r="H208" i="16"/>
  <c r="I208" i="16"/>
  <c r="J208" i="16"/>
  <c r="P208" i="16"/>
  <c r="Q208" i="16"/>
  <c r="AE208" i="16"/>
  <c r="AF208" i="16"/>
  <c r="AG208" i="16"/>
  <c r="AJ208" i="16"/>
  <c r="AK208" i="16"/>
  <c r="C209" i="16"/>
  <c r="D209" i="16"/>
  <c r="E209" i="16"/>
  <c r="F209" i="16"/>
  <c r="G209" i="16"/>
  <c r="H209" i="16"/>
  <c r="I209" i="16"/>
  <c r="J209" i="16"/>
  <c r="P209" i="16"/>
  <c r="Q209" i="16"/>
  <c r="AE209" i="16"/>
  <c r="AF209" i="16"/>
  <c r="AG209" i="16"/>
  <c r="AJ209" i="16"/>
  <c r="AK209" i="16"/>
  <c r="C210" i="16"/>
  <c r="D210" i="16"/>
  <c r="E210" i="16"/>
  <c r="F210" i="16"/>
  <c r="G210" i="16"/>
  <c r="H210" i="16"/>
  <c r="I210" i="16"/>
  <c r="J210" i="16"/>
  <c r="P210" i="16"/>
  <c r="Q210" i="16"/>
  <c r="C211" i="16"/>
  <c r="D211" i="16"/>
  <c r="E211" i="16"/>
  <c r="F211" i="16"/>
  <c r="G211" i="16"/>
  <c r="H211" i="16"/>
  <c r="I211" i="16"/>
  <c r="J211" i="16"/>
  <c r="P211" i="16"/>
  <c r="Q211" i="16"/>
  <c r="C212" i="16"/>
  <c r="D212" i="16"/>
  <c r="E212" i="16"/>
  <c r="F212" i="16"/>
  <c r="G212" i="16"/>
  <c r="H212" i="16"/>
  <c r="I212" i="16"/>
  <c r="J212" i="16"/>
  <c r="P212" i="16"/>
  <c r="Q212" i="16"/>
  <c r="C213" i="16"/>
  <c r="D213" i="16"/>
  <c r="E213" i="16"/>
  <c r="F213" i="16"/>
  <c r="G213" i="16"/>
  <c r="H213" i="16"/>
  <c r="I213" i="16"/>
  <c r="J213" i="16"/>
  <c r="P213" i="16"/>
  <c r="Q213" i="16"/>
  <c r="C214" i="16"/>
  <c r="D214" i="16"/>
  <c r="E214" i="16"/>
  <c r="F214" i="16"/>
  <c r="G214" i="16"/>
  <c r="H214" i="16"/>
  <c r="I214" i="16"/>
  <c r="J214" i="16"/>
  <c r="P214" i="16"/>
  <c r="Q214" i="16"/>
  <c r="C215" i="16"/>
  <c r="D215" i="16"/>
  <c r="E215" i="16"/>
  <c r="F215" i="16"/>
  <c r="G215" i="16"/>
  <c r="H215" i="16"/>
  <c r="I215" i="16"/>
  <c r="J215" i="16"/>
  <c r="P215" i="16"/>
  <c r="Q215" i="16"/>
  <c r="C216" i="16"/>
  <c r="D216" i="16"/>
  <c r="E216" i="16"/>
  <c r="F216" i="16"/>
  <c r="G216" i="16"/>
  <c r="H216" i="16"/>
  <c r="I216" i="16"/>
  <c r="J216" i="16"/>
  <c r="P216" i="16"/>
  <c r="Q216" i="16"/>
  <c r="C217" i="16"/>
  <c r="D217" i="16"/>
  <c r="E217" i="16"/>
  <c r="F217" i="16"/>
  <c r="G217" i="16"/>
  <c r="H217" i="16"/>
  <c r="I217" i="16"/>
  <c r="J217" i="16"/>
  <c r="P217" i="16"/>
  <c r="Q217" i="16"/>
  <c r="C218" i="16"/>
  <c r="D218" i="16"/>
  <c r="E218" i="16"/>
  <c r="F218" i="16"/>
  <c r="G218" i="16"/>
  <c r="H218" i="16"/>
  <c r="I218" i="16"/>
  <c r="J218" i="16"/>
  <c r="P218" i="16"/>
  <c r="Q218" i="16"/>
  <c r="C219" i="16"/>
  <c r="D219" i="16"/>
  <c r="E219" i="16"/>
  <c r="F219" i="16"/>
  <c r="G219" i="16"/>
  <c r="H219" i="16"/>
  <c r="I219" i="16"/>
  <c r="J219" i="16"/>
  <c r="P219" i="16"/>
  <c r="Q219" i="16"/>
  <c r="C220" i="16"/>
  <c r="D220" i="16"/>
  <c r="E220" i="16"/>
  <c r="F220" i="16"/>
  <c r="G220" i="16"/>
  <c r="H220" i="16"/>
  <c r="I220" i="16"/>
  <c r="J220" i="16"/>
  <c r="P220" i="16"/>
  <c r="Q220" i="16"/>
  <c r="C221" i="16"/>
  <c r="D221" i="16"/>
  <c r="E221" i="16"/>
  <c r="F221" i="16"/>
  <c r="G221" i="16"/>
  <c r="H221" i="16"/>
  <c r="I221" i="16"/>
  <c r="J221" i="16"/>
  <c r="P221" i="16"/>
  <c r="Q221" i="16"/>
  <c r="C222" i="16"/>
  <c r="D222" i="16"/>
  <c r="E222" i="16"/>
  <c r="F222" i="16"/>
  <c r="G222" i="16"/>
  <c r="H222" i="16"/>
  <c r="I222" i="16"/>
  <c r="J222" i="16"/>
  <c r="P222" i="16"/>
  <c r="Q222" i="16"/>
  <c r="C223" i="16"/>
  <c r="D223" i="16"/>
  <c r="E223" i="16"/>
  <c r="F223" i="16"/>
  <c r="G223" i="16"/>
  <c r="H223" i="16"/>
  <c r="I223" i="16"/>
  <c r="J223" i="16"/>
  <c r="P223" i="16"/>
  <c r="Q223" i="16"/>
  <c r="C224" i="16"/>
  <c r="D224" i="16"/>
  <c r="E224" i="16"/>
  <c r="F224" i="16"/>
  <c r="G224" i="16"/>
  <c r="H224" i="16"/>
  <c r="I224" i="16"/>
  <c r="J224" i="16"/>
  <c r="P224" i="16"/>
  <c r="Q224" i="16"/>
  <c r="C225" i="16"/>
  <c r="D225" i="16"/>
  <c r="E225" i="16"/>
  <c r="F225" i="16"/>
  <c r="G225" i="16"/>
  <c r="H225" i="16"/>
  <c r="I225" i="16"/>
  <c r="J225" i="16"/>
  <c r="P225" i="16"/>
  <c r="Q225" i="16"/>
  <c r="C226" i="16"/>
  <c r="D226" i="16"/>
  <c r="E226" i="16"/>
  <c r="F226" i="16"/>
  <c r="G226" i="16"/>
  <c r="H226" i="16"/>
  <c r="I226" i="16"/>
  <c r="J226" i="16"/>
  <c r="P226" i="16"/>
  <c r="Q226" i="16"/>
  <c r="C227" i="16"/>
  <c r="D227" i="16"/>
  <c r="E227" i="16"/>
  <c r="F227" i="16"/>
  <c r="G227" i="16"/>
  <c r="H227" i="16"/>
  <c r="I227" i="16"/>
  <c r="J227" i="16"/>
  <c r="P227" i="16"/>
  <c r="Q227" i="16"/>
  <c r="C228" i="16"/>
  <c r="D228" i="16"/>
  <c r="E228" i="16"/>
  <c r="F228" i="16"/>
  <c r="G228" i="16"/>
  <c r="H228" i="16"/>
  <c r="I228" i="16"/>
  <c r="J228" i="16"/>
  <c r="P228" i="16"/>
  <c r="Q228" i="16"/>
  <c r="C229" i="16"/>
  <c r="D229" i="16"/>
  <c r="E229" i="16"/>
  <c r="F229" i="16"/>
  <c r="G229" i="16"/>
  <c r="H229" i="16"/>
  <c r="I229" i="16"/>
  <c r="J229" i="16"/>
  <c r="P229" i="16"/>
  <c r="Q229" i="16"/>
  <c r="C230" i="16"/>
  <c r="D230" i="16"/>
  <c r="E230" i="16"/>
  <c r="F230" i="16"/>
  <c r="G230" i="16"/>
  <c r="H230" i="16"/>
  <c r="I230" i="16"/>
  <c r="J230" i="16"/>
  <c r="P230" i="16"/>
  <c r="Q230" i="16"/>
  <c r="C231" i="16"/>
  <c r="D231" i="16"/>
  <c r="E231" i="16"/>
  <c r="F231" i="16"/>
  <c r="G231" i="16"/>
  <c r="H231" i="16"/>
  <c r="I231" i="16"/>
  <c r="J231" i="16"/>
  <c r="P231" i="16"/>
  <c r="Q231" i="16"/>
  <c r="C232" i="16"/>
  <c r="D232" i="16"/>
  <c r="E232" i="16"/>
  <c r="F232" i="16"/>
  <c r="G232" i="16"/>
  <c r="H232" i="16"/>
  <c r="I232" i="16"/>
  <c r="J232" i="16"/>
  <c r="P232" i="16"/>
  <c r="Q232" i="16"/>
  <c r="C233" i="16"/>
  <c r="D233" i="16"/>
  <c r="E233" i="16"/>
  <c r="F233" i="16"/>
  <c r="G233" i="16"/>
  <c r="H233" i="16"/>
  <c r="I233" i="16"/>
  <c r="J233" i="16"/>
  <c r="P233" i="16"/>
  <c r="Q233" i="16"/>
  <c r="C234" i="16"/>
  <c r="D234" i="16"/>
  <c r="E234" i="16"/>
  <c r="F234" i="16"/>
  <c r="G234" i="16"/>
  <c r="H234" i="16"/>
  <c r="I234" i="16"/>
  <c r="J234" i="16"/>
  <c r="P234" i="16"/>
  <c r="Q234" i="16"/>
  <c r="C235" i="16"/>
  <c r="D235" i="16"/>
  <c r="E235" i="16"/>
  <c r="F235" i="16"/>
  <c r="G235" i="16"/>
  <c r="H235" i="16"/>
  <c r="I235" i="16"/>
  <c r="J235" i="16"/>
  <c r="P235" i="16"/>
  <c r="Q235" i="16"/>
  <c r="C236" i="16"/>
  <c r="D236" i="16"/>
  <c r="E236" i="16"/>
  <c r="F236" i="16"/>
  <c r="G236" i="16"/>
  <c r="H236" i="16"/>
  <c r="I236" i="16"/>
  <c r="J236" i="16"/>
  <c r="P236" i="16"/>
  <c r="Q236" i="16"/>
  <c r="C237" i="16"/>
  <c r="D237" i="16"/>
  <c r="E237" i="16"/>
  <c r="F237" i="16"/>
  <c r="G237" i="16"/>
  <c r="H237" i="16"/>
  <c r="I237" i="16"/>
  <c r="J237" i="16"/>
  <c r="P237" i="16"/>
  <c r="Q237" i="16"/>
  <c r="C238" i="16"/>
  <c r="D238" i="16"/>
  <c r="E238" i="16"/>
  <c r="F238" i="16"/>
  <c r="G238" i="16"/>
  <c r="H238" i="16"/>
  <c r="I238" i="16"/>
  <c r="J238" i="16"/>
  <c r="P238" i="16"/>
  <c r="Q238" i="16"/>
  <c r="C239" i="16"/>
  <c r="D239" i="16"/>
  <c r="E239" i="16"/>
  <c r="F239" i="16"/>
  <c r="G239" i="16"/>
  <c r="H239" i="16"/>
  <c r="I239" i="16"/>
  <c r="J239" i="16"/>
  <c r="P239" i="16"/>
  <c r="Q239" i="16"/>
  <c r="C240" i="16"/>
  <c r="D240" i="16"/>
  <c r="E240" i="16"/>
  <c r="F240" i="16"/>
  <c r="G240" i="16"/>
  <c r="H240" i="16"/>
  <c r="I240" i="16"/>
  <c r="J240" i="16"/>
  <c r="P240" i="16"/>
  <c r="Q240" i="16"/>
  <c r="C241" i="16"/>
  <c r="D241" i="16"/>
  <c r="E241" i="16"/>
  <c r="F241" i="16"/>
  <c r="G241" i="16"/>
  <c r="H241" i="16"/>
  <c r="I241" i="16"/>
  <c r="J241" i="16"/>
  <c r="P241" i="16"/>
  <c r="Q241" i="16"/>
  <c r="C242" i="16"/>
  <c r="D242" i="16"/>
  <c r="E242" i="16"/>
  <c r="F242" i="16"/>
  <c r="G242" i="16"/>
  <c r="H242" i="16"/>
  <c r="I242" i="16"/>
  <c r="J242" i="16"/>
  <c r="P242" i="16"/>
  <c r="Q242" i="16"/>
  <c r="C243" i="16"/>
  <c r="D243" i="16"/>
  <c r="E243" i="16"/>
  <c r="F243" i="16"/>
  <c r="G243" i="16"/>
  <c r="H243" i="16"/>
  <c r="I243" i="16"/>
  <c r="J243" i="16"/>
  <c r="P243" i="16"/>
  <c r="Q243" i="16"/>
  <c r="C244" i="16"/>
  <c r="D244" i="16"/>
  <c r="E244" i="16"/>
  <c r="F244" i="16"/>
  <c r="G244" i="16"/>
  <c r="H244" i="16"/>
  <c r="I244" i="16"/>
  <c r="J244" i="16"/>
  <c r="P244" i="16"/>
  <c r="Q244" i="16"/>
  <c r="C245" i="16"/>
  <c r="D245" i="16"/>
  <c r="E245" i="16"/>
  <c r="F245" i="16"/>
  <c r="G245" i="16"/>
  <c r="H245" i="16"/>
  <c r="I245" i="16"/>
  <c r="J245" i="16"/>
  <c r="P245" i="16"/>
  <c r="Q245" i="16"/>
  <c r="C246" i="16"/>
  <c r="D246" i="16"/>
  <c r="E246" i="16"/>
  <c r="F246" i="16"/>
  <c r="G246" i="16"/>
  <c r="H246" i="16"/>
  <c r="I246" i="16"/>
  <c r="J246" i="16"/>
  <c r="P246" i="16"/>
  <c r="Q246" i="16"/>
  <c r="C247" i="16"/>
  <c r="D247" i="16"/>
  <c r="E247" i="16"/>
  <c r="F247" i="16"/>
  <c r="G247" i="16"/>
  <c r="H247" i="16"/>
  <c r="I247" i="16"/>
  <c r="J247" i="16"/>
  <c r="P247" i="16"/>
  <c r="Q247" i="16"/>
  <c r="C248" i="16"/>
  <c r="D248" i="16"/>
  <c r="E248" i="16"/>
  <c r="F248" i="16"/>
  <c r="G248" i="16"/>
  <c r="H248" i="16"/>
  <c r="I248" i="16"/>
  <c r="J248" i="16"/>
  <c r="P248" i="16"/>
  <c r="Q248" i="16"/>
  <c r="C249" i="16"/>
  <c r="D249" i="16"/>
  <c r="E249" i="16"/>
  <c r="F249" i="16"/>
  <c r="G249" i="16"/>
  <c r="H249" i="16"/>
  <c r="I249" i="16"/>
  <c r="J249" i="16"/>
  <c r="P249" i="16"/>
  <c r="Q249" i="16"/>
  <c r="C250" i="16"/>
  <c r="D250" i="16"/>
  <c r="E250" i="16"/>
  <c r="F250" i="16"/>
  <c r="G250" i="16"/>
  <c r="H250" i="16"/>
  <c r="I250" i="16"/>
  <c r="J250" i="16"/>
  <c r="P250" i="16"/>
  <c r="Q250" i="16"/>
  <c r="C251" i="16"/>
  <c r="D251" i="16"/>
  <c r="E251" i="16"/>
  <c r="F251" i="16"/>
  <c r="G251" i="16"/>
  <c r="H251" i="16"/>
  <c r="I251" i="16"/>
  <c r="J251" i="16"/>
  <c r="P251" i="16"/>
  <c r="Q251" i="16"/>
  <c r="C252" i="16"/>
  <c r="D252" i="16"/>
  <c r="E252" i="16"/>
  <c r="F252" i="16"/>
  <c r="G252" i="16"/>
  <c r="H252" i="16"/>
  <c r="I252" i="16"/>
  <c r="J252" i="16"/>
  <c r="P252" i="16"/>
  <c r="Q252" i="16"/>
  <c r="C253" i="16"/>
  <c r="D253" i="16"/>
  <c r="E253" i="16"/>
  <c r="F253" i="16"/>
  <c r="G253" i="16"/>
  <c r="H253" i="16"/>
  <c r="I253" i="16"/>
  <c r="J253" i="16"/>
  <c r="P253" i="16"/>
  <c r="Q253" i="16"/>
  <c r="C254" i="16"/>
  <c r="D254" i="16"/>
  <c r="E254" i="16"/>
  <c r="F254" i="16"/>
  <c r="G254" i="16"/>
  <c r="H254" i="16"/>
  <c r="I254" i="16"/>
  <c r="J254" i="16"/>
  <c r="P254" i="16"/>
  <c r="Q254" i="16"/>
  <c r="C255" i="16"/>
  <c r="D255" i="16"/>
  <c r="E255" i="16"/>
  <c r="F255" i="16"/>
  <c r="G255" i="16"/>
  <c r="H255" i="16"/>
  <c r="I255" i="16"/>
  <c r="J255" i="16"/>
  <c r="P255" i="16"/>
  <c r="Q255" i="16"/>
  <c r="T255" i="16"/>
  <c r="AD255" i="16" s="1"/>
  <c r="X255" i="16"/>
  <c r="AH255" i="16" s="1"/>
  <c r="Y255" i="16"/>
  <c r="AI255" i="16" s="1"/>
  <c r="Z255" i="16"/>
  <c r="AA255" i="16"/>
  <c r="C256" i="16"/>
  <c r="D256" i="16"/>
  <c r="E256" i="16"/>
  <c r="F256" i="16"/>
  <c r="G256" i="16"/>
  <c r="H256" i="16"/>
  <c r="I256" i="16"/>
  <c r="J256" i="16"/>
  <c r="P256" i="16"/>
  <c r="Q256" i="16"/>
  <c r="C257" i="16"/>
  <c r="D257" i="16"/>
  <c r="E257" i="16"/>
  <c r="F257" i="16"/>
  <c r="G257" i="16"/>
  <c r="H257" i="16"/>
  <c r="I257" i="16"/>
  <c r="J257" i="16"/>
  <c r="P257" i="16"/>
  <c r="Q257" i="16"/>
  <c r="C258" i="16"/>
  <c r="D258" i="16"/>
  <c r="E258" i="16"/>
  <c r="F258" i="16"/>
  <c r="G258" i="16"/>
  <c r="H258" i="16"/>
  <c r="I258" i="16"/>
  <c r="J258" i="16"/>
  <c r="P258" i="16"/>
  <c r="Q258" i="16"/>
  <c r="C259" i="16"/>
  <c r="D259" i="16"/>
  <c r="E259" i="16"/>
  <c r="F259" i="16"/>
  <c r="G259" i="16"/>
  <c r="H259" i="16"/>
  <c r="I259" i="16"/>
  <c r="J259" i="16"/>
  <c r="P259" i="16"/>
  <c r="Q259" i="16"/>
  <c r="C260" i="16"/>
  <c r="D260" i="16"/>
  <c r="E260" i="16"/>
  <c r="F260" i="16"/>
  <c r="G260" i="16"/>
  <c r="H260" i="16"/>
  <c r="I260" i="16"/>
  <c r="J260" i="16"/>
  <c r="P260" i="16"/>
  <c r="Q260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41" i="16"/>
  <c r="A42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5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216" i="16"/>
  <c r="A217" i="16"/>
  <c r="A218" i="16"/>
  <c r="A219" i="16"/>
  <c r="A220" i="16"/>
  <c r="A221" i="16"/>
  <c r="A222" i="16"/>
  <c r="A223" i="16"/>
  <c r="A224" i="16"/>
  <c r="A225" i="16"/>
  <c r="A226" i="16"/>
  <c r="A227" i="16"/>
  <c r="A228" i="16"/>
  <c r="A229" i="16"/>
  <c r="A230" i="16"/>
  <c r="A231" i="16"/>
  <c r="A232" i="16"/>
  <c r="A233" i="16"/>
  <c r="A234" i="16"/>
  <c r="A235" i="16"/>
  <c r="A236" i="16"/>
  <c r="A237" i="16"/>
  <c r="A238" i="16"/>
  <c r="A239" i="16"/>
  <c r="A240" i="16"/>
  <c r="A241" i="16"/>
  <c r="A242" i="16"/>
  <c r="A243" i="16"/>
  <c r="A244" i="16"/>
  <c r="A245" i="16"/>
  <c r="A246" i="16"/>
  <c r="A247" i="16"/>
  <c r="A248" i="16"/>
  <c r="A249" i="16"/>
  <c r="A250" i="16"/>
  <c r="A251" i="16"/>
  <c r="A252" i="16"/>
  <c r="A253" i="16"/>
  <c r="A254" i="16"/>
  <c r="A255" i="16"/>
  <c r="A256" i="16"/>
  <c r="A257" i="16"/>
  <c r="A258" i="16"/>
  <c r="A259" i="16"/>
  <c r="A260" i="16"/>
  <c r="A3" i="16"/>
  <c r="A4" i="16"/>
  <c r="A5" i="16"/>
  <c r="A6" i="16"/>
  <c r="A7" i="16"/>
  <c r="A8" i="16"/>
  <c r="A9" i="16"/>
  <c r="A10" i="16"/>
  <c r="A11" i="16"/>
  <c r="A12" i="16"/>
  <c r="A13" i="16"/>
  <c r="A14" i="16"/>
  <c r="D175" i="13"/>
  <c r="CQ21" i="22" l="1"/>
  <c r="H241" i="23" l="1"/>
  <c r="L3" i="23"/>
  <c r="L4" i="23"/>
  <c r="L5" i="23"/>
  <c r="L6" i="23"/>
  <c r="L7" i="23"/>
  <c r="L8" i="23"/>
  <c r="L9" i="23"/>
  <c r="L10" i="23"/>
  <c r="L11" i="23"/>
  <c r="L12" i="23"/>
  <c r="L13" i="23"/>
  <c r="L14" i="23"/>
  <c r="L15" i="23"/>
  <c r="L16" i="23"/>
  <c r="L17" i="23"/>
  <c r="L18" i="23"/>
  <c r="L19" i="23"/>
  <c r="L20" i="23"/>
  <c r="L21" i="23"/>
  <c r="L22" i="23"/>
  <c r="L23" i="23"/>
  <c r="L24" i="23"/>
  <c r="L25" i="23"/>
  <c r="L26" i="23"/>
  <c r="L27" i="23"/>
  <c r="L28" i="23"/>
  <c r="L29" i="23"/>
  <c r="L30" i="23"/>
  <c r="L31" i="23"/>
  <c r="L32" i="23"/>
  <c r="L33" i="23"/>
  <c r="L34" i="23"/>
  <c r="L35" i="23"/>
  <c r="L36" i="23"/>
  <c r="L37" i="23"/>
  <c r="L38" i="23"/>
  <c r="L39" i="23"/>
  <c r="L40" i="23"/>
  <c r="L41" i="23"/>
  <c r="L42" i="23"/>
  <c r="L43" i="23"/>
  <c r="L44" i="23"/>
  <c r="L45" i="23"/>
  <c r="L46" i="23"/>
  <c r="L47" i="23"/>
  <c r="L48" i="23"/>
  <c r="L49" i="23"/>
  <c r="L50" i="23"/>
  <c r="L51" i="23"/>
  <c r="L52" i="23"/>
  <c r="L53" i="23"/>
  <c r="L54" i="23"/>
  <c r="L55" i="23"/>
  <c r="L56" i="23"/>
  <c r="L57" i="23"/>
  <c r="L58" i="23"/>
  <c r="L59" i="23"/>
  <c r="L60" i="23"/>
  <c r="L61" i="23"/>
  <c r="L62" i="23"/>
  <c r="L63" i="23"/>
  <c r="L64" i="23"/>
  <c r="L65" i="23"/>
  <c r="L66" i="23"/>
  <c r="L67" i="23"/>
  <c r="L68" i="23"/>
  <c r="L69" i="23"/>
  <c r="L70" i="23"/>
  <c r="L71" i="23"/>
  <c r="L72" i="23"/>
  <c r="L73" i="23"/>
  <c r="L74" i="23"/>
  <c r="L75" i="23"/>
  <c r="L76" i="23"/>
  <c r="L77" i="23"/>
  <c r="L78" i="23"/>
  <c r="L79" i="23"/>
  <c r="L80" i="23"/>
  <c r="L81" i="23"/>
  <c r="L82" i="23"/>
  <c r="L83" i="23"/>
  <c r="L84" i="23"/>
  <c r="L85" i="23"/>
  <c r="L86" i="23"/>
  <c r="L87" i="23"/>
  <c r="L88" i="23"/>
  <c r="L89" i="23"/>
  <c r="L90" i="23"/>
  <c r="L91" i="23"/>
  <c r="L92" i="23"/>
  <c r="L93" i="23"/>
  <c r="L94" i="23"/>
  <c r="L95" i="23"/>
  <c r="L96" i="23"/>
  <c r="L97" i="23"/>
  <c r="L98" i="23"/>
  <c r="L99" i="23"/>
  <c r="L100" i="23"/>
  <c r="L101" i="23"/>
  <c r="L102" i="23"/>
  <c r="L103" i="23"/>
  <c r="L104" i="23"/>
  <c r="L105" i="23"/>
  <c r="L106" i="23"/>
  <c r="L107" i="23"/>
  <c r="L108" i="23"/>
  <c r="L109" i="23"/>
  <c r="L110" i="23"/>
  <c r="L111" i="23"/>
  <c r="L112" i="23"/>
  <c r="L113" i="23"/>
  <c r="L114" i="23"/>
  <c r="L115" i="23"/>
  <c r="L116" i="23"/>
  <c r="L117" i="23"/>
  <c r="L118" i="23"/>
  <c r="L119" i="23"/>
  <c r="L120" i="23"/>
  <c r="L121" i="23"/>
  <c r="L122" i="23"/>
  <c r="L123" i="23"/>
  <c r="L124" i="23"/>
  <c r="L125" i="23"/>
  <c r="L126" i="23"/>
  <c r="L127" i="23"/>
  <c r="L128" i="23"/>
  <c r="L129" i="23"/>
  <c r="L130" i="23"/>
  <c r="L131" i="23"/>
  <c r="L132" i="23"/>
  <c r="L133" i="23"/>
  <c r="L134" i="23"/>
  <c r="L135" i="23"/>
  <c r="L136" i="23"/>
  <c r="L137" i="23"/>
  <c r="L138" i="23"/>
  <c r="L139" i="23"/>
  <c r="L140" i="23"/>
  <c r="L141" i="23"/>
  <c r="L142" i="23"/>
  <c r="L143" i="23"/>
  <c r="L144" i="23"/>
  <c r="L145" i="23"/>
  <c r="L146" i="23"/>
  <c r="L147" i="23"/>
  <c r="L148" i="23"/>
  <c r="L149" i="23"/>
  <c r="L150" i="23"/>
  <c r="L151" i="23"/>
  <c r="L152" i="23"/>
  <c r="L153" i="23"/>
  <c r="L154" i="23"/>
  <c r="L155" i="23"/>
  <c r="L156" i="23"/>
  <c r="L157" i="23"/>
  <c r="L158" i="23"/>
  <c r="L159" i="23"/>
  <c r="L160" i="23"/>
  <c r="L161" i="23"/>
  <c r="L162" i="23"/>
  <c r="L163" i="23"/>
  <c r="L164" i="23"/>
  <c r="L165" i="23"/>
  <c r="L166" i="23"/>
  <c r="L167" i="23"/>
  <c r="L168" i="23"/>
  <c r="L169" i="23"/>
  <c r="L170" i="23"/>
  <c r="L171" i="23"/>
  <c r="L172" i="23"/>
  <c r="L173" i="23"/>
  <c r="L174" i="23"/>
  <c r="L175" i="23"/>
  <c r="L176" i="23"/>
  <c r="L177" i="23"/>
  <c r="L178" i="23"/>
  <c r="L179" i="23"/>
  <c r="L180" i="23"/>
  <c r="L181" i="23"/>
  <c r="L182" i="23"/>
  <c r="L183" i="23"/>
  <c r="L184" i="23"/>
  <c r="L185" i="23"/>
  <c r="L186" i="23"/>
  <c r="L187" i="23"/>
  <c r="L188" i="23"/>
  <c r="L189" i="23"/>
  <c r="L190" i="23"/>
  <c r="L191" i="23"/>
  <c r="L192" i="23"/>
  <c r="L193" i="23"/>
  <c r="L194" i="23"/>
  <c r="L195" i="23"/>
  <c r="L196" i="23"/>
  <c r="L197" i="23"/>
  <c r="L198" i="23"/>
  <c r="L199" i="23"/>
  <c r="L200" i="23"/>
  <c r="L201" i="23"/>
  <c r="L202" i="23"/>
  <c r="L203" i="23"/>
  <c r="L204" i="23"/>
  <c r="L205" i="23"/>
  <c r="L206" i="23"/>
  <c r="L207" i="23"/>
  <c r="L208" i="23"/>
  <c r="L209" i="23"/>
  <c r="L210" i="23"/>
  <c r="L211" i="23"/>
  <c r="L212" i="23"/>
  <c r="L213" i="23"/>
  <c r="L214" i="23"/>
  <c r="L215" i="23"/>
  <c r="L216" i="23"/>
  <c r="L217" i="23"/>
  <c r="L218" i="23"/>
  <c r="L219" i="23"/>
  <c r="L220" i="23"/>
  <c r="L221" i="23"/>
  <c r="L222" i="23"/>
  <c r="L223" i="23"/>
  <c r="L224" i="23"/>
  <c r="L225" i="23"/>
  <c r="L226" i="23"/>
  <c r="L227" i="23"/>
  <c r="L228" i="23"/>
  <c r="L229" i="23"/>
  <c r="L230" i="23"/>
  <c r="L231" i="23"/>
  <c r="L232" i="23"/>
  <c r="L233" i="23"/>
  <c r="L234" i="23"/>
  <c r="L235" i="23"/>
  <c r="L236" i="23"/>
  <c r="L237" i="23"/>
  <c r="L238" i="23"/>
  <c r="L239" i="23"/>
  <c r="L240" i="23"/>
  <c r="L241" i="23"/>
  <c r="L242" i="23"/>
  <c r="L243" i="23"/>
  <c r="L244" i="23"/>
  <c r="L245" i="23"/>
  <c r="L246" i="23"/>
  <c r="L247" i="23"/>
  <c r="L248" i="23"/>
  <c r="L249" i="23"/>
  <c r="L250" i="23"/>
  <c r="L251" i="23"/>
  <c r="L252" i="23"/>
  <c r="L253" i="23"/>
  <c r="L254" i="23"/>
  <c r="L255" i="23"/>
  <c r="L256" i="23"/>
  <c r="L257" i="23"/>
  <c r="L258" i="23"/>
  <c r="L259" i="23"/>
  <c r="L260" i="23"/>
  <c r="L2" i="23"/>
  <c r="J3" i="23"/>
  <c r="J4" i="23"/>
  <c r="J5" i="23"/>
  <c r="J6" i="23"/>
  <c r="J7" i="23"/>
  <c r="J8" i="23"/>
  <c r="J9" i="23"/>
  <c r="J10" i="23"/>
  <c r="J11" i="23"/>
  <c r="J12" i="23"/>
  <c r="J13" i="23"/>
  <c r="J14" i="23"/>
  <c r="J15" i="23"/>
  <c r="J16" i="23"/>
  <c r="J17" i="23"/>
  <c r="J18" i="23"/>
  <c r="J19" i="23"/>
  <c r="J20" i="23"/>
  <c r="J21" i="23"/>
  <c r="J22" i="23"/>
  <c r="J23" i="23"/>
  <c r="J24" i="23"/>
  <c r="J25" i="23"/>
  <c r="J26" i="23"/>
  <c r="J27" i="23"/>
  <c r="J28" i="23"/>
  <c r="J29" i="23"/>
  <c r="J30" i="23"/>
  <c r="J31" i="23"/>
  <c r="J32" i="23"/>
  <c r="J33" i="23"/>
  <c r="J34" i="23"/>
  <c r="J35" i="23"/>
  <c r="J36" i="23"/>
  <c r="J37" i="23"/>
  <c r="J38" i="23"/>
  <c r="J39" i="23"/>
  <c r="J40" i="23"/>
  <c r="J41" i="23"/>
  <c r="J42" i="23"/>
  <c r="J43" i="23"/>
  <c r="J44" i="23"/>
  <c r="J45" i="23"/>
  <c r="J46" i="23"/>
  <c r="J47" i="23"/>
  <c r="J48" i="23"/>
  <c r="J49" i="23"/>
  <c r="J50" i="23"/>
  <c r="J51" i="23"/>
  <c r="J52" i="23"/>
  <c r="J53" i="23"/>
  <c r="J54" i="23"/>
  <c r="J55" i="23"/>
  <c r="J56" i="23"/>
  <c r="J57" i="23"/>
  <c r="J58" i="23"/>
  <c r="J59" i="23"/>
  <c r="J60" i="23"/>
  <c r="J61" i="23"/>
  <c r="J62" i="23"/>
  <c r="J63" i="23"/>
  <c r="J64" i="23"/>
  <c r="J65" i="23"/>
  <c r="J66" i="23"/>
  <c r="J67" i="23"/>
  <c r="J68" i="23"/>
  <c r="J69" i="23"/>
  <c r="J70" i="23"/>
  <c r="J71" i="23"/>
  <c r="J72" i="23"/>
  <c r="J73" i="23"/>
  <c r="J74" i="23"/>
  <c r="J75" i="23"/>
  <c r="J76" i="23"/>
  <c r="J77" i="23"/>
  <c r="J78" i="23"/>
  <c r="J79" i="23"/>
  <c r="J80" i="23"/>
  <c r="J81" i="23"/>
  <c r="J82" i="23"/>
  <c r="J83" i="23"/>
  <c r="J84" i="23"/>
  <c r="J85" i="23"/>
  <c r="J86" i="23"/>
  <c r="J87" i="23"/>
  <c r="J88" i="23"/>
  <c r="J89" i="23"/>
  <c r="J90" i="23"/>
  <c r="J91" i="23"/>
  <c r="J92" i="23"/>
  <c r="J93" i="23"/>
  <c r="J94" i="23"/>
  <c r="J95" i="23"/>
  <c r="J96" i="23"/>
  <c r="J97" i="23"/>
  <c r="J98" i="23"/>
  <c r="J99" i="23"/>
  <c r="J100" i="23"/>
  <c r="J101" i="23"/>
  <c r="J102" i="23"/>
  <c r="J103" i="23"/>
  <c r="J104" i="23"/>
  <c r="J105" i="23"/>
  <c r="J106" i="23"/>
  <c r="J107" i="23"/>
  <c r="J108" i="23"/>
  <c r="J109" i="23"/>
  <c r="J110" i="23"/>
  <c r="J111" i="23"/>
  <c r="J112" i="23"/>
  <c r="J113" i="23"/>
  <c r="J114" i="23"/>
  <c r="J115" i="23"/>
  <c r="J116" i="23"/>
  <c r="J117" i="23"/>
  <c r="J118" i="23"/>
  <c r="J119" i="23"/>
  <c r="J120" i="23"/>
  <c r="J121" i="23"/>
  <c r="J122" i="23"/>
  <c r="J123" i="23"/>
  <c r="J124" i="23"/>
  <c r="J125" i="23"/>
  <c r="J126" i="23"/>
  <c r="J127" i="23"/>
  <c r="J128" i="23"/>
  <c r="J129" i="23"/>
  <c r="J130" i="23"/>
  <c r="J131" i="23"/>
  <c r="J132" i="23"/>
  <c r="J133" i="23"/>
  <c r="J134" i="23"/>
  <c r="J135" i="23"/>
  <c r="J136" i="23"/>
  <c r="J137" i="23"/>
  <c r="J138" i="23"/>
  <c r="J139" i="23"/>
  <c r="J140" i="23"/>
  <c r="J141" i="23"/>
  <c r="J142" i="23"/>
  <c r="J143" i="23"/>
  <c r="J144" i="23"/>
  <c r="J145" i="23"/>
  <c r="J146" i="23"/>
  <c r="J147" i="23"/>
  <c r="J148" i="23"/>
  <c r="J149" i="23"/>
  <c r="J150" i="23"/>
  <c r="J151" i="23"/>
  <c r="J152" i="23"/>
  <c r="J153" i="23"/>
  <c r="J154" i="23"/>
  <c r="J155" i="23"/>
  <c r="J156" i="23"/>
  <c r="J157" i="23"/>
  <c r="J158" i="23"/>
  <c r="J159" i="23"/>
  <c r="J160" i="23"/>
  <c r="J161" i="23"/>
  <c r="J162" i="23"/>
  <c r="J163" i="23"/>
  <c r="J164" i="23"/>
  <c r="J165" i="23"/>
  <c r="J166" i="23"/>
  <c r="J167" i="23"/>
  <c r="J168" i="23"/>
  <c r="J169" i="23"/>
  <c r="J170" i="23"/>
  <c r="J171" i="23"/>
  <c r="J172" i="23"/>
  <c r="J173" i="23"/>
  <c r="J174" i="23"/>
  <c r="J175" i="23"/>
  <c r="J176" i="23"/>
  <c r="J177" i="23"/>
  <c r="J178" i="23"/>
  <c r="J179" i="23"/>
  <c r="J180" i="23"/>
  <c r="J181" i="23"/>
  <c r="J182" i="23"/>
  <c r="J183" i="23"/>
  <c r="J184" i="23"/>
  <c r="J185" i="23"/>
  <c r="J186" i="23"/>
  <c r="J187" i="23"/>
  <c r="J188" i="23"/>
  <c r="J189" i="23"/>
  <c r="J190" i="23"/>
  <c r="J191" i="23"/>
  <c r="J192" i="23"/>
  <c r="J193" i="23"/>
  <c r="J194" i="23"/>
  <c r="J195" i="23"/>
  <c r="J196" i="23"/>
  <c r="J197" i="23"/>
  <c r="J198" i="23"/>
  <c r="J199" i="23"/>
  <c r="J200" i="23"/>
  <c r="J201" i="23"/>
  <c r="J202" i="23"/>
  <c r="J203" i="23"/>
  <c r="J204" i="23"/>
  <c r="J205" i="23"/>
  <c r="J206" i="23"/>
  <c r="J207" i="23"/>
  <c r="J208" i="23"/>
  <c r="J209" i="23"/>
  <c r="J210" i="23"/>
  <c r="J211" i="23"/>
  <c r="J212" i="23"/>
  <c r="J213" i="23"/>
  <c r="J214" i="23"/>
  <c r="J215" i="23"/>
  <c r="J216" i="23"/>
  <c r="J217" i="23"/>
  <c r="J218" i="23"/>
  <c r="J219" i="23"/>
  <c r="J220" i="23"/>
  <c r="J221" i="23"/>
  <c r="J222" i="23"/>
  <c r="J223" i="23"/>
  <c r="J224" i="23"/>
  <c r="J225" i="23"/>
  <c r="J226" i="23"/>
  <c r="J227" i="23"/>
  <c r="J228" i="23"/>
  <c r="J229" i="23"/>
  <c r="J230" i="23"/>
  <c r="J231" i="23"/>
  <c r="J232" i="23"/>
  <c r="J233" i="23"/>
  <c r="J234" i="23"/>
  <c r="J235" i="23"/>
  <c r="J236" i="23"/>
  <c r="J237" i="23"/>
  <c r="J238" i="23"/>
  <c r="J239" i="23"/>
  <c r="J240" i="23"/>
  <c r="J241" i="23"/>
  <c r="J242" i="23"/>
  <c r="J243" i="23"/>
  <c r="J244" i="23"/>
  <c r="J245" i="23"/>
  <c r="J246" i="23"/>
  <c r="J247" i="23"/>
  <c r="J248" i="23"/>
  <c r="J249" i="23"/>
  <c r="J250" i="23"/>
  <c r="J251" i="23"/>
  <c r="J252" i="23"/>
  <c r="J253" i="23"/>
  <c r="J254" i="23"/>
  <c r="J255" i="23"/>
  <c r="J256" i="23"/>
  <c r="J257" i="23"/>
  <c r="J258" i="23"/>
  <c r="J259" i="23"/>
  <c r="J260" i="23"/>
  <c r="J2" i="23"/>
  <c r="H3" i="23"/>
  <c r="H4" i="23"/>
  <c r="H5" i="23"/>
  <c r="H6" i="23"/>
  <c r="H7" i="23"/>
  <c r="H8" i="23"/>
  <c r="H9" i="23"/>
  <c r="H10" i="23"/>
  <c r="H11" i="23"/>
  <c r="H12" i="23"/>
  <c r="H13" i="23"/>
  <c r="H14" i="23"/>
  <c r="H15" i="23"/>
  <c r="H16" i="23"/>
  <c r="H17" i="23"/>
  <c r="H18" i="23"/>
  <c r="H19" i="23"/>
  <c r="H20" i="23"/>
  <c r="H21" i="23"/>
  <c r="H22" i="23"/>
  <c r="H23" i="23"/>
  <c r="H24" i="23"/>
  <c r="H25" i="23"/>
  <c r="H26" i="23"/>
  <c r="H27" i="23"/>
  <c r="H28" i="23"/>
  <c r="H29" i="23"/>
  <c r="H30" i="23"/>
  <c r="H31" i="23"/>
  <c r="H32" i="23"/>
  <c r="H33" i="23"/>
  <c r="H34" i="23"/>
  <c r="H35" i="23"/>
  <c r="H36" i="23"/>
  <c r="H37" i="23"/>
  <c r="H38" i="23"/>
  <c r="H39" i="23"/>
  <c r="H40" i="23"/>
  <c r="H41" i="23"/>
  <c r="H42" i="23"/>
  <c r="H43" i="23"/>
  <c r="H44" i="23"/>
  <c r="H45" i="23"/>
  <c r="H46" i="23"/>
  <c r="H47" i="23"/>
  <c r="H48" i="23"/>
  <c r="H49" i="23"/>
  <c r="H50" i="23"/>
  <c r="H51" i="23"/>
  <c r="H52" i="23"/>
  <c r="H53" i="23"/>
  <c r="H54" i="23"/>
  <c r="H55" i="23"/>
  <c r="H56" i="23"/>
  <c r="H57" i="23"/>
  <c r="H58" i="23"/>
  <c r="H59" i="23"/>
  <c r="H60" i="23"/>
  <c r="H61" i="23"/>
  <c r="H62" i="23"/>
  <c r="H63" i="23"/>
  <c r="H64" i="23"/>
  <c r="H65" i="23"/>
  <c r="H66" i="23"/>
  <c r="H67" i="23"/>
  <c r="H68" i="23"/>
  <c r="H69" i="23"/>
  <c r="H70" i="23"/>
  <c r="H71" i="23"/>
  <c r="H72" i="23"/>
  <c r="H73" i="23"/>
  <c r="H74" i="23"/>
  <c r="H75" i="23"/>
  <c r="H76" i="23"/>
  <c r="H77" i="23"/>
  <c r="H78" i="23"/>
  <c r="H79" i="23"/>
  <c r="H80" i="23"/>
  <c r="H81" i="23"/>
  <c r="H82" i="23"/>
  <c r="H83" i="23"/>
  <c r="H84" i="23"/>
  <c r="H85" i="23"/>
  <c r="H86" i="23"/>
  <c r="H87" i="23"/>
  <c r="H88" i="23"/>
  <c r="H89" i="23"/>
  <c r="H90" i="23"/>
  <c r="H91" i="23"/>
  <c r="H92" i="23"/>
  <c r="H93" i="23"/>
  <c r="H94" i="23"/>
  <c r="H95" i="23"/>
  <c r="H96" i="23"/>
  <c r="H97" i="23"/>
  <c r="H98" i="23"/>
  <c r="H99" i="23"/>
  <c r="H100" i="23"/>
  <c r="H101" i="23"/>
  <c r="H102" i="23"/>
  <c r="H103" i="23"/>
  <c r="H104" i="23"/>
  <c r="H105" i="23"/>
  <c r="H106" i="23"/>
  <c r="H107" i="23"/>
  <c r="H108" i="23"/>
  <c r="H109" i="23"/>
  <c r="H110" i="23"/>
  <c r="H111" i="23"/>
  <c r="H112" i="23"/>
  <c r="H113" i="23"/>
  <c r="H114" i="23"/>
  <c r="H115" i="23"/>
  <c r="H116" i="23"/>
  <c r="H117" i="23"/>
  <c r="H118" i="23"/>
  <c r="H119" i="23"/>
  <c r="H120" i="23"/>
  <c r="H121" i="23"/>
  <c r="H122" i="23"/>
  <c r="H123" i="23"/>
  <c r="H124" i="23"/>
  <c r="H125" i="23"/>
  <c r="H126" i="23"/>
  <c r="H127" i="23"/>
  <c r="H128" i="23"/>
  <c r="H129" i="23"/>
  <c r="H130" i="23"/>
  <c r="H131" i="23"/>
  <c r="H132" i="23"/>
  <c r="H133" i="23"/>
  <c r="H134" i="23"/>
  <c r="H135" i="23"/>
  <c r="H136" i="23"/>
  <c r="H137" i="23"/>
  <c r="H138" i="23"/>
  <c r="H139" i="23"/>
  <c r="H140" i="23"/>
  <c r="H141" i="23"/>
  <c r="H142" i="23"/>
  <c r="H143" i="23"/>
  <c r="H144" i="23"/>
  <c r="H145" i="23"/>
  <c r="H146" i="23"/>
  <c r="H147" i="23"/>
  <c r="H148" i="23"/>
  <c r="H149" i="23"/>
  <c r="H150" i="23"/>
  <c r="H151" i="23"/>
  <c r="H152" i="23"/>
  <c r="H153" i="23"/>
  <c r="H154" i="23"/>
  <c r="H155" i="23"/>
  <c r="H156" i="23"/>
  <c r="H157" i="23"/>
  <c r="H158" i="23"/>
  <c r="H159" i="23"/>
  <c r="H160" i="23"/>
  <c r="H161" i="23"/>
  <c r="H162" i="23"/>
  <c r="H163" i="23"/>
  <c r="H164" i="23"/>
  <c r="H165" i="23"/>
  <c r="H166" i="23"/>
  <c r="H167" i="23"/>
  <c r="H168" i="23"/>
  <c r="H169" i="23"/>
  <c r="H170" i="23"/>
  <c r="H171" i="23"/>
  <c r="H172" i="23"/>
  <c r="H173" i="23"/>
  <c r="H174" i="23"/>
  <c r="H175" i="23"/>
  <c r="H176" i="23"/>
  <c r="H177" i="23"/>
  <c r="H178" i="23"/>
  <c r="H179" i="23"/>
  <c r="H180" i="23"/>
  <c r="H181" i="23"/>
  <c r="H182" i="23"/>
  <c r="H183" i="23"/>
  <c r="H184" i="23"/>
  <c r="H185" i="23"/>
  <c r="H186" i="23"/>
  <c r="H187" i="23"/>
  <c r="H188" i="23"/>
  <c r="H189" i="23"/>
  <c r="H190" i="23"/>
  <c r="H191" i="23"/>
  <c r="H192" i="23"/>
  <c r="H193" i="23"/>
  <c r="H194" i="23"/>
  <c r="H195" i="23"/>
  <c r="H196" i="23"/>
  <c r="H197" i="23"/>
  <c r="H198" i="23"/>
  <c r="H199" i="23"/>
  <c r="H200" i="23"/>
  <c r="H201" i="23"/>
  <c r="H202" i="23"/>
  <c r="H203" i="23"/>
  <c r="H204" i="23"/>
  <c r="H205" i="23"/>
  <c r="H206" i="23"/>
  <c r="H207" i="23"/>
  <c r="H208" i="23"/>
  <c r="H209" i="23"/>
  <c r="H210" i="23"/>
  <c r="H211" i="23"/>
  <c r="H212" i="23"/>
  <c r="H213" i="23"/>
  <c r="H214" i="23"/>
  <c r="H215" i="23"/>
  <c r="H216" i="23"/>
  <c r="H217" i="23"/>
  <c r="H218" i="23"/>
  <c r="H219" i="23"/>
  <c r="H220" i="23"/>
  <c r="H221" i="23"/>
  <c r="H222" i="23"/>
  <c r="H223" i="23"/>
  <c r="H224" i="23"/>
  <c r="H225" i="23"/>
  <c r="H226" i="23"/>
  <c r="H227" i="23"/>
  <c r="H228" i="23"/>
  <c r="H229" i="23"/>
  <c r="H230" i="23"/>
  <c r="H231" i="23"/>
  <c r="H232" i="23"/>
  <c r="H233" i="23"/>
  <c r="H234" i="23"/>
  <c r="H235" i="23"/>
  <c r="H236" i="23"/>
  <c r="H237" i="23"/>
  <c r="H238" i="23"/>
  <c r="H239" i="23"/>
  <c r="H240" i="23"/>
  <c r="H242" i="23"/>
  <c r="H243" i="23"/>
  <c r="H244" i="23"/>
  <c r="H245" i="23"/>
  <c r="H246" i="23"/>
  <c r="H247" i="23"/>
  <c r="H248" i="23"/>
  <c r="H249" i="23"/>
  <c r="H250" i="23"/>
  <c r="H251" i="23"/>
  <c r="H252" i="23"/>
  <c r="H253" i="23"/>
  <c r="H254" i="23"/>
  <c r="H255" i="23"/>
  <c r="H256" i="23"/>
  <c r="H257" i="23"/>
  <c r="H258" i="23"/>
  <c r="H259" i="23"/>
  <c r="H260" i="23"/>
  <c r="H2" i="23"/>
  <c r="E3" i="23"/>
  <c r="E4" i="23"/>
  <c r="E5" i="23"/>
  <c r="E6" i="23"/>
  <c r="E8" i="23"/>
  <c r="E9" i="23"/>
  <c r="E10" i="23"/>
  <c r="E11" i="23"/>
  <c r="E12" i="23"/>
  <c r="E13" i="23"/>
  <c r="E14" i="23"/>
  <c r="E15" i="23"/>
  <c r="E16" i="23"/>
  <c r="E17" i="23"/>
  <c r="E18" i="23"/>
  <c r="E19" i="23"/>
  <c r="E20" i="23"/>
  <c r="E21" i="23"/>
  <c r="E22" i="23"/>
  <c r="E23" i="23"/>
  <c r="E24" i="23"/>
  <c r="E25" i="23"/>
  <c r="E26" i="23"/>
  <c r="E27" i="23"/>
  <c r="E28" i="23"/>
  <c r="E29" i="23"/>
  <c r="E30" i="23"/>
  <c r="E31" i="23"/>
  <c r="E32" i="23"/>
  <c r="E33" i="23"/>
  <c r="E34" i="23"/>
  <c r="E35" i="23"/>
  <c r="E36" i="23"/>
  <c r="E37" i="23"/>
  <c r="E38" i="23"/>
  <c r="E39" i="23"/>
  <c r="E40" i="23"/>
  <c r="E41" i="23"/>
  <c r="E42" i="23"/>
  <c r="E43" i="23"/>
  <c r="E44" i="23"/>
  <c r="E45" i="23"/>
  <c r="E46" i="23"/>
  <c r="E47" i="23"/>
  <c r="E48" i="23"/>
  <c r="E49" i="23"/>
  <c r="E50" i="23"/>
  <c r="E51" i="23"/>
  <c r="E52" i="23"/>
  <c r="E53" i="23"/>
  <c r="E54" i="23"/>
  <c r="E55" i="23"/>
  <c r="E56" i="23"/>
  <c r="E57" i="23"/>
  <c r="E58" i="23"/>
  <c r="E59" i="23"/>
  <c r="E60" i="23"/>
  <c r="E61" i="23"/>
  <c r="E62" i="23"/>
  <c r="E63" i="23"/>
  <c r="E64" i="23"/>
  <c r="E65" i="23"/>
  <c r="E66" i="23"/>
  <c r="E67" i="23"/>
  <c r="E68" i="23"/>
  <c r="E69" i="23"/>
  <c r="E70" i="23"/>
  <c r="E71" i="23"/>
  <c r="E72" i="23"/>
  <c r="E73" i="23"/>
  <c r="E74" i="23"/>
  <c r="E75" i="23"/>
  <c r="E76" i="23"/>
  <c r="E77" i="23"/>
  <c r="E78" i="23"/>
  <c r="E79" i="23"/>
  <c r="E80" i="23"/>
  <c r="E81" i="23"/>
  <c r="E82" i="23"/>
  <c r="E83" i="23"/>
  <c r="E84" i="23"/>
  <c r="E85" i="23"/>
  <c r="E86" i="23"/>
  <c r="E87" i="23"/>
  <c r="E88" i="23"/>
  <c r="E89" i="23"/>
  <c r="E90" i="23"/>
  <c r="E91" i="23"/>
  <c r="G91" i="23" s="1"/>
  <c r="E92" i="23"/>
  <c r="E93" i="23"/>
  <c r="E94" i="23"/>
  <c r="E95" i="23"/>
  <c r="E96" i="23"/>
  <c r="E97" i="23"/>
  <c r="E98" i="23"/>
  <c r="E99" i="23"/>
  <c r="E100" i="23"/>
  <c r="E101" i="23"/>
  <c r="E102" i="23"/>
  <c r="E103" i="23"/>
  <c r="E104" i="23"/>
  <c r="E105" i="23"/>
  <c r="E106" i="23"/>
  <c r="E107" i="23"/>
  <c r="E108" i="23"/>
  <c r="E109" i="23"/>
  <c r="E110" i="23"/>
  <c r="E111" i="23"/>
  <c r="E112" i="23"/>
  <c r="E113" i="23"/>
  <c r="E114" i="23"/>
  <c r="E115" i="23"/>
  <c r="E116" i="23"/>
  <c r="E117" i="23"/>
  <c r="E118" i="23"/>
  <c r="E119" i="23"/>
  <c r="E120" i="23"/>
  <c r="E121" i="23"/>
  <c r="E122" i="23"/>
  <c r="E123" i="23"/>
  <c r="E124" i="23"/>
  <c r="E125" i="23"/>
  <c r="E126" i="23"/>
  <c r="E127" i="23"/>
  <c r="E128" i="23"/>
  <c r="E129" i="23"/>
  <c r="E130" i="23"/>
  <c r="E131" i="23"/>
  <c r="E132" i="23"/>
  <c r="E133" i="23"/>
  <c r="E134" i="23"/>
  <c r="E135" i="23"/>
  <c r="E136" i="23"/>
  <c r="E137" i="23"/>
  <c r="E138" i="23"/>
  <c r="E139" i="23"/>
  <c r="E140" i="23"/>
  <c r="E141" i="23"/>
  <c r="E142" i="23"/>
  <c r="E143" i="23"/>
  <c r="E144" i="23"/>
  <c r="E145" i="23"/>
  <c r="E146" i="23"/>
  <c r="E147" i="23"/>
  <c r="E148" i="23"/>
  <c r="E149" i="23"/>
  <c r="E150" i="23"/>
  <c r="E151" i="23"/>
  <c r="E152" i="23"/>
  <c r="E153" i="23"/>
  <c r="E154" i="23"/>
  <c r="E155" i="23"/>
  <c r="E156" i="23"/>
  <c r="E157" i="23"/>
  <c r="E158" i="23"/>
  <c r="E159" i="23"/>
  <c r="E160" i="23"/>
  <c r="E161" i="23"/>
  <c r="E162" i="23"/>
  <c r="E163" i="23"/>
  <c r="G163" i="23" s="1"/>
  <c r="E164" i="23"/>
  <c r="E165" i="23"/>
  <c r="E166" i="23"/>
  <c r="E167" i="23"/>
  <c r="E168" i="23"/>
  <c r="E169" i="23"/>
  <c r="E170" i="23"/>
  <c r="E171" i="23"/>
  <c r="E172" i="23"/>
  <c r="E173" i="23"/>
  <c r="E174" i="23"/>
  <c r="E175" i="23"/>
  <c r="E176" i="23"/>
  <c r="E177" i="23"/>
  <c r="E178" i="23"/>
  <c r="E179" i="23"/>
  <c r="E180" i="23"/>
  <c r="E181" i="23"/>
  <c r="E182" i="23"/>
  <c r="E183" i="23"/>
  <c r="E184" i="23"/>
  <c r="E185" i="23"/>
  <c r="E186" i="23"/>
  <c r="E187" i="23"/>
  <c r="E188" i="23"/>
  <c r="E189" i="23"/>
  <c r="E190" i="23"/>
  <c r="E191" i="23"/>
  <c r="E192" i="23"/>
  <c r="E193" i="23"/>
  <c r="E194" i="23"/>
  <c r="E195" i="23"/>
  <c r="E196" i="23"/>
  <c r="E197" i="23"/>
  <c r="E198" i="23"/>
  <c r="E199" i="23"/>
  <c r="E200" i="23"/>
  <c r="E201" i="23"/>
  <c r="E202" i="23"/>
  <c r="E203" i="23"/>
  <c r="E204" i="23"/>
  <c r="E205" i="23"/>
  <c r="E206" i="23"/>
  <c r="E207" i="23"/>
  <c r="E208" i="23"/>
  <c r="E209" i="23"/>
  <c r="E210" i="23"/>
  <c r="E211" i="23"/>
  <c r="E212" i="23"/>
  <c r="E213" i="23"/>
  <c r="E214" i="23"/>
  <c r="E215" i="23"/>
  <c r="E216" i="23"/>
  <c r="E217" i="23"/>
  <c r="E218" i="23"/>
  <c r="E219" i="23"/>
  <c r="E220" i="23"/>
  <c r="E221" i="23"/>
  <c r="E222" i="23"/>
  <c r="E223" i="23"/>
  <c r="E224" i="23"/>
  <c r="E225" i="23"/>
  <c r="E226" i="23"/>
  <c r="G226" i="23" s="1"/>
  <c r="E227" i="23"/>
  <c r="G227" i="23" s="1"/>
  <c r="E228" i="23"/>
  <c r="G228" i="23" s="1"/>
  <c r="E229" i="23"/>
  <c r="E230" i="23"/>
  <c r="E231" i="23"/>
  <c r="E232" i="23"/>
  <c r="E233" i="23"/>
  <c r="E234" i="23"/>
  <c r="E235" i="23"/>
  <c r="E236" i="23"/>
  <c r="E237" i="23"/>
  <c r="E238" i="23"/>
  <c r="E239" i="23"/>
  <c r="E240" i="23"/>
  <c r="E242" i="23"/>
  <c r="E243" i="23"/>
  <c r="E244" i="23"/>
  <c r="E245" i="23"/>
  <c r="E246" i="23"/>
  <c r="E247" i="23"/>
  <c r="E248" i="23"/>
  <c r="E249" i="23"/>
  <c r="E250" i="23"/>
  <c r="E251" i="23"/>
  <c r="E252" i="23"/>
  <c r="E253" i="23"/>
  <c r="E254" i="23"/>
  <c r="E255" i="23"/>
  <c r="E256" i="23"/>
  <c r="E257" i="23"/>
  <c r="E258" i="23"/>
  <c r="E259" i="23"/>
  <c r="E260" i="23"/>
  <c r="CR14" i="22" l="1"/>
  <c r="CR5" i="22"/>
  <c r="AD220" i="17" l="1"/>
  <c r="P212" i="17"/>
  <c r="O212" i="17"/>
  <c r="N212" i="17"/>
  <c r="R212" i="17" l="1"/>
  <c r="BT270" i="13"/>
  <c r="BS269" i="13"/>
  <c r="S212" i="17" l="1"/>
  <c r="T212" i="17" s="1"/>
  <c r="AP212" i="17"/>
  <c r="AO212" i="17"/>
  <c r="M58" i="17"/>
  <c r="N58" i="17"/>
  <c r="O58" i="17"/>
  <c r="P58" i="17"/>
  <c r="Y18" i="13"/>
  <c r="Z18" i="13"/>
  <c r="B18" i="20" s="1"/>
  <c r="AE18" i="13"/>
  <c r="AF18" i="13"/>
  <c r="AH18" i="13"/>
  <c r="Y17" i="13"/>
  <c r="Z17" i="13"/>
  <c r="B17" i="20" s="1"/>
  <c r="S18" i="13"/>
  <c r="U18" i="13" s="1"/>
  <c r="B18" i="13"/>
  <c r="Y241" i="13"/>
  <c r="Z241" i="13"/>
  <c r="B241" i="20" s="1"/>
  <c r="S241" i="13"/>
  <c r="T241" i="13" s="1"/>
  <c r="B241" i="13"/>
  <c r="AE15" i="13"/>
  <c r="AF15" i="13"/>
  <c r="Z15" i="13"/>
  <c r="B15" i="20" s="1"/>
  <c r="Y15" i="13"/>
  <c r="S15" i="13"/>
  <c r="T15" i="13" s="1"/>
  <c r="AA15" i="13" s="1"/>
  <c r="B15" i="13"/>
  <c r="AB229" i="17"/>
  <c r="Q250" i="17"/>
  <c r="Q251" i="17"/>
  <c r="Q252" i="17"/>
  <c r="Q253" i="17"/>
  <c r="Q254" i="17"/>
  <c r="Q255" i="17"/>
  <c r="Q257" i="17"/>
  <c r="Q258" i="17"/>
  <c r="Q259" i="17"/>
  <c r="Q260" i="17"/>
  <c r="Q261" i="17"/>
  <c r="N249" i="17"/>
  <c r="O249" i="17"/>
  <c r="P249" i="17"/>
  <c r="L249" i="17"/>
  <c r="Q249" i="17" s="1"/>
  <c r="P246" i="17"/>
  <c r="P245" i="17"/>
  <c r="P244" i="17"/>
  <c r="P243" i="17"/>
  <c r="P242" i="17"/>
  <c r="O241" i="17"/>
  <c r="Q239" i="17"/>
  <c r="D256" i="13"/>
  <c r="P248" i="17"/>
  <c r="B256" i="13"/>
  <c r="B186" i="13"/>
  <c r="D9" i="13"/>
  <c r="B9" i="13" s="1"/>
  <c r="D17" i="13"/>
  <c r="B17" i="13" s="1"/>
  <c r="D20" i="13"/>
  <c r="B20" i="13" s="1"/>
  <c r="D66" i="13"/>
  <c r="B66" i="13" s="1"/>
  <c r="D77" i="13"/>
  <c r="B77" i="13" s="1"/>
  <c r="D86" i="13"/>
  <c r="B86" i="13" s="1"/>
  <c r="D121" i="13"/>
  <c r="B121" i="13" s="1"/>
  <c r="D137" i="13"/>
  <c r="B137" i="13" s="1"/>
  <c r="D141" i="13"/>
  <c r="B141" i="13" s="1"/>
  <c r="D183" i="13"/>
  <c r="B183" i="13" s="1"/>
  <c r="D184" i="13"/>
  <c r="D187" i="13"/>
  <c r="D211" i="13"/>
  <c r="B211" i="13" s="1"/>
  <c r="D224" i="13"/>
  <c r="B224" i="13" s="1"/>
  <c r="D228" i="13"/>
  <c r="B228" i="13" s="1"/>
  <c r="D229" i="13"/>
  <c r="B229" i="13" s="1"/>
  <c r="D238" i="13"/>
  <c r="B238" i="13" s="1"/>
  <c r="D255" i="13"/>
  <c r="G149" i="18"/>
  <c r="D210" i="13"/>
  <c r="B210" i="13" s="1"/>
  <c r="D212" i="13"/>
  <c r="B212" i="13" s="1"/>
  <c r="D92" i="13"/>
  <c r="B92" i="13" s="1"/>
  <c r="D94" i="13"/>
  <c r="B94" i="13" s="1"/>
  <c r="D95" i="13"/>
  <c r="B95" i="13" s="1"/>
  <c r="D91" i="13"/>
  <c r="B91" i="13" s="1"/>
  <c r="D226" i="13"/>
  <c r="B226" i="13" s="1"/>
  <c r="D227" i="13"/>
  <c r="B227" i="13" s="1"/>
  <c r="D85" i="13"/>
  <c r="B85" i="13" s="1"/>
  <c r="D79" i="13"/>
  <c r="B79" i="13" s="1"/>
  <c r="D80" i="13"/>
  <c r="B80" i="13" s="1"/>
  <c r="D81" i="13"/>
  <c r="B81" i="13" s="1"/>
  <c r="D84" i="13"/>
  <c r="B84" i="13" s="1"/>
  <c r="D82" i="13"/>
  <c r="B82" i="13" s="1"/>
  <c r="D83" i="13"/>
  <c r="B83" i="13" s="1"/>
  <c r="D72" i="13"/>
  <c r="B72" i="13" s="1"/>
  <c r="D219" i="13"/>
  <c r="B219" i="13" s="1"/>
  <c r="D220" i="13"/>
  <c r="B220" i="13" s="1"/>
  <c r="D221" i="13"/>
  <c r="B221" i="13" s="1"/>
  <c r="D223" i="13"/>
  <c r="B223" i="13" s="1"/>
  <c r="D143" i="13"/>
  <c r="B143" i="13" s="1"/>
  <c r="D142" i="13"/>
  <c r="B142" i="13" s="1"/>
  <c r="D140" i="13"/>
  <c r="B140" i="13" s="1"/>
  <c r="D123" i="13"/>
  <c r="B123" i="13" s="1"/>
  <c r="D114" i="13"/>
  <c r="B114" i="13" s="1"/>
  <c r="D207" i="13"/>
  <c r="B207" i="13" s="1"/>
  <c r="D208" i="13"/>
  <c r="B208" i="13" s="1"/>
  <c r="D209" i="13"/>
  <c r="B209" i="13" s="1"/>
  <c r="D232" i="13"/>
  <c r="B232" i="13" s="1"/>
  <c r="D113" i="13"/>
  <c r="B113" i="13" s="1"/>
  <c r="D70" i="13"/>
  <c r="B70" i="13" s="1"/>
  <c r="D67" i="13"/>
  <c r="B67" i="13" s="1"/>
  <c r="D96" i="13"/>
  <c r="B96" i="13" s="1"/>
  <c r="D230" i="13"/>
  <c r="B230" i="13" s="1"/>
  <c r="D65" i="13"/>
  <c r="B65" i="13" s="1"/>
  <c r="D78" i="13"/>
  <c r="B78" i="13" s="1"/>
  <c r="D217" i="13"/>
  <c r="B217" i="13" s="1"/>
  <c r="D216" i="13"/>
  <c r="B216" i="13" s="1"/>
  <c r="D215" i="13"/>
  <c r="B215" i="13" s="1"/>
  <c r="D214" i="13"/>
  <c r="B214" i="13" s="1"/>
  <c r="D90" i="13"/>
  <c r="B90" i="13" s="1"/>
  <c r="D107" i="13"/>
  <c r="B107" i="13" s="1"/>
  <c r="D108" i="13"/>
  <c r="B108" i="13" s="1"/>
  <c r="D109" i="13"/>
  <c r="B109" i="13" s="1"/>
  <c r="D111" i="13"/>
  <c r="B111" i="13" s="1"/>
  <c r="D87" i="13"/>
  <c r="B87" i="13" s="1"/>
  <c r="D225" i="13"/>
  <c r="B225" i="13" s="1"/>
  <c r="D74" i="13"/>
  <c r="B74" i="13" s="1"/>
  <c r="D73" i="13"/>
  <c r="B73" i="13" s="1"/>
  <c r="D76" i="13"/>
  <c r="B76" i="13" s="1"/>
  <c r="D75" i="13"/>
  <c r="B75" i="13" s="1"/>
  <c r="D69" i="13"/>
  <c r="B69" i="13" s="1"/>
  <c r="D126" i="13"/>
  <c r="B126" i="13" s="1"/>
  <c r="D128" i="13"/>
  <c r="B128" i="13" s="1"/>
  <c r="D138" i="13"/>
  <c r="B138" i="13" s="1"/>
  <c r="D139" i="13"/>
  <c r="B139" i="13" s="1"/>
  <c r="D134" i="13"/>
  <c r="B134" i="13" s="1"/>
  <c r="D136" i="13"/>
  <c r="B136" i="13" s="1"/>
  <c r="D235" i="13"/>
  <c r="B235" i="13" s="1"/>
  <c r="D71" i="13"/>
  <c r="B71" i="13" s="1"/>
  <c r="D218" i="13"/>
  <c r="B218" i="13" s="1"/>
  <c r="D158" i="13"/>
  <c r="B158" i="13" s="1"/>
  <c r="D30" i="13"/>
  <c r="B30" i="13" s="1"/>
  <c r="D197" i="13"/>
  <c r="B197" i="13" s="1"/>
  <c r="D164" i="13"/>
  <c r="B164" i="13" s="1"/>
  <c r="D38" i="13"/>
  <c r="B38" i="13" s="1"/>
  <c r="D163" i="13"/>
  <c r="B163" i="13" s="1"/>
  <c r="D165" i="13"/>
  <c r="B165" i="13" s="1"/>
  <c r="D166" i="13"/>
  <c r="B166" i="13" s="1"/>
  <c r="D167" i="13"/>
  <c r="B167" i="13" s="1"/>
  <c r="D162" i="13"/>
  <c r="B162" i="13" s="1"/>
  <c r="D161" i="13"/>
  <c r="B161" i="13" s="1"/>
  <c r="D160" i="13"/>
  <c r="B160" i="13" s="1"/>
  <c r="D242" i="13"/>
  <c r="B242" i="13" s="1"/>
  <c r="D159" i="13"/>
  <c r="B159" i="13" s="1"/>
  <c r="D248" i="13"/>
  <c r="B248" i="13" s="1"/>
  <c r="D247" i="13"/>
  <c r="B247" i="13" s="1"/>
  <c r="D246" i="13"/>
  <c r="B246" i="13" s="1"/>
  <c r="D245" i="13"/>
  <c r="B245" i="13" s="1"/>
  <c r="D244" i="13"/>
  <c r="B244" i="13" s="1"/>
  <c r="D176" i="13"/>
  <c r="B176" i="13" s="1"/>
  <c r="D177" i="13"/>
  <c r="B177" i="13" s="1"/>
  <c r="D26" i="13"/>
  <c r="B26" i="13" s="1"/>
  <c r="D182" i="13"/>
  <c r="B182" i="13" s="1"/>
  <c r="D181" i="13"/>
  <c r="B181" i="13" s="1"/>
  <c r="D180" i="13"/>
  <c r="B180" i="13" s="1"/>
  <c r="D193" i="13"/>
  <c r="B193" i="13" s="1"/>
  <c r="D192" i="13"/>
  <c r="B192" i="13" s="1"/>
  <c r="D190" i="13"/>
  <c r="B190" i="13" s="1"/>
  <c r="D258" i="13"/>
  <c r="B258" i="13" s="1"/>
  <c r="D189" i="13"/>
  <c r="B189" i="13" s="1"/>
  <c r="D257" i="13"/>
  <c r="B257" i="13" s="1"/>
  <c r="D188" i="13"/>
  <c r="B188" i="13" s="1"/>
  <c r="D22" i="13"/>
  <c r="B22" i="13" s="1"/>
  <c r="D23" i="13"/>
  <c r="B23" i="13" s="1"/>
  <c r="D24" i="13"/>
  <c r="B24" i="13" s="1"/>
  <c r="D195" i="13"/>
  <c r="B195" i="13" s="1"/>
  <c r="D194" i="13"/>
  <c r="B194" i="13" s="1"/>
  <c r="D8" i="13"/>
  <c r="B8" i="13" s="1"/>
  <c r="D36" i="13"/>
  <c r="B36" i="13" s="1"/>
  <c r="D156" i="13"/>
  <c r="B156" i="13" s="1"/>
  <c r="D185" i="13"/>
  <c r="B185" i="13" s="1"/>
  <c r="D260" i="13"/>
  <c r="B260" i="13" s="1"/>
  <c r="D64" i="13"/>
  <c r="B64" i="13" s="1"/>
  <c r="D206" i="13"/>
  <c r="B206" i="13" s="1"/>
  <c r="D205" i="13"/>
  <c r="B205" i="13" s="1"/>
  <c r="D204" i="13"/>
  <c r="B204" i="13" s="1"/>
  <c r="D63" i="13"/>
  <c r="B63" i="13" s="1"/>
  <c r="D254" i="13"/>
  <c r="B254" i="13" s="1"/>
  <c r="D253" i="13"/>
  <c r="B253" i="13" s="1"/>
  <c r="D50" i="13"/>
  <c r="B50" i="13" s="1"/>
  <c r="D252" i="13"/>
  <c r="B252" i="13" s="1"/>
  <c r="D251" i="13"/>
  <c r="B251" i="13" s="1"/>
  <c r="D250" i="13"/>
  <c r="B250" i="13" s="1"/>
  <c r="D249" i="13"/>
  <c r="B249" i="13" s="1"/>
  <c r="D172" i="13"/>
  <c r="B172" i="13" s="1"/>
  <c r="D179" i="13"/>
  <c r="B179" i="13" s="1"/>
  <c r="D178" i="13"/>
  <c r="B178" i="13" s="1"/>
  <c r="D32" i="13"/>
  <c r="B32" i="13" s="1"/>
  <c r="D58" i="13"/>
  <c r="B58" i="13" s="1"/>
  <c r="D61" i="13"/>
  <c r="B61" i="13" s="1"/>
  <c r="D60" i="13"/>
  <c r="B60" i="13" s="1"/>
  <c r="D34" i="13"/>
  <c r="B34" i="13" s="1"/>
  <c r="D35" i="13"/>
  <c r="B35" i="13" s="1"/>
  <c r="D157" i="13"/>
  <c r="B157" i="13" s="1"/>
  <c r="D174" i="13"/>
  <c r="B174" i="13" s="1"/>
  <c r="D173" i="13"/>
  <c r="B173" i="13" s="1"/>
  <c r="D243" i="13"/>
  <c r="B243" i="13" s="1"/>
  <c r="D213" i="13"/>
  <c r="B213" i="13" s="1"/>
  <c r="D93" i="13"/>
  <c r="B93" i="13" s="1"/>
  <c r="D54" i="13"/>
  <c r="B54" i="13" s="1"/>
  <c r="D89" i="13"/>
  <c r="B89" i="13" s="1"/>
  <c r="D110" i="13"/>
  <c r="B110" i="13" s="1"/>
  <c r="D112" i="13"/>
  <c r="B112" i="13" s="1"/>
  <c r="D122" i="13"/>
  <c r="B122" i="13" s="1"/>
  <c r="D125" i="13"/>
  <c r="B125" i="13" s="1"/>
  <c r="D127" i="13"/>
  <c r="B127" i="13" s="1"/>
  <c r="D135" i="13"/>
  <c r="B135" i="13" s="1"/>
  <c r="D29" i="13"/>
  <c r="B29" i="13" s="1"/>
  <c r="D62" i="13"/>
  <c r="B62" i="13" s="1"/>
  <c r="D33" i="13"/>
  <c r="B33" i="13" s="1"/>
  <c r="D88" i="13"/>
  <c r="B88" i="13" s="1"/>
  <c r="D118" i="13"/>
  <c r="B118" i="13" s="1"/>
  <c r="D119" i="13"/>
  <c r="B119" i="13" s="1"/>
  <c r="D120" i="13"/>
  <c r="B120" i="13" s="1"/>
  <c r="D233" i="13"/>
  <c r="B233" i="13" s="1"/>
  <c r="D200" i="13"/>
  <c r="B200" i="13" s="1"/>
  <c r="D150" i="13"/>
  <c r="B150" i="13" s="1"/>
  <c r="D144" i="13"/>
  <c r="B144" i="13" s="1"/>
  <c r="D145" i="13"/>
  <c r="B145" i="13" s="1"/>
  <c r="D237" i="13"/>
  <c r="B237" i="13" s="1"/>
  <c r="D236" i="13"/>
  <c r="B236" i="13" s="1"/>
  <c r="D131" i="13"/>
  <c r="B131" i="13" s="1"/>
  <c r="D132" i="13"/>
  <c r="B132" i="13" s="1"/>
  <c r="D133" i="13"/>
  <c r="B133" i="13" s="1"/>
  <c r="D105" i="13"/>
  <c r="B105" i="13" s="1"/>
  <c r="D201" i="13"/>
  <c r="B201" i="13" s="1"/>
  <c r="D45" i="13"/>
  <c r="B45" i="13" s="1"/>
  <c r="D43" i="13"/>
  <c r="B43" i="13" s="1"/>
  <c r="D42" i="13"/>
  <c r="B42" i="13" s="1"/>
  <c r="D199" i="13"/>
  <c r="B199" i="13" s="1"/>
  <c r="D198" i="13"/>
  <c r="B198" i="13" s="1"/>
  <c r="D46" i="13"/>
  <c r="B46" i="13" s="1"/>
  <c r="D47" i="13"/>
  <c r="B47" i="13" s="1"/>
  <c r="D48" i="13"/>
  <c r="B48" i="13" s="1"/>
  <c r="D49" i="13"/>
  <c r="B49" i="13" s="1"/>
  <c r="B49" i="16" s="1"/>
  <c r="D202" i="13"/>
  <c r="B202" i="13" s="1"/>
  <c r="D55" i="13"/>
  <c r="B55" i="13" s="1"/>
  <c r="D56" i="13"/>
  <c r="B56" i="13" s="1"/>
  <c r="B56" i="16" s="1"/>
  <c r="D57" i="13"/>
  <c r="B57" i="13" s="1"/>
  <c r="D203" i="13"/>
  <c r="B203" i="13" s="1"/>
  <c r="D124" i="13"/>
  <c r="B124" i="13" s="1"/>
  <c r="D196" i="13"/>
  <c r="B196" i="13" s="1"/>
  <c r="D234" i="13"/>
  <c r="B234" i="13" s="1"/>
  <c r="D106" i="13"/>
  <c r="B106" i="13" s="1"/>
  <c r="D51" i="13"/>
  <c r="B51" i="13" s="1"/>
  <c r="D37" i="13"/>
  <c r="B37" i="13" s="1"/>
  <c r="D31" i="13"/>
  <c r="B31" i="13" s="1"/>
  <c r="D155" i="13"/>
  <c r="B155" i="13" s="1"/>
  <c r="D40" i="13"/>
  <c r="B40" i="13" s="1"/>
  <c r="D4" i="13"/>
  <c r="B4" i="13" s="1"/>
  <c r="D3" i="13"/>
  <c r="B3" i="13" s="1"/>
  <c r="D2" i="13"/>
  <c r="B2" i="13" s="1"/>
  <c r="D5" i="13"/>
  <c r="B5" i="13" s="1"/>
  <c r="D6" i="13"/>
  <c r="B6" i="13" s="1"/>
  <c r="D7" i="13"/>
  <c r="B7" i="13" s="1"/>
  <c r="D191" i="13"/>
  <c r="B191" i="13" s="1"/>
  <c r="D10" i="13"/>
  <c r="B10" i="13" s="1"/>
  <c r="D25" i="13"/>
  <c r="B25" i="13" s="1"/>
  <c r="D170" i="13"/>
  <c r="B170" i="13" s="1"/>
  <c r="D13" i="13"/>
  <c r="B13" i="13" s="1"/>
  <c r="D14" i="13"/>
  <c r="B14" i="13" s="1"/>
  <c r="D16" i="13"/>
  <c r="B16" i="13" s="1"/>
  <c r="D171" i="13"/>
  <c r="B171" i="13" s="1"/>
  <c r="D19" i="13"/>
  <c r="B19" i="13" s="1"/>
  <c r="D59" i="13"/>
  <c r="B59" i="13" s="1"/>
  <c r="D68" i="13"/>
  <c r="B68" i="13" s="1"/>
  <c r="D116" i="13"/>
  <c r="B116" i="13" s="1"/>
  <c r="D115" i="13"/>
  <c r="B115" i="13" s="1"/>
  <c r="D259" i="13"/>
  <c r="B259" i="13" s="1"/>
  <c r="D39" i="13"/>
  <c r="B39" i="13" s="1"/>
  <c r="D27" i="13"/>
  <c r="B27" i="13" s="1"/>
  <c r="D168" i="13"/>
  <c r="B168" i="13" s="1"/>
  <c r="D169" i="13"/>
  <c r="B169" i="13" s="1"/>
  <c r="D11" i="13"/>
  <c r="B11" i="13" s="1"/>
  <c r="D52" i="13"/>
  <c r="B52" i="13" s="1"/>
  <c r="D53" i="13"/>
  <c r="B53" i="13" s="1"/>
  <c r="D41" i="13"/>
  <c r="B41" i="13" s="1"/>
  <c r="D154" i="13"/>
  <c r="B154" i="13" s="1"/>
  <c r="D148" i="13"/>
  <c r="B148" i="13" s="1"/>
  <c r="D152" i="13"/>
  <c r="B152" i="13" s="1"/>
  <c r="D149" i="13"/>
  <c r="B149" i="13" s="1"/>
  <c r="D44" i="13"/>
  <c r="B44" i="13" s="1"/>
  <c r="D153" i="13"/>
  <c r="B153" i="13" s="1"/>
  <c r="D28" i="13"/>
  <c r="B28" i="13" s="1"/>
  <c r="D103" i="13"/>
  <c r="B103" i="13" s="1"/>
  <c r="D104" i="13"/>
  <c r="B104" i="13" s="1"/>
  <c r="D100" i="13"/>
  <c r="B100" i="13" s="1"/>
  <c r="D231" i="13"/>
  <c r="B231" i="13" s="1"/>
  <c r="D117" i="13"/>
  <c r="B117" i="13" s="1"/>
  <c r="D151" i="13"/>
  <c r="B151" i="13" s="1"/>
  <c r="D99" i="13"/>
  <c r="B99" i="13" s="1"/>
  <c r="D101" i="13"/>
  <c r="B101" i="13" s="1"/>
  <c r="D146" i="13"/>
  <c r="B146" i="13" s="1"/>
  <c r="D147" i="13"/>
  <c r="B147" i="13" s="1"/>
  <c r="D102" i="13"/>
  <c r="B102" i="13" s="1"/>
  <c r="D98" i="13"/>
  <c r="B98" i="13" s="1"/>
  <c r="B98" i="16" s="1"/>
  <c r="D97" i="13"/>
  <c r="B97" i="13" s="1"/>
  <c r="BD241" i="13" l="1"/>
  <c r="AP241" i="13"/>
  <c r="I241" i="23" s="1"/>
  <c r="BC241" i="13"/>
  <c r="B241" i="16"/>
  <c r="BC186" i="13"/>
  <c r="BD186" i="13"/>
  <c r="B186" i="16"/>
  <c r="AP186" i="13"/>
  <c r="I186" i="23" s="1"/>
  <c r="BC256" i="13"/>
  <c r="BD256" i="13"/>
  <c r="AP256" i="13"/>
  <c r="I256" i="23" s="1"/>
  <c r="B256" i="16"/>
  <c r="AP18" i="13"/>
  <c r="I18" i="23" s="1"/>
  <c r="BC18" i="13"/>
  <c r="BD18" i="13"/>
  <c r="B18" i="16"/>
  <c r="AP15" i="13"/>
  <c r="I15" i="23" s="1"/>
  <c r="BD15" i="13"/>
  <c r="BC15" i="13"/>
  <c r="B15" i="16"/>
  <c r="B28" i="16"/>
  <c r="BD28" i="13"/>
  <c r="Y28" i="16" s="1"/>
  <c r="AP28" i="13"/>
  <c r="I28" i="23" s="1"/>
  <c r="BC28" i="13"/>
  <c r="B168" i="16"/>
  <c r="BC168" i="13"/>
  <c r="BD168" i="13"/>
  <c r="AP168" i="13"/>
  <c r="I168" i="23" s="1"/>
  <c r="B13" i="16"/>
  <c r="AP13" i="13"/>
  <c r="I13" i="23" s="1"/>
  <c r="BC13" i="13"/>
  <c r="BD13" i="13"/>
  <c r="Y13" i="16" s="1"/>
  <c r="B155" i="16"/>
  <c r="BD155" i="13"/>
  <c r="Y155" i="16" s="1"/>
  <c r="AP155" i="13"/>
  <c r="I155" i="23" s="1"/>
  <c r="BC155" i="13"/>
  <c r="X155" i="16" s="1"/>
  <c r="B202" i="16"/>
  <c r="AP202" i="13"/>
  <c r="I202" i="23" s="1"/>
  <c r="BC202" i="13"/>
  <c r="BD202" i="13"/>
  <c r="B133" i="16"/>
  <c r="BD133" i="13"/>
  <c r="Y133" i="16" s="1"/>
  <c r="AP133" i="13"/>
  <c r="I133" i="23" s="1"/>
  <c r="BC133" i="13"/>
  <c r="B118" i="16"/>
  <c r="BC118" i="13"/>
  <c r="BD118" i="13"/>
  <c r="AP118" i="13"/>
  <c r="I118" i="23" s="1"/>
  <c r="B54" i="16"/>
  <c r="AP54" i="13"/>
  <c r="I54" i="23" s="1"/>
  <c r="BC54" i="13"/>
  <c r="BD54" i="13"/>
  <c r="B32" i="16"/>
  <c r="BC32" i="13"/>
  <c r="X32" i="16" s="1"/>
  <c r="BD32" i="13"/>
  <c r="AP32" i="13"/>
  <c r="B204" i="16"/>
  <c r="AP204" i="13"/>
  <c r="I204" i="23" s="1"/>
  <c r="BC204" i="13"/>
  <c r="X204" i="16" s="1"/>
  <c r="BD204" i="13"/>
  <c r="Y204" i="16" s="1"/>
  <c r="B23" i="16"/>
  <c r="BC23" i="13"/>
  <c r="AP23" i="13"/>
  <c r="I23" i="23" s="1"/>
  <c r="BD23" i="13"/>
  <c r="B26" i="16"/>
  <c r="AP26" i="13"/>
  <c r="I26" i="23" s="1"/>
  <c r="BC26" i="13"/>
  <c r="BD26" i="13"/>
  <c r="Y26" i="16" s="1"/>
  <c r="B162" i="16"/>
  <c r="BC162" i="13"/>
  <c r="BD162" i="13"/>
  <c r="Y162" i="16" s="1"/>
  <c r="AP162" i="13"/>
  <c r="I162" i="23" s="1"/>
  <c r="B235" i="16"/>
  <c r="BC235" i="13"/>
  <c r="BD235" i="13"/>
  <c r="AP235" i="13"/>
  <c r="I235" i="23" s="1"/>
  <c r="B225" i="16"/>
  <c r="AP225" i="13"/>
  <c r="I225" i="23" s="1"/>
  <c r="BC225" i="13"/>
  <c r="BD225" i="13"/>
  <c r="Y225" i="16" s="1"/>
  <c r="B65" i="16"/>
  <c r="BC65" i="13"/>
  <c r="X65" i="16" s="1"/>
  <c r="AP65" i="13"/>
  <c r="I65" i="23" s="1"/>
  <c r="BD65" i="13"/>
  <c r="Y65" i="16" s="1"/>
  <c r="B140" i="16"/>
  <c r="BC140" i="13"/>
  <c r="BD140" i="13"/>
  <c r="AP140" i="13"/>
  <c r="I140" i="23" s="1"/>
  <c r="B80" i="16"/>
  <c r="AP80" i="13"/>
  <c r="I80" i="23" s="1"/>
  <c r="BC80" i="13"/>
  <c r="BD80" i="13"/>
  <c r="Y80" i="16" s="1"/>
  <c r="B86" i="16"/>
  <c r="BC86" i="13"/>
  <c r="BD86" i="13"/>
  <c r="Y86" i="16" s="1"/>
  <c r="B231" i="16"/>
  <c r="BC231" i="13"/>
  <c r="BD231" i="13"/>
  <c r="AP231" i="13"/>
  <c r="I231" i="23" s="1"/>
  <c r="B102" i="16"/>
  <c r="BD102" i="13"/>
  <c r="AP102" i="13"/>
  <c r="I102" i="23" s="1"/>
  <c r="BC102" i="13"/>
  <c r="B153" i="16"/>
  <c r="BC153" i="13"/>
  <c r="BD153" i="13"/>
  <c r="Y153" i="16" s="1"/>
  <c r="AP153" i="13"/>
  <c r="I153" i="23" s="1"/>
  <c r="B27" i="16"/>
  <c r="AP27" i="13"/>
  <c r="I27" i="23" s="1"/>
  <c r="BC27" i="13"/>
  <c r="BD27" i="13"/>
  <c r="B170" i="16"/>
  <c r="BC170" i="13"/>
  <c r="BD170" i="13"/>
  <c r="Y170" i="16" s="1"/>
  <c r="AP170" i="13"/>
  <c r="I170" i="23" s="1"/>
  <c r="B31" i="16"/>
  <c r="BC31" i="13"/>
  <c r="BD31" i="13"/>
  <c r="AP31" i="13"/>
  <c r="I31" i="23" s="1"/>
  <c r="B132" i="16"/>
  <c r="AP132" i="13"/>
  <c r="I132" i="23" s="1"/>
  <c r="BC132" i="13"/>
  <c r="BD132" i="13"/>
  <c r="B88" i="16"/>
  <c r="BD88" i="13"/>
  <c r="AP88" i="13"/>
  <c r="I88" i="23" s="1"/>
  <c r="BC88" i="13"/>
  <c r="B93" i="16"/>
  <c r="AP93" i="13"/>
  <c r="I93" i="23" s="1"/>
  <c r="BC93" i="13"/>
  <c r="BD93" i="13"/>
  <c r="Y93" i="16" s="1"/>
  <c r="B178" i="16"/>
  <c r="AP178" i="13"/>
  <c r="I178" i="23" s="1"/>
  <c r="BC178" i="13"/>
  <c r="BD178" i="13"/>
  <c r="B205" i="16"/>
  <c r="AP205" i="13"/>
  <c r="I205" i="23" s="1"/>
  <c r="BC205" i="13"/>
  <c r="X205" i="16" s="1"/>
  <c r="BD205" i="13"/>
  <c r="B22" i="16"/>
  <c r="BD22" i="13"/>
  <c r="AP22" i="13"/>
  <c r="I22" i="23" s="1"/>
  <c r="BC22" i="13"/>
  <c r="X22" i="16" s="1"/>
  <c r="B177" i="16"/>
  <c r="AP177" i="13"/>
  <c r="I177" i="23" s="1"/>
  <c r="BC177" i="13"/>
  <c r="BD177" i="13"/>
  <c r="B167" i="16"/>
  <c r="BD167" i="13"/>
  <c r="AP167" i="13"/>
  <c r="I167" i="23" s="1"/>
  <c r="BC167" i="13"/>
  <c r="B136" i="16"/>
  <c r="BC136" i="13"/>
  <c r="AP136" i="13"/>
  <c r="I136" i="23" s="1"/>
  <c r="BD136" i="13"/>
  <c r="Y136" i="16" s="1"/>
  <c r="B87" i="16"/>
  <c r="BC87" i="13"/>
  <c r="AP87" i="13"/>
  <c r="I87" i="23" s="1"/>
  <c r="BD87" i="13"/>
  <c r="B230" i="16"/>
  <c r="BD230" i="13"/>
  <c r="AP230" i="13"/>
  <c r="I230" i="23" s="1"/>
  <c r="BC230" i="13"/>
  <c r="B142" i="16"/>
  <c r="BC142" i="13"/>
  <c r="BD142" i="13"/>
  <c r="Y142" i="16" s="1"/>
  <c r="AP142" i="13"/>
  <c r="I142" i="23" s="1"/>
  <c r="B79" i="16"/>
  <c r="AP79" i="13"/>
  <c r="I79" i="23" s="1"/>
  <c r="BC79" i="13"/>
  <c r="BD79" i="13"/>
  <c r="B238" i="16"/>
  <c r="AP238" i="13"/>
  <c r="I238" i="23" s="1"/>
  <c r="BC238" i="13"/>
  <c r="BD238" i="13"/>
  <c r="B77" i="16"/>
  <c r="BC77" i="13"/>
  <c r="BD77" i="13"/>
  <c r="Y77" i="16" s="1"/>
  <c r="B147" i="16"/>
  <c r="BC147" i="13"/>
  <c r="BD147" i="13"/>
  <c r="AP147" i="13"/>
  <c r="I147" i="23" s="1"/>
  <c r="B44" i="16"/>
  <c r="AP44" i="13"/>
  <c r="I44" i="23" s="1"/>
  <c r="BD44" i="13"/>
  <c r="BC44" i="13"/>
  <c r="B39" i="16"/>
  <c r="AP39" i="13"/>
  <c r="BC39" i="13"/>
  <c r="BD39" i="13"/>
  <c r="Y39" i="16" s="1"/>
  <c r="B25" i="16"/>
  <c r="AP25" i="13"/>
  <c r="I25" i="23" s="1"/>
  <c r="BC25" i="13"/>
  <c r="BD25" i="13"/>
  <c r="B37" i="16"/>
  <c r="AP37" i="13"/>
  <c r="I37" i="23" s="1"/>
  <c r="BC37" i="13"/>
  <c r="BD37" i="13"/>
  <c r="Y37" i="16" s="1"/>
  <c r="B48" i="16"/>
  <c r="BC48" i="13"/>
  <c r="AP48" i="13"/>
  <c r="I48" i="23" s="1"/>
  <c r="BD48" i="13"/>
  <c r="Y48" i="16" s="1"/>
  <c r="B131" i="16"/>
  <c r="AP131" i="13"/>
  <c r="I131" i="23" s="1"/>
  <c r="BC131" i="13"/>
  <c r="BD131" i="13"/>
  <c r="B33" i="16"/>
  <c r="BC33" i="13"/>
  <c r="BD33" i="13"/>
  <c r="AP33" i="13"/>
  <c r="I33" i="23" s="1"/>
  <c r="B213" i="16"/>
  <c r="BC213" i="13"/>
  <c r="BD213" i="13"/>
  <c r="AP213" i="13"/>
  <c r="I213" i="23" s="1"/>
  <c r="B179" i="16"/>
  <c r="AP179" i="13"/>
  <c r="I179" i="23" s="1"/>
  <c r="BC179" i="13"/>
  <c r="BD179" i="13"/>
  <c r="B206" i="16"/>
  <c r="BD206" i="13"/>
  <c r="AP206" i="13"/>
  <c r="I206" i="23" s="1"/>
  <c r="BC206" i="13"/>
  <c r="X206" i="16" s="1"/>
  <c r="B188" i="16"/>
  <c r="BD188" i="13"/>
  <c r="Y188" i="16" s="1"/>
  <c r="AP188" i="13"/>
  <c r="I188" i="23" s="1"/>
  <c r="BC188" i="13"/>
  <c r="X188" i="16" s="1"/>
  <c r="B176" i="16"/>
  <c r="BC176" i="13"/>
  <c r="X176" i="16" s="1"/>
  <c r="AP176" i="13"/>
  <c r="I176" i="23" s="1"/>
  <c r="BD176" i="13"/>
  <c r="B166" i="16"/>
  <c r="AP166" i="13"/>
  <c r="I166" i="23" s="1"/>
  <c r="BC166" i="13"/>
  <c r="BD166" i="13"/>
  <c r="B134" i="16"/>
  <c r="BC134" i="13"/>
  <c r="BD134" i="13"/>
  <c r="AP134" i="13"/>
  <c r="I134" i="23" s="1"/>
  <c r="B111" i="16"/>
  <c r="BC111" i="13"/>
  <c r="X111" i="16" s="1"/>
  <c r="BD111" i="13"/>
  <c r="AP111" i="13"/>
  <c r="I111" i="23" s="1"/>
  <c r="B96" i="16"/>
  <c r="BC96" i="13"/>
  <c r="BD96" i="13"/>
  <c r="AP96" i="13"/>
  <c r="I96" i="23" s="1"/>
  <c r="B143" i="16"/>
  <c r="AP143" i="13"/>
  <c r="BC143" i="13"/>
  <c r="BD143" i="13"/>
  <c r="B85" i="16"/>
  <c r="BC85" i="13"/>
  <c r="X85" i="16" s="1"/>
  <c r="BD85" i="13"/>
  <c r="AP85" i="13"/>
  <c r="I85" i="23" s="1"/>
  <c r="B229" i="16"/>
  <c r="AP229" i="13"/>
  <c r="I229" i="23" s="1"/>
  <c r="BC229" i="13"/>
  <c r="BD229" i="13"/>
  <c r="Y229" i="16" s="1"/>
  <c r="B66" i="16"/>
  <c r="AP66" i="13"/>
  <c r="I66" i="23" s="1"/>
  <c r="BC66" i="13"/>
  <c r="BD66" i="13"/>
  <c r="Y66" i="16" s="1"/>
  <c r="B149" i="16"/>
  <c r="AP149" i="13"/>
  <c r="I149" i="23" s="1"/>
  <c r="BC149" i="13"/>
  <c r="BD149" i="13"/>
  <c r="B259" i="16"/>
  <c r="BC259" i="13"/>
  <c r="BD259" i="13"/>
  <c r="AP259" i="13"/>
  <c r="I259" i="23" s="1"/>
  <c r="B10" i="16"/>
  <c r="BD10" i="13"/>
  <c r="Y10" i="16" s="1"/>
  <c r="AP10" i="13"/>
  <c r="I10" i="23" s="1"/>
  <c r="BC10" i="13"/>
  <c r="X10" i="16" s="1"/>
  <c r="B51" i="16"/>
  <c r="AP51" i="13"/>
  <c r="I51" i="23" s="1"/>
  <c r="BC51" i="13"/>
  <c r="BD51" i="13"/>
  <c r="B47" i="16"/>
  <c r="BD47" i="13"/>
  <c r="AP47" i="13"/>
  <c r="I47" i="23" s="1"/>
  <c r="BC47" i="13"/>
  <c r="B236" i="16"/>
  <c r="BD236" i="13"/>
  <c r="Y236" i="16" s="1"/>
  <c r="BC236" i="13"/>
  <c r="AP236" i="13"/>
  <c r="I236" i="23" s="1"/>
  <c r="B62" i="16"/>
  <c r="BC62" i="13"/>
  <c r="X62" i="16" s="1"/>
  <c r="BD62" i="13"/>
  <c r="AP62" i="13"/>
  <c r="I62" i="23" s="1"/>
  <c r="B243" i="16"/>
  <c r="BC243" i="13"/>
  <c r="BD243" i="13"/>
  <c r="AP243" i="13"/>
  <c r="I243" i="23" s="1"/>
  <c r="B172" i="16"/>
  <c r="AP172" i="13"/>
  <c r="BC172" i="13"/>
  <c r="BD172" i="13"/>
  <c r="Y172" i="16" s="1"/>
  <c r="B64" i="16"/>
  <c r="BD64" i="13"/>
  <c r="Y64" i="16" s="1"/>
  <c r="AP64" i="13"/>
  <c r="I64" i="23" s="1"/>
  <c r="BC64" i="13"/>
  <c r="B257" i="16"/>
  <c r="BC257" i="13"/>
  <c r="BD257" i="13"/>
  <c r="AP257" i="13"/>
  <c r="I257" i="23" s="1"/>
  <c r="B244" i="16"/>
  <c r="BC244" i="13"/>
  <c r="BD244" i="13"/>
  <c r="AP244" i="13"/>
  <c r="I244" i="23" s="1"/>
  <c r="B165" i="16"/>
  <c r="AP165" i="13"/>
  <c r="I165" i="23" s="1"/>
  <c r="BC165" i="13"/>
  <c r="BD165" i="13"/>
  <c r="B139" i="16"/>
  <c r="BD139" i="13"/>
  <c r="Y139" i="16" s="1"/>
  <c r="AP139" i="13"/>
  <c r="I139" i="23" s="1"/>
  <c r="BC139" i="13"/>
  <c r="X139" i="16" s="1"/>
  <c r="B109" i="16"/>
  <c r="BD109" i="13"/>
  <c r="Y109" i="16" s="1"/>
  <c r="AP109" i="13"/>
  <c r="I109" i="23" s="1"/>
  <c r="BC109" i="13"/>
  <c r="B67" i="16"/>
  <c r="AP67" i="13"/>
  <c r="I67" i="23" s="1"/>
  <c r="BC67" i="13"/>
  <c r="BD67" i="13"/>
  <c r="B223" i="16"/>
  <c r="BC223" i="13"/>
  <c r="X223" i="16" s="1"/>
  <c r="BD223" i="13"/>
  <c r="AP223" i="13"/>
  <c r="I223" i="23" s="1"/>
  <c r="B227" i="16"/>
  <c r="AP227" i="13"/>
  <c r="BC227" i="13"/>
  <c r="BD227" i="13"/>
  <c r="B228" i="16"/>
  <c r="AP228" i="13"/>
  <c r="I228" i="23" s="1"/>
  <c r="BC228" i="13"/>
  <c r="BD228" i="13"/>
  <c r="B20" i="16"/>
  <c r="BC20" i="13"/>
  <c r="X20" i="16" s="1"/>
  <c r="BD20" i="13"/>
  <c r="AP20" i="13"/>
  <c r="I20" i="23" s="1"/>
  <c r="B115" i="16"/>
  <c r="BD115" i="13"/>
  <c r="Y115" i="16" s="1"/>
  <c r="AP115" i="13"/>
  <c r="I115" i="23" s="1"/>
  <c r="BC115" i="13"/>
  <c r="B191" i="16"/>
  <c r="AP191" i="13"/>
  <c r="I191" i="23" s="1"/>
  <c r="BC191" i="13"/>
  <c r="BD191" i="13"/>
  <c r="B106" i="16"/>
  <c r="BC106" i="13"/>
  <c r="BD106" i="13"/>
  <c r="AP106" i="13"/>
  <c r="I106" i="23" s="1"/>
  <c r="B46" i="16"/>
  <c r="BC46" i="13"/>
  <c r="BD46" i="13"/>
  <c r="AP46" i="13"/>
  <c r="I46" i="23" s="1"/>
  <c r="B237" i="16"/>
  <c r="AP237" i="13"/>
  <c r="I237" i="23" s="1"/>
  <c r="BC237" i="13"/>
  <c r="BD237" i="13"/>
  <c r="B29" i="16"/>
  <c r="BC29" i="13"/>
  <c r="BD29" i="13"/>
  <c r="AP29" i="13"/>
  <c r="I29" i="23" s="1"/>
  <c r="B173" i="16"/>
  <c r="BD173" i="13"/>
  <c r="Y173" i="16" s="1"/>
  <c r="AP173" i="13"/>
  <c r="I173" i="23" s="1"/>
  <c r="BC173" i="13"/>
  <c r="X173" i="16" s="1"/>
  <c r="B249" i="16"/>
  <c r="AP249" i="13"/>
  <c r="I249" i="23" s="1"/>
  <c r="BC249" i="13"/>
  <c r="BD249" i="13"/>
  <c r="B260" i="16"/>
  <c r="BC260" i="13"/>
  <c r="BD260" i="13"/>
  <c r="AP260" i="13"/>
  <c r="I260" i="23" s="1"/>
  <c r="B189" i="16"/>
  <c r="BC189" i="13"/>
  <c r="X189" i="16" s="1"/>
  <c r="AP189" i="13"/>
  <c r="I189" i="23" s="1"/>
  <c r="BD189" i="13"/>
  <c r="Y189" i="16" s="1"/>
  <c r="B245" i="16"/>
  <c r="BC245" i="13"/>
  <c r="BD245" i="13"/>
  <c r="AP245" i="13"/>
  <c r="I245" i="23" s="1"/>
  <c r="B163" i="16"/>
  <c r="BC163" i="13"/>
  <c r="X163" i="16" s="1"/>
  <c r="AP163" i="13"/>
  <c r="I163" i="23" s="1"/>
  <c r="BD163" i="13"/>
  <c r="Y163" i="16" s="1"/>
  <c r="B138" i="16"/>
  <c r="AP138" i="13"/>
  <c r="BC138" i="13"/>
  <c r="BD138" i="13"/>
  <c r="B108" i="16"/>
  <c r="AP108" i="13"/>
  <c r="I108" i="23" s="1"/>
  <c r="BC108" i="13"/>
  <c r="BD108" i="13"/>
  <c r="B70" i="16"/>
  <c r="BD70" i="13"/>
  <c r="AP70" i="13"/>
  <c r="I70" i="23" s="1"/>
  <c r="BC70" i="13"/>
  <c r="B221" i="16"/>
  <c r="BC221" i="13"/>
  <c r="BD221" i="13"/>
  <c r="AP221" i="13"/>
  <c r="I221" i="23" s="1"/>
  <c r="B226" i="16"/>
  <c r="AP226" i="13"/>
  <c r="I226" i="23" s="1"/>
  <c r="BC226" i="13"/>
  <c r="BD226" i="13"/>
  <c r="B224" i="16"/>
  <c r="BD224" i="13"/>
  <c r="Y224" i="16" s="1"/>
  <c r="BC224" i="13"/>
  <c r="AP224" i="13"/>
  <c r="I224" i="23" s="1"/>
  <c r="B17" i="16"/>
  <c r="BC17" i="13"/>
  <c r="BD17" i="13"/>
  <c r="AP17" i="13"/>
  <c r="I17" i="23" s="1"/>
  <c r="B101" i="16"/>
  <c r="BD101" i="13"/>
  <c r="AP101" i="13"/>
  <c r="I101" i="23" s="1"/>
  <c r="BC101" i="13"/>
  <c r="B116" i="16"/>
  <c r="BC116" i="13"/>
  <c r="BD116" i="13"/>
  <c r="AP116" i="13"/>
  <c r="I116" i="23" s="1"/>
  <c r="B7" i="16"/>
  <c r="BC7" i="13"/>
  <c r="BD7" i="13"/>
  <c r="AP7" i="13"/>
  <c r="I7" i="23" s="1"/>
  <c r="B234" i="16"/>
  <c r="BC234" i="13"/>
  <c r="BD234" i="13"/>
  <c r="AP234" i="13"/>
  <c r="I234" i="23" s="1"/>
  <c r="B198" i="16"/>
  <c r="BC198" i="13"/>
  <c r="BD198" i="13"/>
  <c r="AP198" i="13"/>
  <c r="I198" i="23" s="1"/>
  <c r="B145" i="16"/>
  <c r="AP145" i="13"/>
  <c r="BC145" i="13"/>
  <c r="BD145" i="13"/>
  <c r="B135" i="16"/>
  <c r="BC135" i="13"/>
  <c r="BD135" i="13"/>
  <c r="AP135" i="13"/>
  <c r="I135" i="23" s="1"/>
  <c r="B174" i="16"/>
  <c r="BC174" i="13"/>
  <c r="BD174" i="13"/>
  <c r="AP174" i="13"/>
  <c r="I174" i="23" s="1"/>
  <c r="B250" i="16"/>
  <c r="AP250" i="13"/>
  <c r="BC250" i="13"/>
  <c r="BD250" i="13"/>
  <c r="B185" i="16"/>
  <c r="BC185" i="13"/>
  <c r="BD185" i="13"/>
  <c r="AP185" i="13"/>
  <c r="I185" i="23" s="1"/>
  <c r="B258" i="16"/>
  <c r="BC258" i="13"/>
  <c r="BD258" i="13"/>
  <c r="AP258" i="13"/>
  <c r="I258" i="23" s="1"/>
  <c r="B246" i="16"/>
  <c r="BC246" i="13"/>
  <c r="BD246" i="13"/>
  <c r="AP246" i="13"/>
  <c r="I246" i="23" s="1"/>
  <c r="B38" i="16"/>
  <c r="AP38" i="13"/>
  <c r="I38" i="23" s="1"/>
  <c r="BC38" i="13"/>
  <c r="BD38" i="13"/>
  <c r="B128" i="16"/>
  <c r="BC128" i="13"/>
  <c r="BD128" i="13"/>
  <c r="AP128" i="13"/>
  <c r="I128" i="23" s="1"/>
  <c r="B107" i="16"/>
  <c r="AP107" i="13"/>
  <c r="BC107" i="13"/>
  <c r="BD107" i="13"/>
  <c r="Y107" i="16" s="1"/>
  <c r="B113" i="16"/>
  <c r="AP113" i="13"/>
  <c r="I113" i="23" s="1"/>
  <c r="BC113" i="13"/>
  <c r="BD113" i="13"/>
  <c r="B220" i="16"/>
  <c r="BC220" i="13"/>
  <c r="BD220" i="13"/>
  <c r="AP220" i="13"/>
  <c r="I220" i="23" s="1"/>
  <c r="B91" i="16"/>
  <c r="AP91" i="13"/>
  <c r="BC91" i="13"/>
  <c r="BD91" i="13"/>
  <c r="Y91" i="16" s="1"/>
  <c r="B211" i="16"/>
  <c r="AP211" i="13"/>
  <c r="I211" i="23" s="1"/>
  <c r="B9" i="16"/>
  <c r="BC9" i="13"/>
  <c r="BD9" i="13"/>
  <c r="AP9" i="13"/>
  <c r="I9" i="23" s="1"/>
  <c r="B152" i="16"/>
  <c r="AP152" i="13"/>
  <c r="BC152" i="13"/>
  <c r="BD152" i="13"/>
  <c r="Y152" i="16" s="1"/>
  <c r="B148" i="16"/>
  <c r="BC148" i="13"/>
  <c r="BD148" i="13"/>
  <c r="AP148" i="13"/>
  <c r="I148" i="23" s="1"/>
  <c r="B151" i="16"/>
  <c r="BC151" i="13"/>
  <c r="AP151" i="13"/>
  <c r="I151" i="23" s="1"/>
  <c r="BD151" i="13"/>
  <c r="Y151" i="16" s="1"/>
  <c r="B154" i="16"/>
  <c r="AP154" i="13"/>
  <c r="BD154" i="13"/>
  <c r="BC154" i="13"/>
  <c r="B68" i="16"/>
  <c r="AP68" i="13"/>
  <c r="I68" i="23" s="1"/>
  <c r="BC68" i="13"/>
  <c r="X68" i="16" s="1"/>
  <c r="BD68" i="13"/>
  <c r="Y68" i="16" s="1"/>
  <c r="B6" i="16"/>
  <c r="BC6" i="13"/>
  <c r="BD6" i="13"/>
  <c r="AP6" i="13"/>
  <c r="I6" i="23" s="1"/>
  <c r="B196" i="16"/>
  <c r="BC196" i="13"/>
  <c r="BD196" i="13"/>
  <c r="AP196" i="13"/>
  <c r="I196" i="23" s="1"/>
  <c r="B199" i="16"/>
  <c r="BC199" i="13"/>
  <c r="BD199" i="13"/>
  <c r="AP199" i="13"/>
  <c r="I199" i="23" s="1"/>
  <c r="B144" i="16"/>
  <c r="BC144" i="13"/>
  <c r="AP144" i="13"/>
  <c r="I144" i="23" s="1"/>
  <c r="BD144" i="13"/>
  <c r="Y144" i="16" s="1"/>
  <c r="B127" i="16"/>
  <c r="BD127" i="13"/>
  <c r="Y127" i="16" s="1"/>
  <c r="AP127" i="13"/>
  <c r="I127" i="23" s="1"/>
  <c r="BC127" i="13"/>
  <c r="X127" i="16" s="1"/>
  <c r="B157" i="16"/>
  <c r="BC157" i="13"/>
  <c r="BD157" i="13"/>
  <c r="Y157" i="16" s="1"/>
  <c r="AP157" i="13"/>
  <c r="I157" i="23" s="1"/>
  <c r="B251" i="16"/>
  <c r="AP251" i="13"/>
  <c r="I251" i="23" s="1"/>
  <c r="BC251" i="13"/>
  <c r="BD251" i="13"/>
  <c r="Y251" i="16" s="1"/>
  <c r="B156" i="16"/>
  <c r="BC156" i="13"/>
  <c r="BD156" i="13"/>
  <c r="AP156" i="13"/>
  <c r="I156" i="23" s="1"/>
  <c r="B190" i="16"/>
  <c r="AP190" i="13"/>
  <c r="I190" i="23" s="1"/>
  <c r="BC190" i="13"/>
  <c r="X190" i="16" s="1"/>
  <c r="BD190" i="13"/>
  <c r="Y190" i="16" s="1"/>
  <c r="B247" i="16"/>
  <c r="BC247" i="13"/>
  <c r="BD247" i="13"/>
  <c r="AP247" i="13"/>
  <c r="I247" i="23" s="1"/>
  <c r="B164" i="16"/>
  <c r="AP164" i="13"/>
  <c r="BC164" i="13"/>
  <c r="BD164" i="13"/>
  <c r="Y164" i="16" s="1"/>
  <c r="B126" i="16"/>
  <c r="AP126" i="13"/>
  <c r="I126" i="23" s="1"/>
  <c r="BC126" i="13"/>
  <c r="X126" i="16" s="1"/>
  <c r="BD126" i="13"/>
  <c r="Y126" i="16" s="1"/>
  <c r="B90" i="16"/>
  <c r="AP90" i="13"/>
  <c r="I90" i="23" s="1"/>
  <c r="BC90" i="13"/>
  <c r="BD90" i="13"/>
  <c r="B232" i="16"/>
  <c r="BC232" i="13"/>
  <c r="BD232" i="13"/>
  <c r="AP232" i="13"/>
  <c r="I232" i="23" s="1"/>
  <c r="B219" i="16"/>
  <c r="BC219" i="13"/>
  <c r="BD219" i="13"/>
  <c r="Y219" i="16" s="1"/>
  <c r="AP219" i="13"/>
  <c r="I219" i="23" s="1"/>
  <c r="B95" i="16"/>
  <c r="BC95" i="13"/>
  <c r="BD95" i="13"/>
  <c r="AP95" i="13"/>
  <c r="I95" i="23" s="1"/>
  <c r="B99" i="16"/>
  <c r="BC99" i="13"/>
  <c r="BD99" i="13"/>
  <c r="B117" i="16"/>
  <c r="BC117" i="13"/>
  <c r="BD117" i="13"/>
  <c r="AP117" i="13"/>
  <c r="I117" i="23" s="1"/>
  <c r="B41" i="16"/>
  <c r="BC41" i="13"/>
  <c r="BD41" i="13"/>
  <c r="Y41" i="16" s="1"/>
  <c r="AP41" i="13"/>
  <c r="I41" i="23" s="1"/>
  <c r="B59" i="16"/>
  <c r="BC59" i="13"/>
  <c r="BD59" i="13"/>
  <c r="Y59" i="16" s="1"/>
  <c r="AP59" i="13"/>
  <c r="I59" i="23" s="1"/>
  <c r="B5" i="16"/>
  <c r="BC5" i="13"/>
  <c r="BD5" i="13"/>
  <c r="Y5" i="16" s="1"/>
  <c r="AP5" i="13"/>
  <c r="I5" i="23" s="1"/>
  <c r="B124" i="16"/>
  <c r="BC124" i="13"/>
  <c r="AP124" i="13"/>
  <c r="I124" i="23" s="1"/>
  <c r="BD124" i="13"/>
  <c r="B42" i="16"/>
  <c r="BC42" i="13"/>
  <c r="BD42" i="13"/>
  <c r="AP42" i="13"/>
  <c r="I42" i="23" s="1"/>
  <c r="B150" i="16"/>
  <c r="BC150" i="13"/>
  <c r="AP150" i="13"/>
  <c r="I150" i="23" s="1"/>
  <c r="BD150" i="13"/>
  <c r="Y150" i="16" s="1"/>
  <c r="B125" i="16"/>
  <c r="AP125" i="13"/>
  <c r="I125" i="23" s="1"/>
  <c r="BC125" i="13"/>
  <c r="X125" i="16" s="1"/>
  <c r="BD125" i="13"/>
  <c r="B35" i="16"/>
  <c r="BC35" i="13"/>
  <c r="AP35" i="13"/>
  <c r="BD35" i="13"/>
  <c r="B252" i="16"/>
  <c r="AP252" i="13"/>
  <c r="I252" i="23" s="1"/>
  <c r="BC252" i="13"/>
  <c r="BD252" i="13"/>
  <c r="Y252" i="16" s="1"/>
  <c r="B36" i="16"/>
  <c r="AP36" i="13"/>
  <c r="I36" i="23" s="1"/>
  <c r="BC36" i="13"/>
  <c r="BD36" i="13"/>
  <c r="B192" i="16"/>
  <c r="AP192" i="13"/>
  <c r="I192" i="23" s="1"/>
  <c r="BC192" i="13"/>
  <c r="BD192" i="13"/>
  <c r="B248" i="16"/>
  <c r="BD248" i="13"/>
  <c r="Y248" i="16" s="1"/>
  <c r="BC248" i="13"/>
  <c r="AP248" i="13"/>
  <c r="I248" i="23" s="1"/>
  <c r="B197" i="16"/>
  <c r="BC197" i="13"/>
  <c r="BD197" i="13"/>
  <c r="Y197" i="16" s="1"/>
  <c r="AP197" i="13"/>
  <c r="I197" i="23" s="1"/>
  <c r="B69" i="16"/>
  <c r="AP69" i="13"/>
  <c r="I69" i="23" s="1"/>
  <c r="BC69" i="13"/>
  <c r="BD69" i="13"/>
  <c r="B214" i="16"/>
  <c r="AP214" i="13"/>
  <c r="I214" i="23" s="1"/>
  <c r="BC214" i="13"/>
  <c r="BD214" i="13"/>
  <c r="Y214" i="16" s="1"/>
  <c r="B209" i="16"/>
  <c r="BC209" i="13"/>
  <c r="BD209" i="13"/>
  <c r="Y209" i="16" s="1"/>
  <c r="AP209" i="13"/>
  <c r="I209" i="23" s="1"/>
  <c r="B72" i="16"/>
  <c r="BC72" i="13"/>
  <c r="BD72" i="13"/>
  <c r="Y72" i="16" s="1"/>
  <c r="AP72" i="13"/>
  <c r="I72" i="23" s="1"/>
  <c r="B94" i="16"/>
  <c r="BD94" i="13"/>
  <c r="AP94" i="13"/>
  <c r="I94" i="23" s="1"/>
  <c r="BC94" i="13"/>
  <c r="X94" i="16" s="1"/>
  <c r="B53" i="16"/>
  <c r="AP53" i="13"/>
  <c r="I53" i="23" s="1"/>
  <c r="BC53" i="13"/>
  <c r="BD53" i="13"/>
  <c r="B19" i="16"/>
  <c r="BC19" i="13"/>
  <c r="X19" i="16" s="1"/>
  <c r="BD19" i="13"/>
  <c r="Y19" i="16" s="1"/>
  <c r="AP19" i="13"/>
  <c r="I19" i="23" s="1"/>
  <c r="B2" i="16"/>
  <c r="BC2" i="13"/>
  <c r="BD2" i="13"/>
  <c r="AP2" i="13"/>
  <c r="I2" i="23" s="1"/>
  <c r="B203" i="16"/>
  <c r="AP203" i="13"/>
  <c r="I203" i="23" s="1"/>
  <c r="BC203" i="13"/>
  <c r="BD203" i="13"/>
  <c r="B43" i="16"/>
  <c r="BC43" i="13"/>
  <c r="BD43" i="13"/>
  <c r="Y43" i="16" s="1"/>
  <c r="AP43" i="13"/>
  <c r="I43" i="23" s="1"/>
  <c r="B200" i="16"/>
  <c r="BD200" i="13"/>
  <c r="AP200" i="13"/>
  <c r="I200" i="23" s="1"/>
  <c r="BC200" i="13"/>
  <c r="B122" i="16"/>
  <c r="BC122" i="13"/>
  <c r="BD122" i="13"/>
  <c r="Y122" i="16" s="1"/>
  <c r="AP122" i="13"/>
  <c r="I122" i="23" s="1"/>
  <c r="B34" i="16"/>
  <c r="BD34" i="13"/>
  <c r="Y34" i="16" s="1"/>
  <c r="AP34" i="13"/>
  <c r="BC34" i="13"/>
  <c r="B50" i="16"/>
  <c r="BC50" i="13"/>
  <c r="AP50" i="13"/>
  <c r="I50" i="23" s="1"/>
  <c r="BD50" i="13"/>
  <c r="Y50" i="16" s="1"/>
  <c r="B8" i="16"/>
  <c r="BC8" i="13"/>
  <c r="BD8" i="13"/>
  <c r="Y8" i="16" s="1"/>
  <c r="AP8" i="13"/>
  <c r="I8" i="23" s="1"/>
  <c r="B193" i="16"/>
  <c r="AP193" i="13"/>
  <c r="BC193" i="13"/>
  <c r="BD193" i="13"/>
  <c r="B159" i="16"/>
  <c r="BC159" i="13"/>
  <c r="X159" i="16" s="1"/>
  <c r="BD159" i="13"/>
  <c r="Y159" i="16" s="1"/>
  <c r="AP159" i="13"/>
  <c r="I159" i="23" s="1"/>
  <c r="B30" i="16"/>
  <c r="BC30" i="13"/>
  <c r="BD30" i="13"/>
  <c r="Y30" i="16" s="1"/>
  <c r="AP30" i="13"/>
  <c r="I30" i="23" s="1"/>
  <c r="B75" i="16"/>
  <c r="BC75" i="13"/>
  <c r="BD75" i="13"/>
  <c r="Y75" i="16" s="1"/>
  <c r="AP75" i="13"/>
  <c r="I75" i="23" s="1"/>
  <c r="B215" i="16"/>
  <c r="AP215" i="13"/>
  <c r="I215" i="23" s="1"/>
  <c r="BC215" i="13"/>
  <c r="BD215" i="13"/>
  <c r="Y215" i="16" s="1"/>
  <c r="B208" i="16"/>
  <c r="BC208" i="13"/>
  <c r="BD208" i="13"/>
  <c r="Y208" i="16" s="1"/>
  <c r="AP208" i="13"/>
  <c r="I208" i="23" s="1"/>
  <c r="B83" i="16"/>
  <c r="BC83" i="13"/>
  <c r="X83" i="16" s="1"/>
  <c r="BD83" i="13"/>
  <c r="Y83" i="16" s="1"/>
  <c r="AP83" i="13"/>
  <c r="I83" i="23" s="1"/>
  <c r="B92" i="16"/>
  <c r="AP92" i="13"/>
  <c r="I92" i="23" s="1"/>
  <c r="BC92" i="13"/>
  <c r="BD92" i="13"/>
  <c r="Y92" i="16" s="1"/>
  <c r="B183" i="16"/>
  <c r="BC183" i="13"/>
  <c r="X183" i="16" s="1"/>
  <c r="BD183" i="13"/>
  <c r="Y183" i="16" s="1"/>
  <c r="AP183" i="13"/>
  <c r="I183" i="23" s="1"/>
  <c r="B52" i="16"/>
  <c r="AP52" i="13"/>
  <c r="I52" i="23" s="1"/>
  <c r="BC52" i="13"/>
  <c r="BD52" i="13"/>
  <c r="B171" i="16"/>
  <c r="BC171" i="13"/>
  <c r="X171" i="16" s="1"/>
  <c r="BD171" i="13"/>
  <c r="Y171" i="16" s="1"/>
  <c r="AP171" i="13"/>
  <c r="I171" i="23" s="1"/>
  <c r="B3" i="16"/>
  <c r="AP3" i="13"/>
  <c r="I3" i="23" s="1"/>
  <c r="BC3" i="13"/>
  <c r="BD3" i="13"/>
  <c r="B57" i="16"/>
  <c r="AP57" i="13"/>
  <c r="I57" i="23" s="1"/>
  <c r="BC57" i="13"/>
  <c r="BD57" i="13"/>
  <c r="B45" i="16"/>
  <c r="BC45" i="13"/>
  <c r="BD45" i="13"/>
  <c r="Y45" i="16" s="1"/>
  <c r="AP45" i="13"/>
  <c r="I45" i="23" s="1"/>
  <c r="B233" i="16"/>
  <c r="BC233" i="13"/>
  <c r="BD233" i="13"/>
  <c r="Y233" i="16" s="1"/>
  <c r="AP233" i="13"/>
  <c r="I233" i="23" s="1"/>
  <c r="B112" i="16"/>
  <c r="BC112" i="13"/>
  <c r="AP112" i="13"/>
  <c r="BD112" i="13"/>
  <c r="B60" i="16"/>
  <c r="BC60" i="13"/>
  <c r="X60" i="16" s="1"/>
  <c r="BD60" i="13"/>
  <c r="Y60" i="16" s="1"/>
  <c r="AP60" i="13"/>
  <c r="B253" i="16"/>
  <c r="AP253" i="13"/>
  <c r="I253" i="23" s="1"/>
  <c r="BC253" i="13"/>
  <c r="BD253" i="13"/>
  <c r="B194" i="16"/>
  <c r="BD194" i="13"/>
  <c r="Y194" i="16" s="1"/>
  <c r="AP194" i="13"/>
  <c r="BC194" i="13"/>
  <c r="B180" i="16"/>
  <c r="BD180" i="13"/>
  <c r="AP180" i="13"/>
  <c r="I180" i="23" s="1"/>
  <c r="BC180" i="13"/>
  <c r="X180" i="16" s="1"/>
  <c r="B242" i="16"/>
  <c r="BD242" i="13"/>
  <c r="AP242" i="13"/>
  <c r="BC242" i="13"/>
  <c r="B158" i="16"/>
  <c r="BC158" i="13"/>
  <c r="X158" i="16" s="1"/>
  <c r="BD158" i="13"/>
  <c r="Y158" i="16" s="1"/>
  <c r="AP158" i="13"/>
  <c r="I158" i="23" s="1"/>
  <c r="B76" i="16"/>
  <c r="BD76" i="13"/>
  <c r="Y76" i="16" s="1"/>
  <c r="AP76" i="13"/>
  <c r="BC76" i="13"/>
  <c r="B216" i="16"/>
  <c r="AP216" i="13"/>
  <c r="I216" i="23" s="1"/>
  <c r="BC216" i="13"/>
  <c r="BD216" i="13"/>
  <c r="B207" i="16"/>
  <c r="BC207" i="13"/>
  <c r="BD207" i="13"/>
  <c r="AP207" i="13"/>
  <c r="I207" i="23" s="1"/>
  <c r="B82" i="16"/>
  <c r="BD82" i="13"/>
  <c r="Y82" i="16" s="1"/>
  <c r="AP82" i="13"/>
  <c r="BC82" i="13"/>
  <c r="B212" i="16"/>
  <c r="BD212" i="13"/>
  <c r="Y212" i="16" s="1"/>
  <c r="AP212" i="13"/>
  <c r="BC212" i="13"/>
  <c r="B141" i="16"/>
  <c r="BC141" i="13"/>
  <c r="X141" i="16" s="1"/>
  <c r="BD141" i="13"/>
  <c r="Y141" i="16" s="1"/>
  <c r="AP141" i="13"/>
  <c r="B146" i="16"/>
  <c r="BD146" i="13"/>
  <c r="AP146" i="13"/>
  <c r="I146" i="23" s="1"/>
  <c r="BC146" i="13"/>
  <c r="B104" i="16"/>
  <c r="BC104" i="13"/>
  <c r="BD104" i="13"/>
  <c r="AP104" i="13"/>
  <c r="I104" i="23" s="1"/>
  <c r="B11" i="16"/>
  <c r="BC11" i="13"/>
  <c r="X11" i="16" s="1"/>
  <c r="AP11" i="13"/>
  <c r="BD11" i="13"/>
  <c r="Y11" i="16" s="1"/>
  <c r="B16" i="16"/>
  <c r="BD16" i="13"/>
  <c r="Y16" i="16" s="1"/>
  <c r="AP16" i="13"/>
  <c r="BC16" i="13"/>
  <c r="X16" i="16" s="1"/>
  <c r="B4" i="16"/>
  <c r="BD4" i="13"/>
  <c r="AP4" i="13"/>
  <c r="I4" i="23" s="1"/>
  <c r="BC4" i="13"/>
  <c r="B201" i="16"/>
  <c r="BC201" i="13"/>
  <c r="AP201" i="13"/>
  <c r="BD201" i="13"/>
  <c r="Y201" i="16" s="1"/>
  <c r="B120" i="16"/>
  <c r="AP120" i="13"/>
  <c r="I120" i="23" s="1"/>
  <c r="BC120" i="13"/>
  <c r="BD120" i="13"/>
  <c r="Y120" i="16" s="1"/>
  <c r="B110" i="16"/>
  <c r="BC110" i="13"/>
  <c r="X110" i="16" s="1"/>
  <c r="BD110" i="13"/>
  <c r="Y110" i="16" s="1"/>
  <c r="AP110" i="13"/>
  <c r="I110" i="23" s="1"/>
  <c r="B61" i="16"/>
  <c r="BC61" i="13"/>
  <c r="X61" i="16" s="1"/>
  <c r="BD61" i="13"/>
  <c r="Y61" i="16" s="1"/>
  <c r="AP61" i="13"/>
  <c r="B254" i="16"/>
  <c r="BD254" i="13"/>
  <c r="Y254" i="16" s="1"/>
  <c r="AP254" i="13"/>
  <c r="I254" i="23" s="1"/>
  <c r="BC254" i="13"/>
  <c r="B195" i="16"/>
  <c r="BC195" i="13"/>
  <c r="X195" i="16" s="1"/>
  <c r="BD195" i="13"/>
  <c r="Y195" i="16" s="1"/>
  <c r="AP195" i="13"/>
  <c r="B181" i="16"/>
  <c r="BC181" i="13"/>
  <c r="X181" i="16" s="1"/>
  <c r="BD181" i="13"/>
  <c r="Y181" i="16" s="1"/>
  <c r="AP181" i="13"/>
  <c r="B160" i="16"/>
  <c r="AP160" i="13"/>
  <c r="I160" i="23" s="1"/>
  <c r="BC160" i="13"/>
  <c r="X160" i="16" s="1"/>
  <c r="BD160" i="13"/>
  <c r="Y160" i="16" s="1"/>
  <c r="B218" i="16"/>
  <c r="BD218" i="13"/>
  <c r="Y218" i="16" s="1"/>
  <c r="AP218" i="13"/>
  <c r="BC218" i="13"/>
  <c r="X218" i="16" s="1"/>
  <c r="B73" i="16"/>
  <c r="BC73" i="13"/>
  <c r="X73" i="16" s="1"/>
  <c r="BD73" i="13"/>
  <c r="Y73" i="16" s="1"/>
  <c r="AP73" i="13"/>
  <c r="I73" i="23" s="1"/>
  <c r="B217" i="16"/>
  <c r="AP217" i="13"/>
  <c r="I217" i="23" s="1"/>
  <c r="BC217" i="13"/>
  <c r="X217" i="16" s="1"/>
  <c r="BD217" i="13"/>
  <c r="Y217" i="16" s="1"/>
  <c r="B114" i="16"/>
  <c r="AP114" i="13"/>
  <c r="BC114" i="13"/>
  <c r="X114" i="16" s="1"/>
  <c r="BD114" i="13"/>
  <c r="Y114" i="16" s="1"/>
  <c r="B84" i="16"/>
  <c r="BC84" i="13"/>
  <c r="X84" i="16" s="1"/>
  <c r="BD84" i="13"/>
  <c r="Y84" i="16" s="1"/>
  <c r="AP84" i="13"/>
  <c r="B210" i="16"/>
  <c r="BC210" i="13"/>
  <c r="X210" i="16" s="1"/>
  <c r="BD210" i="13"/>
  <c r="Y210" i="16" s="1"/>
  <c r="AP210" i="13"/>
  <c r="I210" i="23" s="1"/>
  <c r="B137" i="16"/>
  <c r="AP137" i="13"/>
  <c r="I137" i="23" s="1"/>
  <c r="BC137" i="13"/>
  <c r="X137" i="16" s="1"/>
  <c r="BD137" i="13"/>
  <c r="Y137" i="16" s="1"/>
  <c r="B100" i="16"/>
  <c r="BC100" i="13"/>
  <c r="BD100" i="13"/>
  <c r="B97" i="16"/>
  <c r="BC97" i="13"/>
  <c r="BD97" i="13"/>
  <c r="AP97" i="13"/>
  <c r="B103" i="16"/>
  <c r="AP103" i="13"/>
  <c r="I103" i="23" s="1"/>
  <c r="BD103" i="13"/>
  <c r="Y103" i="16" s="1"/>
  <c r="BC103" i="13"/>
  <c r="B169" i="16"/>
  <c r="BC169" i="13"/>
  <c r="BD169" i="13"/>
  <c r="Y169" i="16" s="1"/>
  <c r="AP169" i="13"/>
  <c r="B14" i="16"/>
  <c r="AP14" i="13"/>
  <c r="BC14" i="13"/>
  <c r="X14" i="16" s="1"/>
  <c r="BD14" i="13"/>
  <c r="Y14" i="16" s="1"/>
  <c r="B40" i="16"/>
  <c r="BD40" i="13"/>
  <c r="Y40" i="16" s="1"/>
  <c r="AP40" i="13"/>
  <c r="BC40" i="13"/>
  <c r="B55" i="16"/>
  <c r="AP55" i="13"/>
  <c r="I55" i="23" s="1"/>
  <c r="BD55" i="13"/>
  <c r="Y55" i="16" s="1"/>
  <c r="BC55" i="13"/>
  <c r="B105" i="16"/>
  <c r="BC105" i="13"/>
  <c r="BD105" i="13"/>
  <c r="Y105" i="16" s="1"/>
  <c r="AP105" i="13"/>
  <c r="B119" i="16"/>
  <c r="AP119" i="13"/>
  <c r="I119" i="23" s="1"/>
  <c r="BC119" i="13"/>
  <c r="BD119" i="13"/>
  <c r="Y119" i="16" s="1"/>
  <c r="B89" i="16"/>
  <c r="BC89" i="13"/>
  <c r="BD89" i="13"/>
  <c r="Y89" i="16" s="1"/>
  <c r="AP89" i="13"/>
  <c r="B58" i="16"/>
  <c r="BD58" i="13"/>
  <c r="Y58" i="16" s="1"/>
  <c r="AP58" i="13"/>
  <c r="I58" i="23" s="1"/>
  <c r="BC58" i="13"/>
  <c r="B63" i="16"/>
  <c r="BC63" i="13"/>
  <c r="X63" i="16" s="1"/>
  <c r="BD63" i="13"/>
  <c r="Y63" i="16" s="1"/>
  <c r="AP63" i="13"/>
  <c r="B24" i="16"/>
  <c r="AP24" i="13"/>
  <c r="I24" i="23" s="1"/>
  <c r="BC24" i="13"/>
  <c r="X24" i="16" s="1"/>
  <c r="BD24" i="13"/>
  <c r="Y24" i="16" s="1"/>
  <c r="B182" i="16"/>
  <c r="BC182" i="13"/>
  <c r="X182" i="16" s="1"/>
  <c r="BD182" i="13"/>
  <c r="Y182" i="16" s="1"/>
  <c r="AP182" i="13"/>
  <c r="B161" i="16"/>
  <c r="BD161" i="13"/>
  <c r="Y161" i="16" s="1"/>
  <c r="AP161" i="13"/>
  <c r="I161" i="23" s="1"/>
  <c r="BC161" i="13"/>
  <c r="B71" i="16"/>
  <c r="BC71" i="13"/>
  <c r="BD71" i="13"/>
  <c r="Y71" i="16" s="1"/>
  <c r="AP71" i="13"/>
  <c r="B74" i="16"/>
  <c r="BC74" i="13"/>
  <c r="X74" i="16" s="1"/>
  <c r="BD74" i="13"/>
  <c r="Y74" i="16" s="1"/>
  <c r="AP74" i="13"/>
  <c r="B78" i="16"/>
  <c r="AP78" i="13"/>
  <c r="BC78" i="13"/>
  <c r="X78" i="16" s="1"/>
  <c r="BD78" i="13"/>
  <c r="Y78" i="16" s="1"/>
  <c r="B123" i="16"/>
  <c r="BC123" i="13"/>
  <c r="BD123" i="13"/>
  <c r="Y123" i="16" s="1"/>
  <c r="AP123" i="13"/>
  <c r="B81" i="16"/>
  <c r="AP81" i="13"/>
  <c r="BC81" i="13"/>
  <c r="X81" i="16" s="1"/>
  <c r="BD81" i="13"/>
  <c r="Y81" i="16" s="1"/>
  <c r="B121" i="16"/>
  <c r="BD121" i="13"/>
  <c r="Y121" i="16" s="1"/>
  <c r="AP121" i="13"/>
  <c r="I121" i="23" s="1"/>
  <c r="BC121" i="13"/>
  <c r="AP100" i="13"/>
  <c r="I100" i="23" s="1"/>
  <c r="R261" i="17"/>
  <c r="AP86" i="13" s="1"/>
  <c r="I86" i="23" s="1"/>
  <c r="R250" i="17"/>
  <c r="AP77" i="13" s="1"/>
  <c r="R211" i="17"/>
  <c r="AP211" i="17" s="1"/>
  <c r="R228" i="17"/>
  <c r="S228" i="17" s="1"/>
  <c r="T228" i="17" s="1"/>
  <c r="R232" i="17"/>
  <c r="AO232" i="17" s="1"/>
  <c r="R240" i="17"/>
  <c r="R239" i="17"/>
  <c r="X18" i="16"/>
  <c r="D21" i="13"/>
  <c r="B21" i="13" s="1"/>
  <c r="Y15" i="16"/>
  <c r="X15" i="16"/>
  <c r="T18" i="13"/>
  <c r="AA18" i="13" s="1"/>
  <c r="AK18" i="13" s="1"/>
  <c r="T18" i="16"/>
  <c r="X241" i="16"/>
  <c r="T259" i="16"/>
  <c r="T214" i="16"/>
  <c r="AC212" i="17"/>
  <c r="Y18" i="16"/>
  <c r="AD212" i="17"/>
  <c r="CA18" i="13"/>
  <c r="CE18" i="13" s="1"/>
  <c r="BK18" i="13"/>
  <c r="BO18" i="13" s="1"/>
  <c r="BL18" i="13"/>
  <c r="BP18" i="13" s="1"/>
  <c r="BX18" i="13"/>
  <c r="CB18" i="13" s="1"/>
  <c r="BY18" i="13"/>
  <c r="CC18" i="13" s="1"/>
  <c r="BZ18" i="13"/>
  <c r="CD18" i="13" s="1"/>
  <c r="CF18" i="13" s="1"/>
  <c r="AG18" i="16" s="1"/>
  <c r="AU241" i="13"/>
  <c r="AY241" i="13" s="1"/>
  <c r="AD241" i="13"/>
  <c r="AN241" i="13" s="1"/>
  <c r="CK241" i="13" s="1"/>
  <c r="AB241" i="13"/>
  <c r="AL241" i="13" s="1"/>
  <c r="AC241" i="13"/>
  <c r="AM241" i="13" s="1"/>
  <c r="AO241" i="13" s="1"/>
  <c r="S241" i="16" s="1"/>
  <c r="AW18" i="13"/>
  <c r="BA18" i="13" s="1"/>
  <c r="CN18" i="13" s="1"/>
  <c r="AK15" i="13"/>
  <c r="U15" i="13"/>
  <c r="BY15" i="13" s="1"/>
  <c r="CC15" i="13" s="1"/>
  <c r="U241" i="13"/>
  <c r="BZ241" i="13" s="1"/>
  <c r="CD241" i="13" s="1"/>
  <c r="CF241" i="13" s="1"/>
  <c r="AG241" i="16" s="1"/>
  <c r="Y241" i="16"/>
  <c r="AT241" i="13"/>
  <c r="AX241" i="13" s="1"/>
  <c r="AA241" i="13"/>
  <c r="AK241" i="13" s="1"/>
  <c r="BN241" i="13"/>
  <c r="BR241" i="13" s="1"/>
  <c r="BM241" i="13"/>
  <c r="BQ241" i="13" s="1"/>
  <c r="BS241" i="13" s="1"/>
  <c r="AC241" i="16" s="1"/>
  <c r="AW241" i="13"/>
  <c r="BA241" i="13" s="1"/>
  <c r="CN241" i="13" s="1"/>
  <c r="AV241" i="13"/>
  <c r="AZ241" i="13" s="1"/>
  <c r="BB241" i="13" s="1"/>
  <c r="W241" i="16" s="1"/>
  <c r="AW15" i="13"/>
  <c r="BA15" i="13" s="1"/>
  <c r="CN15" i="13" s="1"/>
  <c r="BN15" i="13"/>
  <c r="BR15" i="13" s="1"/>
  <c r="AV15" i="13"/>
  <c r="AZ15" i="13" s="1"/>
  <c r="BB15" i="13" s="1"/>
  <c r="W15" i="16" s="1"/>
  <c r="BM15" i="13"/>
  <c r="BQ15" i="13" s="1"/>
  <c r="BS15" i="13" s="1"/>
  <c r="AC15" i="16" s="1"/>
  <c r="AU15" i="13"/>
  <c r="AY15" i="13" s="1"/>
  <c r="AD15" i="13"/>
  <c r="AN15" i="13" s="1"/>
  <c r="CK15" i="13" s="1"/>
  <c r="AT15" i="13"/>
  <c r="AX15" i="13" s="1"/>
  <c r="AC15" i="13"/>
  <c r="AM15" i="13" s="1"/>
  <c r="AO15" i="13" s="1"/>
  <c r="S15" i="16" s="1"/>
  <c r="AB15" i="13"/>
  <c r="AL15" i="13" s="1"/>
  <c r="X178" i="16"/>
  <c r="T185" i="16"/>
  <c r="T79" i="16"/>
  <c r="T101" i="16"/>
  <c r="D222" i="13"/>
  <c r="B222" i="13" s="1"/>
  <c r="X80" i="16"/>
  <c r="T23" i="16"/>
  <c r="Y232" i="16"/>
  <c r="X124" i="16"/>
  <c r="Y124" i="16"/>
  <c r="T124" i="16"/>
  <c r="T41" i="16"/>
  <c r="T37" i="16"/>
  <c r="X37" i="16"/>
  <c r="Y36" i="16"/>
  <c r="T36" i="16"/>
  <c r="Y247" i="16"/>
  <c r="T247" i="16"/>
  <c r="X166" i="16"/>
  <c r="T166" i="16"/>
  <c r="Y166" i="16"/>
  <c r="Y85" i="16"/>
  <c r="T85" i="16"/>
  <c r="X77" i="16"/>
  <c r="Y259" i="16"/>
  <c r="X93" i="16"/>
  <c r="T93" i="16"/>
  <c r="Y257" i="16"/>
  <c r="T257" i="16"/>
  <c r="X257" i="16"/>
  <c r="Y165" i="16"/>
  <c r="X165" i="16"/>
  <c r="Y149" i="16"/>
  <c r="T43" i="16"/>
  <c r="Y125" i="16"/>
  <c r="T125" i="16"/>
  <c r="Y213" i="16"/>
  <c r="Y205" i="16"/>
  <c r="T205" i="16"/>
  <c r="T189" i="16"/>
  <c r="X34" i="16"/>
  <c r="X172" i="16"/>
  <c r="D239" i="13"/>
  <c r="B239" i="13" s="1"/>
  <c r="D240" i="13"/>
  <c r="B240" i="13" s="1"/>
  <c r="D129" i="13"/>
  <c r="B129" i="13" s="1"/>
  <c r="D130" i="13"/>
  <c r="B130" i="13" s="1"/>
  <c r="Y90" i="16"/>
  <c r="X90" i="16"/>
  <c r="X96" i="16"/>
  <c r="Y96" i="16"/>
  <c r="T229" i="16"/>
  <c r="X229" i="16"/>
  <c r="T173" i="16"/>
  <c r="Y94" i="16"/>
  <c r="Y20" i="16"/>
  <c r="T20" i="16"/>
  <c r="X39" i="16"/>
  <c r="T135" i="16"/>
  <c r="Y135" i="16"/>
  <c r="X5" i="16"/>
  <c r="X236" i="16"/>
  <c r="X72" i="16"/>
  <c r="T72" i="16"/>
  <c r="Y253" i="16"/>
  <c r="T19" i="16"/>
  <c r="T115" i="16"/>
  <c r="T215" i="16"/>
  <c r="X140" i="16"/>
  <c r="Y140" i="16"/>
  <c r="T140" i="16"/>
  <c r="X224" i="16"/>
  <c r="T92" i="16"/>
  <c r="T69" i="16"/>
  <c r="Y69" i="16"/>
  <c r="Y192" i="16"/>
  <c r="Y17" i="16"/>
  <c r="AI17" i="16" s="1"/>
  <c r="T17" i="16"/>
  <c r="T188" i="16"/>
  <c r="T44" i="16"/>
  <c r="Y116" i="16"/>
  <c r="X170" i="16"/>
  <c r="T170" i="16"/>
  <c r="Y3" i="16"/>
  <c r="T234" i="16"/>
  <c r="X88" i="16"/>
  <c r="Y88" i="16"/>
  <c r="Y243" i="16"/>
  <c r="T243" i="16"/>
  <c r="X243" i="16"/>
  <c r="X251" i="16"/>
  <c r="X258" i="16"/>
  <c r="Y258" i="16"/>
  <c r="X177" i="16"/>
  <c r="T177" i="16"/>
  <c r="X242" i="16"/>
  <c r="Y242" i="16"/>
  <c r="X235" i="16"/>
  <c r="Y235" i="16"/>
  <c r="T235" i="16"/>
  <c r="X87" i="16"/>
  <c r="Y87" i="16"/>
  <c r="T87" i="16"/>
  <c r="Y216" i="16"/>
  <c r="T216" i="16"/>
  <c r="X113" i="16"/>
  <c r="Y113" i="16"/>
  <c r="X91" i="16"/>
  <c r="T246" i="16"/>
  <c r="Y246" i="16"/>
  <c r="T198" i="16"/>
  <c r="T110" i="16"/>
  <c r="X86" i="16"/>
  <c r="X66" i="16"/>
  <c r="Y177" i="16"/>
  <c r="Y154" i="16"/>
  <c r="T42" i="16"/>
  <c r="T206" i="16"/>
  <c r="Y206" i="16"/>
  <c r="T70" i="16"/>
  <c r="Y70" i="16"/>
  <c r="X122" i="16"/>
  <c r="T122" i="16"/>
  <c r="X33" i="16"/>
  <c r="T53" i="16"/>
  <c r="X13" i="16"/>
  <c r="X250" i="16"/>
  <c r="Y250" i="16"/>
  <c r="T163" i="16"/>
  <c r="X25" i="16"/>
  <c r="Y25" i="16"/>
  <c r="Y33" i="16"/>
  <c r="Y112" i="16"/>
  <c r="X112" i="16"/>
  <c r="T64" i="16"/>
  <c r="Y176" i="16"/>
  <c r="T176" i="16"/>
  <c r="X136" i="16"/>
  <c r="T136" i="16"/>
  <c r="Y111" i="16"/>
  <c r="T111" i="16"/>
  <c r="X143" i="16"/>
  <c r="Y143" i="16"/>
  <c r="Y95" i="16"/>
  <c r="T95" i="16"/>
  <c r="Y245" i="16"/>
  <c r="T245" i="16"/>
  <c r="Y221" i="16"/>
  <c r="X197" i="16"/>
  <c r="T197" i="16"/>
  <c r="Y134" i="16"/>
  <c r="T134" i="16"/>
  <c r="T109" i="16"/>
  <c r="X109" i="16"/>
  <c r="X59" i="16"/>
  <c r="T59" i="16"/>
  <c r="T3" i="16"/>
  <c r="T55" i="16"/>
  <c r="T127" i="16"/>
  <c r="X8" i="16"/>
  <c r="T8" i="16"/>
  <c r="X128" i="16"/>
  <c r="Y128" i="16"/>
  <c r="X227" i="16"/>
  <c r="Y227" i="16"/>
  <c r="T209" i="16"/>
  <c r="X209" i="16"/>
  <c r="Y202" i="16"/>
  <c r="T202" i="16"/>
  <c r="X26" i="16"/>
  <c r="T225" i="16"/>
  <c r="X225" i="16"/>
  <c r="T83" i="16"/>
  <c r="Y231" i="16"/>
  <c r="T231" i="16"/>
  <c r="Y196" i="16"/>
  <c r="T144" i="16"/>
  <c r="T252" i="16"/>
  <c r="T10" i="16"/>
  <c r="T62" i="16"/>
  <c r="Y32" i="16"/>
  <c r="X260" i="16"/>
  <c r="Y260" i="16"/>
  <c r="Y244" i="16"/>
  <c r="T244" i="16"/>
  <c r="X75" i="16"/>
  <c r="T75" i="16"/>
  <c r="Y223" i="16"/>
  <c r="D12" i="13"/>
  <c r="B12" i="13" s="1"/>
  <c r="T186" i="16"/>
  <c r="Y238" i="16"/>
  <c r="X238" i="16"/>
  <c r="T238" i="16"/>
  <c r="T133" i="16"/>
  <c r="Y108" i="16"/>
  <c r="X108" i="16"/>
  <c r="X164" i="16"/>
  <c r="X142" i="16"/>
  <c r="Y147" i="16"/>
  <c r="X168" i="16"/>
  <c r="Y168" i="16"/>
  <c r="T168" i="16"/>
  <c r="Y200" i="16"/>
  <c r="X29" i="16"/>
  <c r="Y29" i="16"/>
  <c r="Y178" i="16"/>
  <c r="T178" i="16"/>
  <c r="Y193" i="16"/>
  <c r="T139" i="16"/>
  <c r="T233" i="16"/>
  <c r="Y234" i="16"/>
  <c r="T6" i="16"/>
  <c r="Y6" i="16"/>
  <c r="X6" i="16"/>
  <c r="X249" i="16"/>
  <c r="Y249" i="16"/>
  <c r="X67" i="16"/>
  <c r="Y67" i="16"/>
  <c r="Y106" i="16"/>
  <c r="X191" i="16"/>
  <c r="Y191" i="16"/>
  <c r="Y203" i="16"/>
  <c r="T203" i="16"/>
  <c r="X89" i="16"/>
  <c r="Y185" i="16"/>
  <c r="X162" i="16"/>
  <c r="T208" i="16"/>
  <c r="X208" i="16"/>
  <c r="Y156" i="16"/>
  <c r="X27" i="16"/>
  <c r="T27" i="16"/>
  <c r="Y27" i="16"/>
  <c r="Y7" i="16"/>
  <c r="Y31" i="16"/>
  <c r="T57" i="16"/>
  <c r="X132" i="16"/>
  <c r="Y132" i="16"/>
  <c r="T132" i="16"/>
  <c r="X35" i="16"/>
  <c r="Y35" i="16"/>
  <c r="X179" i="16"/>
  <c r="Y179" i="16"/>
  <c r="X167" i="16"/>
  <c r="Y167" i="16"/>
  <c r="T167" i="16"/>
  <c r="Y138" i="16"/>
  <c r="X138" i="16"/>
  <c r="X107" i="16"/>
  <c r="T207" i="16"/>
  <c r="X79" i="16"/>
  <c r="Y79" i="16"/>
  <c r="Y230" i="16"/>
  <c r="X174" i="16"/>
  <c r="Y174" i="16"/>
  <c r="T174" i="16"/>
  <c r="T253" i="16"/>
  <c r="X230" i="16"/>
  <c r="Y220" i="16"/>
  <c r="Y180" i="16"/>
  <c r="X38" i="16"/>
  <c r="Y38" i="16"/>
  <c r="X4" i="16"/>
  <c r="Y4" i="16"/>
  <c r="T48" i="16"/>
  <c r="X64" i="16"/>
  <c r="T24" i="16"/>
  <c r="Y62" i="16"/>
  <c r="X23" i="16"/>
  <c r="Y23" i="16"/>
  <c r="X9" i="16"/>
  <c r="Y9" i="16"/>
  <c r="X220" i="16"/>
  <c r="Y22" i="16"/>
  <c r="X30" i="16"/>
  <c r="T30" i="16"/>
  <c r="Y47" i="16"/>
  <c r="X31" i="16"/>
  <c r="Y54" i="16"/>
  <c r="T54" i="16"/>
  <c r="T183" i="16"/>
  <c r="T9" i="16"/>
  <c r="T47" i="16"/>
  <c r="T151" i="16"/>
  <c r="T86" i="16"/>
  <c r="T147" i="16"/>
  <c r="BN18" i="13" l="1"/>
  <c r="BR18" i="13" s="1"/>
  <c r="T213" i="16"/>
  <c r="T46" i="16"/>
  <c r="T204" i="16"/>
  <c r="T221" i="16"/>
  <c r="T22" i="16"/>
  <c r="T7" i="16"/>
  <c r="T236" i="16"/>
  <c r="T68" i="16"/>
  <c r="AT18" i="13"/>
  <c r="AX18" i="13" s="1"/>
  <c r="T104" i="16"/>
  <c r="AB18" i="13"/>
  <c r="AL18" i="13" s="1"/>
  <c r="T65" i="16"/>
  <c r="AV18" i="13"/>
  <c r="AZ18" i="13" s="1"/>
  <c r="BB18" i="13" s="1"/>
  <c r="W18" i="16" s="1"/>
  <c r="T256" i="16"/>
  <c r="BK15" i="13"/>
  <c r="BO15" i="13" s="1"/>
  <c r="T237" i="16"/>
  <c r="BM18" i="13"/>
  <c r="BQ18" i="13" s="1"/>
  <c r="BS18" i="13" s="1"/>
  <c r="AC18" i="16" s="1"/>
  <c r="T191" i="16"/>
  <c r="T153" i="16"/>
  <c r="T5" i="16"/>
  <c r="AU18" i="13"/>
  <c r="AY18" i="13" s="1"/>
  <c r="T28" i="16"/>
  <c r="T108" i="16"/>
  <c r="T38" i="16"/>
  <c r="T165" i="16"/>
  <c r="T171" i="16"/>
  <c r="T162" i="16"/>
  <c r="T155" i="16"/>
  <c r="T159" i="16"/>
  <c r="BL241" i="13"/>
  <c r="BP241" i="13" s="1"/>
  <c r="AC18" i="13"/>
  <c r="AM18" i="13" s="1"/>
  <c r="AO18" i="13" s="1"/>
  <c r="S18" i="16" s="1"/>
  <c r="BE15" i="13"/>
  <c r="Z15" i="16" s="1"/>
  <c r="T210" i="16"/>
  <c r="T113" i="16"/>
  <c r="T25" i="16"/>
  <c r="BX241" i="13"/>
  <c r="CB241" i="13" s="1"/>
  <c r="T119" i="16"/>
  <c r="T179" i="16"/>
  <c r="T45" i="16"/>
  <c r="T142" i="16"/>
  <c r="X185" i="16"/>
  <c r="T67" i="16"/>
  <c r="T117" i="16"/>
  <c r="AD18" i="13"/>
  <c r="AN18" i="13" s="1"/>
  <c r="CK18" i="13" s="1"/>
  <c r="T157" i="16"/>
  <c r="T226" i="16"/>
  <c r="X135" i="16"/>
  <c r="T103" i="16"/>
  <c r="AS2" i="13"/>
  <c r="BL15" i="13"/>
  <c r="BP15" i="13" s="1"/>
  <c r="BE241" i="13"/>
  <c r="X245" i="16"/>
  <c r="T228" i="16"/>
  <c r="T249" i="16"/>
  <c r="T149" i="16"/>
  <c r="T31" i="16"/>
  <c r="T248" i="16"/>
  <c r="T260" i="16"/>
  <c r="T116" i="16"/>
  <c r="T96" i="16"/>
  <c r="T230" i="16"/>
  <c r="T224" i="16"/>
  <c r="T29" i="16"/>
  <c r="T223" i="16"/>
  <c r="T88" i="16"/>
  <c r="T102" i="16"/>
  <c r="T80" i="16"/>
  <c r="T128" i="16"/>
  <c r="T258" i="16"/>
  <c r="T106" i="16"/>
  <c r="T13" i="16"/>
  <c r="T26" i="16"/>
  <c r="T33" i="16"/>
  <c r="T148" i="16"/>
  <c r="X247" i="16"/>
  <c r="X252" i="16"/>
  <c r="T90" i="16"/>
  <c r="T251" i="16"/>
  <c r="X219" i="16"/>
  <c r="T150" i="16"/>
  <c r="X157" i="16"/>
  <c r="X95" i="16"/>
  <c r="T219" i="16"/>
  <c r="T137" i="16"/>
  <c r="T120" i="16"/>
  <c r="X36" i="16"/>
  <c r="T160" i="16"/>
  <c r="T52" i="16"/>
  <c r="T94" i="16"/>
  <c r="T196" i="16"/>
  <c r="T254" i="16"/>
  <c r="T190" i="16"/>
  <c r="T126" i="16"/>
  <c r="T73" i="16"/>
  <c r="T158" i="16"/>
  <c r="T121" i="16"/>
  <c r="T200" i="16"/>
  <c r="X248" i="16"/>
  <c r="T66" i="16"/>
  <c r="T58" i="16"/>
  <c r="T156" i="16"/>
  <c r="T232" i="16"/>
  <c r="X215" i="16"/>
  <c r="T81" i="16"/>
  <c r="I81" i="23"/>
  <c r="T14" i="16"/>
  <c r="I14" i="23"/>
  <c r="T91" i="16"/>
  <c r="I91" i="23"/>
  <c r="T107" i="16"/>
  <c r="I107" i="23"/>
  <c r="T250" i="16"/>
  <c r="I250" i="23"/>
  <c r="T145" i="16"/>
  <c r="I145" i="23"/>
  <c r="M17" i="23"/>
  <c r="T138" i="16"/>
  <c r="I138" i="23"/>
  <c r="T227" i="16"/>
  <c r="I227" i="23"/>
  <c r="T172" i="16"/>
  <c r="I172" i="23"/>
  <c r="T143" i="16"/>
  <c r="I143" i="23"/>
  <c r="T39" i="16"/>
  <c r="I39" i="23"/>
  <c r="T32" i="16"/>
  <c r="I32" i="23"/>
  <c r="T201" i="16"/>
  <c r="I201" i="23"/>
  <c r="T97" i="16"/>
  <c r="I97" i="23"/>
  <c r="T82" i="16"/>
  <c r="I82" i="23"/>
  <c r="T50" i="16"/>
  <c r="X70" i="16"/>
  <c r="T84" i="16"/>
  <c r="I84" i="23"/>
  <c r="T181" i="16"/>
  <c r="I181" i="23"/>
  <c r="T61" i="16"/>
  <c r="I61" i="23"/>
  <c r="T141" i="16"/>
  <c r="I141" i="23"/>
  <c r="T164" i="16"/>
  <c r="I164" i="23"/>
  <c r="T123" i="16"/>
  <c r="I123" i="23"/>
  <c r="T34" i="16"/>
  <c r="I34" i="23"/>
  <c r="T77" i="16"/>
  <c r="I77" i="23"/>
  <c r="T193" i="16"/>
  <c r="I193" i="23"/>
  <c r="T71" i="16"/>
  <c r="I71" i="23"/>
  <c r="T194" i="16"/>
  <c r="I194" i="23"/>
  <c r="T152" i="16"/>
  <c r="I152" i="23"/>
  <c r="T220" i="16"/>
  <c r="T217" i="16"/>
  <c r="X92" i="16"/>
  <c r="X214" i="16"/>
  <c r="T89" i="16"/>
  <c r="I89" i="23"/>
  <c r="T11" i="16"/>
  <c r="I11" i="23"/>
  <c r="T112" i="16"/>
  <c r="I112" i="23"/>
  <c r="T35" i="16"/>
  <c r="I35" i="23"/>
  <c r="T154" i="16"/>
  <c r="I154" i="23"/>
  <c r="T4" i="16"/>
  <c r="T161" i="16"/>
  <c r="T146" i="16"/>
  <c r="T195" i="16"/>
  <c r="I195" i="23"/>
  <c r="T242" i="16"/>
  <c r="I242" i="23"/>
  <c r="X253" i="16"/>
  <c r="T40" i="16"/>
  <c r="I40" i="23"/>
  <c r="T114" i="16"/>
  <c r="I114" i="23"/>
  <c r="T218" i="16"/>
  <c r="I218" i="23"/>
  <c r="T212" i="16"/>
  <c r="I212" i="23"/>
  <c r="T78" i="16"/>
  <c r="I78" i="23"/>
  <c r="T169" i="16"/>
  <c r="I169" i="23"/>
  <c r="T63" i="16"/>
  <c r="I63" i="23"/>
  <c r="T180" i="16"/>
  <c r="X156" i="16"/>
  <c r="T60" i="16"/>
  <c r="I60" i="23"/>
  <c r="T182" i="16"/>
  <c r="I182" i="23"/>
  <c r="T76" i="16"/>
  <c r="I76" i="23"/>
  <c r="T74" i="16"/>
  <c r="I74" i="23"/>
  <c r="T105" i="16"/>
  <c r="I105" i="23"/>
  <c r="T16" i="16"/>
  <c r="I16" i="23"/>
  <c r="X213" i="16"/>
  <c r="X161" i="16"/>
  <c r="X193" i="16"/>
  <c r="X134" i="16"/>
  <c r="X69" i="16"/>
  <c r="X244" i="16"/>
  <c r="X232" i="16"/>
  <c r="X192" i="16"/>
  <c r="X3" i="16"/>
  <c r="X133" i="16"/>
  <c r="X246" i="16"/>
  <c r="X221" i="16"/>
  <c r="X254" i="16"/>
  <c r="X196" i="16"/>
  <c r="X40" i="16"/>
  <c r="X121" i="16"/>
  <c r="X7" i="16"/>
  <c r="X17" i="16"/>
  <c r="AH17" i="16" s="1"/>
  <c r="B129" i="16"/>
  <c r="BC129" i="13"/>
  <c r="X129" i="16" s="1"/>
  <c r="BD129" i="13"/>
  <c r="Y129" i="16" s="1"/>
  <c r="AP129" i="13"/>
  <c r="I129" i="23" s="1"/>
  <c r="BC222" i="13"/>
  <c r="X222" i="16" s="1"/>
  <c r="BD222" i="13"/>
  <c r="Y222" i="16" s="1"/>
  <c r="AP222" i="13"/>
  <c r="I222" i="23" s="1"/>
  <c r="B240" i="16"/>
  <c r="AP240" i="13"/>
  <c r="I240" i="23" s="1"/>
  <c r="BC240" i="13"/>
  <c r="X240" i="16" s="1"/>
  <c r="BD240" i="13"/>
  <c r="Y240" i="16" s="1"/>
  <c r="X58" i="16"/>
  <c r="AS192" i="13"/>
  <c r="T192" i="16"/>
  <c r="B239" i="16"/>
  <c r="AP239" i="13"/>
  <c r="BC239" i="13"/>
  <c r="BD239" i="13"/>
  <c r="Y239" i="16" s="1"/>
  <c r="BE163" i="13"/>
  <c r="C163" i="20" s="1"/>
  <c r="B12" i="16"/>
  <c r="AP12" i="13"/>
  <c r="I12" i="23" s="1"/>
  <c r="BC12" i="13"/>
  <c r="X12" i="16" s="1"/>
  <c r="BD12" i="13"/>
  <c r="Y12" i="16" s="1"/>
  <c r="X194" i="16"/>
  <c r="X216" i="16"/>
  <c r="X212" i="16"/>
  <c r="X82" i="16"/>
  <c r="B21" i="16"/>
  <c r="BC21" i="13"/>
  <c r="BD21" i="13"/>
  <c r="Y21" i="16" s="1"/>
  <c r="AP21" i="13"/>
  <c r="X76" i="16"/>
  <c r="BE226" i="13"/>
  <c r="C226" i="20" s="1"/>
  <c r="BE228" i="13"/>
  <c r="C228" i="20" s="1"/>
  <c r="X169" i="16"/>
  <c r="X71" i="16"/>
  <c r="X123" i="16"/>
  <c r="Y100" i="16"/>
  <c r="B130" i="16"/>
  <c r="BC130" i="13"/>
  <c r="X130" i="16" s="1"/>
  <c r="BD130" i="13"/>
  <c r="Y130" i="16" s="1"/>
  <c r="AP130" i="13"/>
  <c r="I130" i="23" s="1"/>
  <c r="BE164" i="13"/>
  <c r="C164" i="20" s="1"/>
  <c r="BE91" i="13"/>
  <c r="C91" i="20" s="1"/>
  <c r="BE227" i="13"/>
  <c r="C227" i="20" s="1"/>
  <c r="S239" i="17"/>
  <c r="T239" i="17" s="1"/>
  <c r="AD239" i="17"/>
  <c r="BD98" i="13" s="1"/>
  <c r="AC239" i="17"/>
  <c r="BC98" i="13" s="1"/>
  <c r="AP98" i="13"/>
  <c r="AP261" i="17"/>
  <c r="S261" i="17"/>
  <c r="T261" i="17" s="1"/>
  <c r="AO261" i="17"/>
  <c r="S250" i="17"/>
  <c r="T250" i="17" s="1"/>
  <c r="AO250" i="17"/>
  <c r="AP250" i="17"/>
  <c r="AO240" i="17"/>
  <c r="AP232" i="17"/>
  <c r="S232" i="17"/>
  <c r="T232" i="17" s="1"/>
  <c r="T211" i="17"/>
  <c r="AP228" i="17"/>
  <c r="AO228" i="17"/>
  <c r="AP240" i="17"/>
  <c r="S240" i="17"/>
  <c r="T240" i="17" s="1"/>
  <c r="AO239" i="17"/>
  <c r="AP239" i="17"/>
  <c r="AS15" i="13"/>
  <c r="T15" i="16"/>
  <c r="AS18" i="13"/>
  <c r="B222" i="16"/>
  <c r="AS241" i="13"/>
  <c r="T241" i="16"/>
  <c r="BX15" i="13"/>
  <c r="CB15" i="13" s="1"/>
  <c r="CA15" i="13"/>
  <c r="CE15" i="13" s="1"/>
  <c r="BZ15" i="13"/>
  <c r="CD15" i="13" s="1"/>
  <c r="CF15" i="13" s="1"/>
  <c r="AG15" i="16" s="1"/>
  <c r="AQ241" i="13"/>
  <c r="U241" i="16" s="1"/>
  <c r="BK241" i="13"/>
  <c r="BO241" i="13" s="1"/>
  <c r="CA241" i="13"/>
  <c r="CE241" i="13" s="1"/>
  <c r="Z241" i="16"/>
  <c r="BY241" i="13"/>
  <c r="CC241" i="13" s="1"/>
  <c r="AQ15" i="13"/>
  <c r="U15" i="16" s="1"/>
  <c r="AS256" i="13"/>
  <c r="H235" i="18"/>
  <c r="G235" i="18"/>
  <c r="H234" i="18"/>
  <c r="G234" i="18"/>
  <c r="H233" i="18"/>
  <c r="G233" i="18"/>
  <c r="H231" i="18"/>
  <c r="G231" i="18"/>
  <c r="H230" i="18"/>
  <c r="G230" i="18"/>
  <c r="H229" i="18"/>
  <c r="G229" i="18"/>
  <c r="H228" i="18"/>
  <c r="G228" i="18"/>
  <c r="H227" i="18"/>
  <c r="G227" i="18"/>
  <c r="H226" i="18"/>
  <c r="G226" i="18"/>
  <c r="H225" i="18"/>
  <c r="G225" i="18"/>
  <c r="H224" i="18"/>
  <c r="G224" i="18"/>
  <c r="H223" i="18"/>
  <c r="G223" i="18"/>
  <c r="H222" i="18"/>
  <c r="G222" i="18"/>
  <c r="H221" i="18"/>
  <c r="G221" i="18"/>
  <c r="H220" i="18"/>
  <c r="G220" i="18"/>
  <c r="H219" i="18"/>
  <c r="G219" i="18"/>
  <c r="H218" i="18"/>
  <c r="G218" i="18"/>
  <c r="H217" i="18"/>
  <c r="G217" i="18"/>
  <c r="H216" i="18"/>
  <c r="G216" i="18"/>
  <c r="H215" i="18"/>
  <c r="G215" i="18"/>
  <c r="H214" i="18"/>
  <c r="G214" i="18"/>
  <c r="H213" i="18"/>
  <c r="G213" i="18"/>
  <c r="H212" i="18"/>
  <c r="G212" i="18"/>
  <c r="H211" i="18"/>
  <c r="G211" i="18"/>
  <c r="H210" i="18"/>
  <c r="G210" i="18"/>
  <c r="H209" i="18"/>
  <c r="G209" i="18"/>
  <c r="H208" i="18"/>
  <c r="G208" i="18"/>
  <c r="H207" i="18"/>
  <c r="G207" i="18"/>
  <c r="H206" i="18"/>
  <c r="G206" i="18"/>
  <c r="H205" i="18"/>
  <c r="G205" i="18"/>
  <c r="H204" i="18"/>
  <c r="G204" i="18"/>
  <c r="H203" i="18"/>
  <c r="G203" i="18"/>
  <c r="H202" i="18"/>
  <c r="G202" i="18"/>
  <c r="H201" i="18"/>
  <c r="G201" i="18"/>
  <c r="H200" i="18"/>
  <c r="G200" i="18"/>
  <c r="H199" i="18"/>
  <c r="G199" i="18"/>
  <c r="H198" i="18"/>
  <c r="G198" i="18"/>
  <c r="H197" i="18"/>
  <c r="G197" i="18"/>
  <c r="H196" i="18"/>
  <c r="G196" i="18"/>
  <c r="H195" i="18"/>
  <c r="G195" i="18"/>
  <c r="H194" i="18"/>
  <c r="G194" i="18"/>
  <c r="H193" i="18"/>
  <c r="G193" i="18"/>
  <c r="H192" i="18"/>
  <c r="G192" i="18"/>
  <c r="H191" i="18"/>
  <c r="G191" i="18"/>
  <c r="H190" i="18"/>
  <c r="G190" i="18"/>
  <c r="H189" i="18"/>
  <c r="G189" i="18"/>
  <c r="H188" i="18"/>
  <c r="G188" i="18"/>
  <c r="H187" i="18"/>
  <c r="G187" i="18"/>
  <c r="H186" i="18"/>
  <c r="G186" i="18"/>
  <c r="H185" i="18"/>
  <c r="G185" i="18"/>
  <c r="H184" i="18"/>
  <c r="G184" i="18"/>
  <c r="H183" i="18"/>
  <c r="G183" i="18"/>
  <c r="H182" i="18"/>
  <c r="G182" i="18"/>
  <c r="H181" i="18"/>
  <c r="G181" i="18"/>
  <c r="H180" i="18"/>
  <c r="G180" i="18"/>
  <c r="H179" i="18"/>
  <c r="G179" i="18"/>
  <c r="H178" i="18"/>
  <c r="G178" i="18"/>
  <c r="H177" i="18"/>
  <c r="G177" i="18"/>
  <c r="H176" i="18"/>
  <c r="G176" i="18"/>
  <c r="H175" i="18"/>
  <c r="G175" i="18"/>
  <c r="H174" i="18"/>
  <c r="G174" i="18"/>
  <c r="H173" i="18"/>
  <c r="G173" i="18"/>
  <c r="H172" i="18"/>
  <c r="G172" i="18"/>
  <c r="H171" i="18"/>
  <c r="G171" i="18"/>
  <c r="H170" i="18"/>
  <c r="G170" i="18"/>
  <c r="H169" i="18"/>
  <c r="G169" i="18"/>
  <c r="H168" i="18"/>
  <c r="G168" i="18"/>
  <c r="H167" i="18"/>
  <c r="G167" i="18"/>
  <c r="H166" i="18"/>
  <c r="G166" i="18"/>
  <c r="H165" i="18"/>
  <c r="G165" i="18"/>
  <c r="H164" i="18"/>
  <c r="G164" i="18"/>
  <c r="H163" i="18"/>
  <c r="G163" i="18"/>
  <c r="H162" i="18"/>
  <c r="G162" i="18"/>
  <c r="H161" i="18"/>
  <c r="G161" i="18"/>
  <c r="H160" i="18"/>
  <c r="G160" i="18"/>
  <c r="H159" i="18"/>
  <c r="G159" i="18"/>
  <c r="H158" i="18"/>
  <c r="G158" i="18"/>
  <c r="H157" i="18"/>
  <c r="G157" i="18"/>
  <c r="H156" i="18"/>
  <c r="G156" i="18"/>
  <c r="H155" i="18"/>
  <c r="G155" i="18"/>
  <c r="H154" i="18"/>
  <c r="G154" i="18"/>
  <c r="H153" i="18"/>
  <c r="G153" i="18"/>
  <c r="H152" i="18"/>
  <c r="G152" i="18"/>
  <c r="H151" i="18"/>
  <c r="G151" i="18"/>
  <c r="H150" i="18"/>
  <c r="G150" i="18"/>
  <c r="H149" i="18"/>
  <c r="H148" i="18"/>
  <c r="G148" i="18"/>
  <c r="H147" i="18"/>
  <c r="G147" i="18"/>
  <c r="H146" i="18"/>
  <c r="G146" i="18"/>
  <c r="H145" i="18"/>
  <c r="G145" i="18"/>
  <c r="H144" i="18"/>
  <c r="G144" i="18"/>
  <c r="H143" i="18"/>
  <c r="G143" i="18"/>
  <c r="H142" i="18"/>
  <c r="G142" i="18"/>
  <c r="H141" i="18"/>
  <c r="G141" i="18"/>
  <c r="H140" i="18"/>
  <c r="G140" i="18"/>
  <c r="H139" i="18"/>
  <c r="G139" i="18"/>
  <c r="H138" i="18"/>
  <c r="G138" i="18"/>
  <c r="H137" i="18"/>
  <c r="G137" i="18"/>
  <c r="H136" i="18"/>
  <c r="G136" i="18"/>
  <c r="H135" i="18"/>
  <c r="G135" i="18"/>
  <c r="H134" i="18"/>
  <c r="G134" i="18"/>
  <c r="H133" i="18"/>
  <c r="G133" i="18"/>
  <c r="H132" i="18"/>
  <c r="G132" i="18"/>
  <c r="H131" i="18"/>
  <c r="G131" i="18"/>
  <c r="H130" i="18"/>
  <c r="G130" i="18"/>
  <c r="H129" i="18"/>
  <c r="G129" i="18"/>
  <c r="H128" i="18"/>
  <c r="G128" i="18"/>
  <c r="H127" i="18"/>
  <c r="G127" i="18"/>
  <c r="H126" i="18"/>
  <c r="G126" i="18"/>
  <c r="H125" i="18"/>
  <c r="G125" i="18"/>
  <c r="H124" i="18"/>
  <c r="G124" i="18"/>
  <c r="H123" i="18"/>
  <c r="G123" i="18"/>
  <c r="H122" i="18"/>
  <c r="G122" i="18"/>
  <c r="H121" i="18"/>
  <c r="G121" i="18"/>
  <c r="H120" i="18"/>
  <c r="G120" i="18"/>
  <c r="H119" i="18"/>
  <c r="G119" i="18"/>
  <c r="H118" i="18"/>
  <c r="G118" i="18"/>
  <c r="H117" i="18"/>
  <c r="G117" i="18"/>
  <c r="H116" i="18"/>
  <c r="G116" i="18"/>
  <c r="H115" i="18"/>
  <c r="G115" i="18"/>
  <c r="H114" i="18"/>
  <c r="G114" i="18"/>
  <c r="H113" i="18"/>
  <c r="G113" i="18"/>
  <c r="H112" i="18"/>
  <c r="G112" i="18"/>
  <c r="H111" i="18"/>
  <c r="G111" i="18"/>
  <c r="H110" i="18"/>
  <c r="G110" i="18"/>
  <c r="H109" i="18"/>
  <c r="G109" i="18"/>
  <c r="H108" i="18"/>
  <c r="G108" i="18"/>
  <c r="H107" i="18"/>
  <c r="G107" i="18"/>
  <c r="H106" i="18"/>
  <c r="G106" i="18"/>
  <c r="H105" i="18"/>
  <c r="G105" i="18"/>
  <c r="H104" i="18"/>
  <c r="G104" i="18"/>
  <c r="H103" i="18"/>
  <c r="G103" i="18"/>
  <c r="H102" i="18"/>
  <c r="G102" i="18"/>
  <c r="H101" i="18"/>
  <c r="G101" i="18"/>
  <c r="H100" i="18"/>
  <c r="G100" i="18"/>
  <c r="H99" i="18"/>
  <c r="G99" i="18"/>
  <c r="H98" i="18"/>
  <c r="G98" i="18"/>
  <c r="H97" i="18"/>
  <c r="G97" i="18"/>
  <c r="H96" i="18"/>
  <c r="G96" i="18"/>
  <c r="H95" i="18"/>
  <c r="G95" i="18"/>
  <c r="H94" i="18"/>
  <c r="G94" i="18"/>
  <c r="H93" i="18"/>
  <c r="G93" i="18"/>
  <c r="H92" i="18"/>
  <c r="G92" i="18"/>
  <c r="H91" i="18"/>
  <c r="G91" i="18"/>
  <c r="H90" i="18"/>
  <c r="G90" i="18"/>
  <c r="H89" i="18"/>
  <c r="G89" i="18"/>
  <c r="H88" i="18"/>
  <c r="G88" i="18"/>
  <c r="H87" i="18"/>
  <c r="G87" i="18"/>
  <c r="H86" i="18"/>
  <c r="G86" i="18"/>
  <c r="H85" i="18"/>
  <c r="G85" i="18"/>
  <c r="H84" i="18"/>
  <c r="G84" i="18"/>
  <c r="H83" i="18"/>
  <c r="G83" i="18"/>
  <c r="H82" i="18"/>
  <c r="G82" i="18"/>
  <c r="H81" i="18"/>
  <c r="G81" i="18"/>
  <c r="H80" i="18"/>
  <c r="G80" i="18"/>
  <c r="H79" i="18"/>
  <c r="G79" i="18"/>
  <c r="H78" i="18"/>
  <c r="G78" i="18"/>
  <c r="H77" i="18"/>
  <c r="G77" i="18"/>
  <c r="H76" i="18"/>
  <c r="G76" i="18"/>
  <c r="H75" i="18"/>
  <c r="G75" i="18"/>
  <c r="H74" i="18"/>
  <c r="G74" i="18"/>
  <c r="H73" i="18"/>
  <c r="G73" i="18"/>
  <c r="H72" i="18"/>
  <c r="G72" i="18"/>
  <c r="H71" i="18"/>
  <c r="G71" i="18"/>
  <c r="H70" i="18"/>
  <c r="G70" i="18"/>
  <c r="H69" i="18"/>
  <c r="G69" i="18"/>
  <c r="H68" i="18"/>
  <c r="G68" i="18"/>
  <c r="H67" i="18"/>
  <c r="G67" i="18"/>
  <c r="H66" i="18"/>
  <c r="G66" i="18"/>
  <c r="H65" i="18"/>
  <c r="G65" i="18"/>
  <c r="H64" i="18"/>
  <c r="G64" i="18"/>
  <c r="H63" i="18"/>
  <c r="G63" i="18"/>
  <c r="H62" i="18"/>
  <c r="G62" i="18"/>
  <c r="H61" i="18"/>
  <c r="G61" i="18"/>
  <c r="H60" i="18"/>
  <c r="G60" i="18"/>
  <c r="H59" i="18"/>
  <c r="G59" i="18"/>
  <c r="H58" i="18"/>
  <c r="G58" i="18"/>
  <c r="H57" i="18"/>
  <c r="G57" i="18"/>
  <c r="H56" i="18"/>
  <c r="G56" i="18"/>
  <c r="H55" i="18"/>
  <c r="G55" i="18"/>
  <c r="H54" i="18"/>
  <c r="G54" i="18"/>
  <c r="H53" i="18"/>
  <c r="G53" i="18"/>
  <c r="H52" i="18"/>
  <c r="G52" i="18"/>
  <c r="H51" i="18"/>
  <c r="G51" i="18"/>
  <c r="H50" i="18"/>
  <c r="G50" i="18"/>
  <c r="H49" i="18"/>
  <c r="G49" i="18"/>
  <c r="H48" i="18"/>
  <c r="G48" i="18"/>
  <c r="H47" i="18"/>
  <c r="G47" i="18"/>
  <c r="H46" i="18"/>
  <c r="G46" i="18"/>
  <c r="H45" i="18"/>
  <c r="G45" i="18"/>
  <c r="H44" i="18"/>
  <c r="G44" i="18"/>
  <c r="H43" i="18"/>
  <c r="G43" i="18"/>
  <c r="H42" i="18"/>
  <c r="G42" i="18"/>
  <c r="H41" i="18"/>
  <c r="G41" i="18"/>
  <c r="H40" i="18"/>
  <c r="G40" i="18"/>
  <c r="H39" i="18"/>
  <c r="G39" i="18"/>
  <c r="H38" i="18"/>
  <c r="G38" i="18"/>
  <c r="H37" i="18"/>
  <c r="G37" i="18"/>
  <c r="H36" i="18"/>
  <c r="G36" i="18"/>
  <c r="H35" i="18"/>
  <c r="G35" i="18"/>
  <c r="H34" i="18"/>
  <c r="G34" i="18"/>
  <c r="H33" i="18"/>
  <c r="G33" i="18"/>
  <c r="H32" i="18"/>
  <c r="G32" i="18"/>
  <c r="H31" i="18"/>
  <c r="G31" i="18"/>
  <c r="H30" i="18"/>
  <c r="G30" i="18"/>
  <c r="H29" i="18"/>
  <c r="G29" i="18"/>
  <c r="H28" i="18"/>
  <c r="G28" i="18"/>
  <c r="H27" i="18"/>
  <c r="G27" i="18"/>
  <c r="H26" i="18"/>
  <c r="G26" i="18"/>
  <c r="H25" i="18"/>
  <c r="G25" i="18"/>
  <c r="H24" i="18"/>
  <c r="G24" i="18"/>
  <c r="H23" i="18"/>
  <c r="G23" i="18"/>
  <c r="H22" i="18"/>
  <c r="G22" i="18"/>
  <c r="H21" i="18"/>
  <c r="G21" i="18"/>
  <c r="H20" i="18"/>
  <c r="G20" i="18"/>
  <c r="H19" i="18"/>
  <c r="G19" i="18"/>
  <c r="H18" i="18"/>
  <c r="G18" i="18"/>
  <c r="H17" i="18"/>
  <c r="G17" i="18"/>
  <c r="H16" i="18"/>
  <c r="G16" i="18"/>
  <c r="H15" i="18"/>
  <c r="G15" i="18"/>
  <c r="H14" i="18"/>
  <c r="G14" i="18"/>
  <c r="H13" i="18"/>
  <c r="G13" i="18"/>
  <c r="H12" i="18"/>
  <c r="G12" i="18"/>
  <c r="H11" i="18"/>
  <c r="G11" i="18"/>
  <c r="H10" i="18"/>
  <c r="G10" i="18"/>
  <c r="H9" i="18"/>
  <c r="G9" i="18"/>
  <c r="H8" i="18"/>
  <c r="G8" i="18"/>
  <c r="H7" i="18"/>
  <c r="G7" i="18"/>
  <c r="H6" i="18"/>
  <c r="G6" i="18"/>
  <c r="H5" i="18"/>
  <c r="G5" i="18"/>
  <c r="H4" i="18"/>
  <c r="G4" i="18"/>
  <c r="H3" i="18"/>
  <c r="G3" i="18"/>
  <c r="BE18" i="13" l="1"/>
  <c r="Z18" i="16" s="1"/>
  <c r="AQ18" i="13"/>
  <c r="U18" i="16" s="1"/>
  <c r="C15" i="20"/>
  <c r="M15" i="23"/>
  <c r="C241" i="20"/>
  <c r="M241" i="23"/>
  <c r="T222" i="16"/>
  <c r="T240" i="16"/>
  <c r="T12" i="16"/>
  <c r="T130" i="16"/>
  <c r="T129" i="16"/>
  <c r="M228" i="23"/>
  <c r="M164" i="23"/>
  <c r="T21" i="16"/>
  <c r="I21" i="23"/>
  <c r="T98" i="16"/>
  <c r="I98" i="23"/>
  <c r="M163" i="23"/>
  <c r="M227" i="23"/>
  <c r="M226" i="23"/>
  <c r="T239" i="16"/>
  <c r="I239" i="23"/>
  <c r="M91" i="23"/>
  <c r="X239" i="16"/>
  <c r="X21" i="16"/>
  <c r="BI18" i="13"/>
  <c r="BI15" i="13"/>
  <c r="BI241" i="13"/>
  <c r="BF15" i="13"/>
  <c r="BF18" i="13"/>
  <c r="AR18" i="13"/>
  <c r="V18" i="16" s="1"/>
  <c r="AR15" i="13"/>
  <c r="V15" i="16" s="1"/>
  <c r="AR241" i="13"/>
  <c r="V241" i="16" s="1"/>
  <c r="BF241" i="13"/>
  <c r="M151" i="13"/>
  <c r="M208" i="13"/>
  <c r="M209" i="13"/>
  <c r="M18" i="23" l="1"/>
  <c r="C18" i="20"/>
  <c r="AB241" i="16"/>
  <c r="K241" i="23"/>
  <c r="AB18" i="16"/>
  <c r="K18" i="23"/>
  <c r="AB15" i="16"/>
  <c r="AD15" i="16" s="1"/>
  <c r="BT15" i="13" s="1"/>
  <c r="BW15" i="13" s="1"/>
  <c r="K15" i="23"/>
  <c r="AA241" i="16"/>
  <c r="D241" i="20"/>
  <c r="AA18" i="16"/>
  <c r="D18" i="20"/>
  <c r="AA15" i="16"/>
  <c r="D15" i="20"/>
  <c r="CU18" i="13"/>
  <c r="CS18" i="13"/>
  <c r="CY18" i="13"/>
  <c r="CY241" i="13"/>
  <c r="CU15" i="13"/>
  <c r="CY15" i="13"/>
  <c r="CS15" i="13"/>
  <c r="CS241" i="13"/>
  <c r="CU241" i="13"/>
  <c r="Z104" i="13"/>
  <c r="B104" i="20" s="1"/>
  <c r="AI15" i="16" l="1"/>
  <c r="CH15" i="13" s="1"/>
  <c r="AH15" i="16"/>
  <c r="CG15" i="13" s="1"/>
  <c r="CI15" i="13" s="1"/>
  <c r="E15" i="20" s="1"/>
  <c r="AH241" i="16"/>
  <c r="CG241" i="13" s="1"/>
  <c r="AI241" i="16"/>
  <c r="CH241" i="13" s="1"/>
  <c r="AD241" i="16"/>
  <c r="BT241" i="13" s="1"/>
  <c r="CL241" i="13" s="1"/>
  <c r="AD18" i="16"/>
  <c r="BT18" i="13" s="1"/>
  <c r="AI18" i="16"/>
  <c r="CH18" i="13" s="1"/>
  <c r="AH18" i="16"/>
  <c r="CG18" i="13" s="1"/>
  <c r="CI18" i="13" s="1"/>
  <c r="Y98" i="16"/>
  <c r="X98" i="16"/>
  <c r="P18" i="17"/>
  <c r="AB249" i="17"/>
  <c r="AC249" i="17"/>
  <c r="X228" i="16" s="1"/>
  <c r="AD249" i="17"/>
  <c r="Y228" i="16" s="1"/>
  <c r="L266" i="17"/>
  <c r="M266" i="17"/>
  <c r="N266" i="17"/>
  <c r="O266" i="17"/>
  <c r="P267" i="17"/>
  <c r="L89" i="17"/>
  <c r="M89" i="17"/>
  <c r="N89" i="17"/>
  <c r="O89" i="17"/>
  <c r="L113" i="17"/>
  <c r="M113" i="17"/>
  <c r="M161" i="17"/>
  <c r="N161" i="17"/>
  <c r="O161" i="17"/>
  <c r="P161" i="17"/>
  <c r="L269" i="17"/>
  <c r="M269" i="17"/>
  <c r="N269" i="17"/>
  <c r="O269" i="17"/>
  <c r="L270" i="17"/>
  <c r="M270" i="17"/>
  <c r="N270" i="17"/>
  <c r="O270" i="17"/>
  <c r="L121" i="17"/>
  <c r="M121" i="17"/>
  <c r="N121" i="17"/>
  <c r="O121" i="17"/>
  <c r="M272" i="17"/>
  <c r="N272" i="17"/>
  <c r="O272" i="17"/>
  <c r="M273" i="17"/>
  <c r="N273" i="17"/>
  <c r="O273" i="17"/>
  <c r="L274" i="17"/>
  <c r="M274" i="17"/>
  <c r="N274" i="17"/>
  <c r="O274" i="17"/>
  <c r="L275" i="17"/>
  <c r="M275" i="17"/>
  <c r="N275" i="17"/>
  <c r="O275" i="17"/>
  <c r="L276" i="17"/>
  <c r="M276" i="17"/>
  <c r="N276" i="17"/>
  <c r="O276" i="17"/>
  <c r="L277" i="17"/>
  <c r="M277" i="17"/>
  <c r="N277" i="17"/>
  <c r="O277" i="17"/>
  <c r="L278" i="17"/>
  <c r="M278" i="17"/>
  <c r="N278" i="17"/>
  <c r="O278" i="17"/>
  <c r="L279" i="17"/>
  <c r="M279" i="17"/>
  <c r="N279" i="17"/>
  <c r="O279" i="17"/>
  <c r="L173" i="17"/>
  <c r="M173" i="17"/>
  <c r="L174" i="17"/>
  <c r="M174" i="17"/>
  <c r="N174" i="17"/>
  <c r="O174" i="17"/>
  <c r="L281" i="17"/>
  <c r="M281" i="17"/>
  <c r="N281" i="17"/>
  <c r="O281" i="17"/>
  <c r="O282" i="17"/>
  <c r="L283" i="17"/>
  <c r="M283" i="17"/>
  <c r="N283" i="17"/>
  <c r="O283" i="17"/>
  <c r="L284" i="17"/>
  <c r="M284" i="17"/>
  <c r="N284" i="17"/>
  <c r="O284" i="17"/>
  <c r="L285" i="17"/>
  <c r="M285" i="17"/>
  <c r="N285" i="17"/>
  <c r="O285" i="17"/>
  <c r="L287" i="17"/>
  <c r="M287" i="17"/>
  <c r="N287" i="17"/>
  <c r="O287" i="17"/>
  <c r="L288" i="17"/>
  <c r="M288" i="17"/>
  <c r="N288" i="17"/>
  <c r="O288" i="17"/>
  <c r="L289" i="17"/>
  <c r="M289" i="17"/>
  <c r="N289" i="17"/>
  <c r="O289" i="17"/>
  <c r="L290" i="17"/>
  <c r="M290" i="17"/>
  <c r="N290" i="17"/>
  <c r="O290" i="17"/>
  <c r="L292" i="17"/>
  <c r="M292" i="17"/>
  <c r="N292" i="17"/>
  <c r="O292" i="17"/>
  <c r="L293" i="17"/>
  <c r="M293" i="17"/>
  <c r="N293" i="17"/>
  <c r="O293" i="17"/>
  <c r="L295" i="17"/>
  <c r="M295" i="17"/>
  <c r="N295" i="17"/>
  <c r="O295" i="17"/>
  <c r="L296" i="17"/>
  <c r="M296" i="17"/>
  <c r="N296" i="17"/>
  <c r="O296" i="17"/>
  <c r="L297" i="17"/>
  <c r="M297" i="17"/>
  <c r="N297" i="17"/>
  <c r="O297" i="17"/>
  <c r="L298" i="17"/>
  <c r="M298" i="17"/>
  <c r="N298" i="17"/>
  <c r="O298" i="17"/>
  <c r="M248" i="17"/>
  <c r="N248" i="17"/>
  <c r="O248" i="17"/>
  <c r="V248" i="17"/>
  <c r="W248" i="17"/>
  <c r="X248" i="17"/>
  <c r="AB248" i="17"/>
  <c r="AC248" i="17"/>
  <c r="AD248" i="17"/>
  <c r="L303" i="17"/>
  <c r="M303" i="17"/>
  <c r="N303" i="17"/>
  <c r="O303" i="17"/>
  <c r="L304" i="17"/>
  <c r="M304" i="17"/>
  <c r="N304" i="17"/>
  <c r="O304" i="17"/>
  <c r="AB185" i="17"/>
  <c r="X41" i="16" s="1"/>
  <c r="AB188" i="17"/>
  <c r="X55" i="16" s="1"/>
  <c r="AB189" i="17"/>
  <c r="AB191" i="17"/>
  <c r="AB193" i="17"/>
  <c r="X154" i="16" s="1"/>
  <c r="AB195" i="17"/>
  <c r="X152" i="16" s="1"/>
  <c r="AB200" i="17"/>
  <c r="X50" i="16" s="1"/>
  <c r="AB201" i="17"/>
  <c r="X47" i="16" s="1"/>
  <c r="AB204" i="17"/>
  <c r="AB208" i="17"/>
  <c r="X153" i="16" s="1"/>
  <c r="H212" i="17"/>
  <c r="H244" i="17" s="1"/>
  <c r="I212" i="17"/>
  <c r="J212" i="17"/>
  <c r="L212" i="17"/>
  <c r="M212" i="17"/>
  <c r="N282" i="17"/>
  <c r="AB212" i="17"/>
  <c r="X100" i="16" s="1"/>
  <c r="AB213" i="17"/>
  <c r="X231" i="16" s="1"/>
  <c r="AB214" i="17"/>
  <c r="P272" i="17"/>
  <c r="AB215" i="17"/>
  <c r="X119" i="16" s="1"/>
  <c r="AB217" i="17"/>
  <c r="X151" i="16" s="1"/>
  <c r="AB219" i="17"/>
  <c r="H220" i="17"/>
  <c r="I220" i="17"/>
  <c r="J220" i="17"/>
  <c r="L220" i="17"/>
  <c r="R220" i="17" s="1"/>
  <c r="M220" i="17"/>
  <c r="N220" i="17"/>
  <c r="Y99" i="16"/>
  <c r="AB222" i="17"/>
  <c r="X201" i="16" s="1"/>
  <c r="AB225" i="17"/>
  <c r="X147" i="16" s="1"/>
  <c r="P275" i="17"/>
  <c r="AB226" i="17"/>
  <c r="X200" i="16" s="1"/>
  <c r="AB234" i="17"/>
  <c r="AB239" i="17"/>
  <c r="H241" i="17"/>
  <c r="I241" i="17"/>
  <c r="J241" i="17"/>
  <c r="K241" i="17"/>
  <c r="L241" i="17"/>
  <c r="M241" i="17"/>
  <c r="N241" i="17"/>
  <c r="N286" i="17" s="1"/>
  <c r="O286" i="17"/>
  <c r="H242" i="17"/>
  <c r="I242" i="17"/>
  <c r="J242" i="17"/>
  <c r="K242" i="17"/>
  <c r="L242" i="17"/>
  <c r="N242" i="17"/>
  <c r="O294" i="17"/>
  <c r="H243" i="17"/>
  <c r="I243" i="17"/>
  <c r="J243" i="17"/>
  <c r="K243" i="17"/>
  <c r="L243" i="17"/>
  <c r="L280" i="17" s="1"/>
  <c r="M243" i="17"/>
  <c r="N243" i="17"/>
  <c r="N280" i="17" s="1"/>
  <c r="O243" i="17"/>
  <c r="O280" i="17" s="1"/>
  <c r="I244" i="17"/>
  <c r="J244" i="17"/>
  <c r="K244" i="17"/>
  <c r="M244" i="17"/>
  <c r="N244" i="17"/>
  <c r="O244" i="17"/>
  <c r="O291" i="17" s="1"/>
  <c r="BC49" i="13"/>
  <c r="AD244" i="17"/>
  <c r="I245" i="17"/>
  <c r="J245" i="17"/>
  <c r="K245" i="17"/>
  <c r="M245" i="17"/>
  <c r="N245" i="17"/>
  <c r="N299" i="17" s="1"/>
  <c r="O245" i="17"/>
  <c r="O299" i="17" s="1"/>
  <c r="H246" i="17"/>
  <c r="I246" i="17"/>
  <c r="J246" i="17"/>
  <c r="K246" i="17"/>
  <c r="L246" i="17"/>
  <c r="M246" i="17"/>
  <c r="N246" i="17"/>
  <c r="N271" i="17" s="1"/>
  <c r="O246" i="17"/>
  <c r="O271" i="17" s="1"/>
  <c r="U306" i="17"/>
  <c r="U307" i="17"/>
  <c r="AP99" i="13" l="1"/>
  <c r="I99" i="23" s="1"/>
  <c r="AP220" i="17"/>
  <c r="BD211" i="13"/>
  <c r="Y211" i="16" s="1"/>
  <c r="BC211" i="13"/>
  <c r="CI241" i="13"/>
  <c r="E241" i="20" s="1"/>
  <c r="E18" i="20"/>
  <c r="N291" i="17"/>
  <c r="AP49" i="13"/>
  <c r="I49" i="23" s="1"/>
  <c r="BD49" i="13"/>
  <c r="Y49" i="16" s="1"/>
  <c r="N294" i="17"/>
  <c r="R242" i="17"/>
  <c r="AP56" i="13" s="1"/>
  <c r="I56" i="23" s="1"/>
  <c r="X233" i="16"/>
  <c r="X115" i="16"/>
  <c r="X259" i="16"/>
  <c r="X234" i="16"/>
  <c r="X203" i="16"/>
  <c r="X202" i="16"/>
  <c r="L282" i="17"/>
  <c r="T100" i="16"/>
  <c r="M271" i="17"/>
  <c r="M286" i="17"/>
  <c r="T118" i="16"/>
  <c r="L286" i="17"/>
  <c r="T199" i="16"/>
  <c r="Q248" i="17"/>
  <c r="T211" i="16" s="1"/>
  <c r="M291" i="17"/>
  <c r="M294" i="17"/>
  <c r="M282" i="17"/>
  <c r="L294" i="17"/>
  <c r="M299" i="17"/>
  <c r="M280" i="17"/>
  <c r="T131" i="16"/>
  <c r="L245" i="17"/>
  <c r="L244" i="17"/>
  <c r="H245" i="17"/>
  <c r="Y104" i="16"/>
  <c r="Y102" i="16"/>
  <c r="Y256" i="16"/>
  <c r="Y44" i="16"/>
  <c r="Y226" i="16"/>
  <c r="P304" i="17"/>
  <c r="Y53" i="16"/>
  <c r="Y117" i="16"/>
  <c r="Y148" i="16"/>
  <c r="Y97" i="16"/>
  <c r="Y186" i="16"/>
  <c r="P278" i="17"/>
  <c r="Y237" i="16"/>
  <c r="Y207" i="16"/>
  <c r="Y42" i="16"/>
  <c r="Y101" i="16"/>
  <c r="AD243" i="17"/>
  <c r="AC243" i="17"/>
  <c r="AB244" i="17"/>
  <c r="X49" i="16" s="1"/>
  <c r="P266" i="17"/>
  <c r="P299" i="17"/>
  <c r="P274" i="17"/>
  <c r="P121" i="17"/>
  <c r="P291" i="17"/>
  <c r="P295" i="17"/>
  <c r="AB221" i="17"/>
  <c r="AB209" i="17"/>
  <c r="X28" i="16" s="1"/>
  <c r="AB205" i="17"/>
  <c r="P289" i="17"/>
  <c r="AB199" i="17"/>
  <c r="P296" i="17"/>
  <c r="P292" i="17"/>
  <c r="P270" i="17"/>
  <c r="AB210" i="17"/>
  <c r="X103" i="16" s="1"/>
  <c r="P276" i="17"/>
  <c r="P277" i="17"/>
  <c r="AB197" i="17"/>
  <c r="X48" i="16" s="1"/>
  <c r="P281" i="17"/>
  <c r="P298" i="17"/>
  <c r="P273" i="17"/>
  <c r="P288" i="17"/>
  <c r="AB207" i="17"/>
  <c r="P290" i="17"/>
  <c r="P287" i="17"/>
  <c r="P269" i="17"/>
  <c r="P279" i="17"/>
  <c r="AB220" i="17"/>
  <c r="X99" i="16" s="1"/>
  <c r="P174" i="17"/>
  <c r="P283" i="17"/>
  <c r="P284" i="17"/>
  <c r="P285" i="17"/>
  <c r="AB196" i="17"/>
  <c r="X54" i="16" s="1"/>
  <c r="P303" i="17"/>
  <c r="P301" i="17"/>
  <c r="P293" i="17"/>
  <c r="P300" i="17"/>
  <c r="P297" i="17"/>
  <c r="M2" i="13"/>
  <c r="M3" i="13"/>
  <c r="M4" i="13"/>
  <c r="M5" i="13"/>
  <c r="M6" i="13"/>
  <c r="M7" i="13"/>
  <c r="M8" i="13"/>
  <c r="M9" i="13"/>
  <c r="M10" i="13"/>
  <c r="M11" i="13"/>
  <c r="M12" i="13"/>
  <c r="M13" i="13"/>
  <c r="M14" i="13"/>
  <c r="M16" i="13"/>
  <c r="M17" i="13"/>
  <c r="M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M33" i="13"/>
  <c r="M34" i="13"/>
  <c r="M35" i="13"/>
  <c r="M36" i="13"/>
  <c r="M37" i="13"/>
  <c r="M38" i="13"/>
  <c r="M39" i="13"/>
  <c r="M40" i="13"/>
  <c r="M41" i="13"/>
  <c r="M42" i="13"/>
  <c r="M43" i="13"/>
  <c r="M44" i="13"/>
  <c r="M45" i="13"/>
  <c r="M46" i="13"/>
  <c r="M47" i="13"/>
  <c r="M48" i="13"/>
  <c r="M49" i="13"/>
  <c r="M50" i="13"/>
  <c r="M51" i="13"/>
  <c r="M52" i="13"/>
  <c r="M53" i="13"/>
  <c r="M54" i="13"/>
  <c r="M55" i="13"/>
  <c r="M56" i="13"/>
  <c r="M57" i="13"/>
  <c r="M58" i="13"/>
  <c r="M59" i="13"/>
  <c r="M60" i="13"/>
  <c r="M61" i="13"/>
  <c r="M62" i="13"/>
  <c r="M63" i="13"/>
  <c r="M64" i="13"/>
  <c r="M65" i="13"/>
  <c r="M66" i="13"/>
  <c r="M67" i="13"/>
  <c r="M68" i="13"/>
  <c r="M69" i="13"/>
  <c r="M70" i="13"/>
  <c r="M71" i="13"/>
  <c r="M72" i="13"/>
  <c r="M73" i="13"/>
  <c r="M74" i="13"/>
  <c r="M75" i="13"/>
  <c r="M76" i="13"/>
  <c r="M77" i="13"/>
  <c r="M78" i="13"/>
  <c r="M79" i="13"/>
  <c r="M80" i="13"/>
  <c r="M81" i="13"/>
  <c r="M82" i="13"/>
  <c r="M83" i="13"/>
  <c r="M84" i="13"/>
  <c r="M85" i="13"/>
  <c r="M86" i="13"/>
  <c r="M87" i="13"/>
  <c r="M88" i="13"/>
  <c r="M89" i="13"/>
  <c r="M90" i="13"/>
  <c r="M91" i="13"/>
  <c r="M92" i="13"/>
  <c r="M93" i="13"/>
  <c r="M94" i="13"/>
  <c r="M95" i="13"/>
  <c r="M96" i="13"/>
  <c r="M97" i="13"/>
  <c r="M98" i="13"/>
  <c r="M100" i="13"/>
  <c r="M101" i="13"/>
  <c r="M102" i="13"/>
  <c r="M103" i="13"/>
  <c r="M104" i="13"/>
  <c r="M105" i="13"/>
  <c r="M106" i="13"/>
  <c r="M107" i="13"/>
  <c r="M108" i="13"/>
  <c r="M109" i="13"/>
  <c r="M110" i="13"/>
  <c r="M111" i="13"/>
  <c r="M112" i="13"/>
  <c r="M113" i="13"/>
  <c r="M114" i="13"/>
  <c r="M115" i="13"/>
  <c r="M116" i="13"/>
  <c r="M117" i="13"/>
  <c r="M118" i="13"/>
  <c r="M119" i="13"/>
  <c r="M120" i="13"/>
  <c r="M121" i="13"/>
  <c r="M122" i="13"/>
  <c r="M123" i="13"/>
  <c r="M124" i="13"/>
  <c r="M125" i="13"/>
  <c r="M126" i="13"/>
  <c r="M127" i="13"/>
  <c r="M128" i="13"/>
  <c r="M129" i="13"/>
  <c r="M130" i="13"/>
  <c r="M131" i="13"/>
  <c r="M132" i="13"/>
  <c r="M133" i="13"/>
  <c r="M134" i="13"/>
  <c r="M135" i="13"/>
  <c r="M136" i="13"/>
  <c r="M137" i="13"/>
  <c r="M138" i="13"/>
  <c r="M139" i="13"/>
  <c r="M140" i="13"/>
  <c r="M141" i="13"/>
  <c r="M142" i="13"/>
  <c r="M143" i="13"/>
  <c r="M144" i="13"/>
  <c r="M145" i="13"/>
  <c r="M146" i="13"/>
  <c r="M147" i="13"/>
  <c r="M148" i="13"/>
  <c r="M149" i="13"/>
  <c r="M150" i="13"/>
  <c r="M152" i="13"/>
  <c r="M153" i="13"/>
  <c r="M154" i="13"/>
  <c r="M155" i="13"/>
  <c r="M156" i="13"/>
  <c r="M157" i="13"/>
  <c r="M158" i="13"/>
  <c r="I158" i="20" s="1"/>
  <c r="M159" i="13"/>
  <c r="M160" i="13"/>
  <c r="M161" i="13"/>
  <c r="M162" i="13"/>
  <c r="M163" i="13"/>
  <c r="M164" i="13"/>
  <c r="M165" i="13"/>
  <c r="M166" i="13"/>
  <c r="M167" i="13"/>
  <c r="M168" i="13"/>
  <c r="M169" i="13"/>
  <c r="M170" i="13"/>
  <c r="M171" i="13"/>
  <c r="M172" i="13"/>
  <c r="M173" i="13"/>
  <c r="M174" i="13"/>
  <c r="M175" i="13"/>
  <c r="M176" i="13"/>
  <c r="M177" i="13"/>
  <c r="M178" i="13"/>
  <c r="M179" i="13"/>
  <c r="M180" i="13"/>
  <c r="M181" i="13"/>
  <c r="M182" i="13"/>
  <c r="M183" i="13"/>
  <c r="M184" i="13"/>
  <c r="M185" i="13"/>
  <c r="M186" i="13"/>
  <c r="M187" i="13"/>
  <c r="M188" i="13"/>
  <c r="M189" i="13"/>
  <c r="M190" i="13"/>
  <c r="M191" i="13"/>
  <c r="M192" i="13"/>
  <c r="M193" i="13"/>
  <c r="M194" i="13"/>
  <c r="M195" i="13"/>
  <c r="M196" i="13"/>
  <c r="M197" i="13"/>
  <c r="M198" i="13"/>
  <c r="M199" i="13"/>
  <c r="M200" i="13"/>
  <c r="M201" i="13"/>
  <c r="M202" i="13"/>
  <c r="M203" i="13"/>
  <c r="M204" i="13"/>
  <c r="M205" i="13"/>
  <c r="M206" i="13"/>
  <c r="M210" i="13"/>
  <c r="M211" i="13"/>
  <c r="M212" i="13"/>
  <c r="M213" i="13"/>
  <c r="M214" i="13"/>
  <c r="M215" i="13"/>
  <c r="M216" i="13"/>
  <c r="M217" i="13"/>
  <c r="M218" i="13"/>
  <c r="M219" i="13"/>
  <c r="M220" i="13"/>
  <c r="M221" i="13"/>
  <c r="M222" i="13"/>
  <c r="M223" i="13"/>
  <c r="M224" i="13"/>
  <c r="M225" i="13"/>
  <c r="M226" i="13"/>
  <c r="M227" i="13"/>
  <c r="M228" i="13"/>
  <c r="M229" i="13"/>
  <c r="M230" i="13"/>
  <c r="M231" i="13"/>
  <c r="M232" i="13"/>
  <c r="M233" i="13"/>
  <c r="M234" i="13"/>
  <c r="M235" i="13"/>
  <c r="M236" i="13"/>
  <c r="M237" i="13"/>
  <c r="M238" i="13"/>
  <c r="M240" i="13"/>
  <c r="M242" i="13"/>
  <c r="M243" i="13"/>
  <c r="M244" i="13"/>
  <c r="M245" i="13"/>
  <c r="M246" i="13"/>
  <c r="M247" i="13"/>
  <c r="M248" i="13"/>
  <c r="M249" i="13"/>
  <c r="M250" i="13"/>
  <c r="M251" i="13"/>
  <c r="M252" i="13"/>
  <c r="M253" i="13"/>
  <c r="M254" i="13"/>
  <c r="M255" i="13"/>
  <c r="M256" i="13"/>
  <c r="M257" i="13"/>
  <c r="M258" i="13"/>
  <c r="M259" i="13"/>
  <c r="M260" i="13"/>
  <c r="X211" i="16" l="1"/>
  <c r="AO244" i="17"/>
  <c r="AP244" i="17"/>
  <c r="S244" i="17"/>
  <c r="T244" i="17" s="1"/>
  <c r="S220" i="17"/>
  <c r="T220" i="17" s="1"/>
  <c r="AO220" i="17"/>
  <c r="T99" i="16"/>
  <c r="AO242" i="17"/>
  <c r="AP242" i="17"/>
  <c r="S242" i="17"/>
  <c r="T242" i="17" s="1"/>
  <c r="Y131" i="16"/>
  <c r="X116" i="16"/>
  <c r="X120" i="16"/>
  <c r="X105" i="16"/>
  <c r="X106" i="16"/>
  <c r="X45" i="16"/>
  <c r="X43" i="16"/>
  <c r="X149" i="16"/>
  <c r="X150" i="16"/>
  <c r="X144" i="16"/>
  <c r="T56" i="16"/>
  <c r="L291" i="17"/>
  <c r="L299" i="17"/>
  <c r="AB211" i="17"/>
  <c r="X104" i="16" s="1"/>
  <c r="AD245" i="17"/>
  <c r="Y52" i="16"/>
  <c r="Y146" i="16"/>
  <c r="Y145" i="16"/>
  <c r="X198" i="16"/>
  <c r="X46" i="16"/>
  <c r="Y198" i="16"/>
  <c r="Y46" i="16"/>
  <c r="AD242" i="17"/>
  <c r="BD56" i="13" s="1"/>
  <c r="Y57" i="16"/>
  <c r="AC242" i="17"/>
  <c r="BC56" i="13" s="1"/>
  <c r="P286" i="17"/>
  <c r="P271" i="17"/>
  <c r="P294" i="17"/>
  <c r="P280" i="17"/>
  <c r="AB231" i="17"/>
  <c r="AB240" i="17"/>
  <c r="X97" i="16" s="1"/>
  <c r="AD246" i="17"/>
  <c r="P282" i="17"/>
  <c r="AB230" i="17"/>
  <c r="AB224" i="17"/>
  <c r="X145" i="16" s="1"/>
  <c r="AB228" i="17"/>
  <c r="X226" i="16" s="1"/>
  <c r="AB194" i="17"/>
  <c r="X148" i="16" s="1"/>
  <c r="AB233" i="17"/>
  <c r="X207" i="16" s="1"/>
  <c r="AB243" i="17"/>
  <c r="X131" i="16" s="1"/>
  <c r="AB203" i="17"/>
  <c r="X237" i="16" s="1"/>
  <c r="P89" i="17"/>
  <c r="AB192" i="17"/>
  <c r="AB202" i="17"/>
  <c r="AB206" i="17"/>
  <c r="X44" i="16" s="1"/>
  <c r="AB198" i="17"/>
  <c r="X42" i="16" s="1"/>
  <c r="AB232" i="17"/>
  <c r="AB236" i="17"/>
  <c r="X186" i="16" s="1"/>
  <c r="AB237" i="17"/>
  <c r="AB218" i="17"/>
  <c r="X57" i="16" s="1"/>
  <c r="AB235" i="17"/>
  <c r="X256" i="16" s="1"/>
  <c r="AC245" i="17"/>
  <c r="AB190" i="17"/>
  <c r="X52" i="16" s="1"/>
  <c r="AC246" i="17"/>
  <c r="AB216" i="17"/>
  <c r="X117" i="16" s="1"/>
  <c r="AB187" i="17"/>
  <c r="AC241" i="17"/>
  <c r="AD241" i="17"/>
  <c r="Y199" i="16" s="1"/>
  <c r="AB238" i="17"/>
  <c r="X102" i="16" s="1"/>
  <c r="AB223" i="17"/>
  <c r="X101" i="16" s="1"/>
  <c r="AB227" i="17"/>
  <c r="X53" i="16" s="1"/>
  <c r="Z3" i="13"/>
  <c r="B3" i="20" s="1"/>
  <c r="Z4" i="13"/>
  <c r="B4" i="20" s="1"/>
  <c r="Z5" i="13"/>
  <c r="B5" i="20" s="1"/>
  <c r="Z6" i="13"/>
  <c r="B6" i="20" s="1"/>
  <c r="Z7" i="13"/>
  <c r="B7" i="20" s="1"/>
  <c r="Z8" i="13"/>
  <c r="B8" i="20" s="1"/>
  <c r="Z9" i="13"/>
  <c r="B9" i="20" s="1"/>
  <c r="Z10" i="13"/>
  <c r="B10" i="20" s="1"/>
  <c r="Z11" i="13"/>
  <c r="B11" i="20" s="1"/>
  <c r="Z12" i="13"/>
  <c r="B12" i="20" s="1"/>
  <c r="Z13" i="13"/>
  <c r="B13" i="20" s="1"/>
  <c r="Z14" i="13"/>
  <c r="B14" i="20" s="1"/>
  <c r="Z16" i="13"/>
  <c r="B16" i="20" s="1"/>
  <c r="Z19" i="13"/>
  <c r="B19" i="20" s="1"/>
  <c r="Z20" i="13"/>
  <c r="B20" i="20" s="1"/>
  <c r="Z21" i="13"/>
  <c r="B21" i="20" s="1"/>
  <c r="Z22" i="13"/>
  <c r="B22" i="20" s="1"/>
  <c r="Z23" i="13"/>
  <c r="B23" i="20" s="1"/>
  <c r="Z24" i="13"/>
  <c r="B24" i="20" s="1"/>
  <c r="Z25" i="13"/>
  <c r="B25" i="20" s="1"/>
  <c r="Z26" i="13"/>
  <c r="B26" i="20" s="1"/>
  <c r="Z27" i="13"/>
  <c r="B27" i="20" s="1"/>
  <c r="Z28" i="13"/>
  <c r="B28" i="20" s="1"/>
  <c r="Z29" i="13"/>
  <c r="B29" i="20" s="1"/>
  <c r="Z30" i="13"/>
  <c r="B30" i="20" s="1"/>
  <c r="Z31" i="13"/>
  <c r="B31" i="20" s="1"/>
  <c r="Z32" i="13"/>
  <c r="B32" i="20" s="1"/>
  <c r="Z33" i="13"/>
  <c r="B33" i="20" s="1"/>
  <c r="Z34" i="13"/>
  <c r="B34" i="20" s="1"/>
  <c r="Z35" i="13"/>
  <c r="B35" i="20" s="1"/>
  <c r="Z36" i="13"/>
  <c r="B36" i="20" s="1"/>
  <c r="Z37" i="13"/>
  <c r="B37" i="20" s="1"/>
  <c r="Z38" i="13"/>
  <c r="B38" i="20" s="1"/>
  <c r="Z39" i="13"/>
  <c r="B39" i="20" s="1"/>
  <c r="Z40" i="13"/>
  <c r="B40" i="20" s="1"/>
  <c r="Z41" i="13"/>
  <c r="B41" i="20" s="1"/>
  <c r="Z42" i="13"/>
  <c r="B42" i="20" s="1"/>
  <c r="Z43" i="13"/>
  <c r="B43" i="20" s="1"/>
  <c r="Z44" i="13"/>
  <c r="B44" i="20" s="1"/>
  <c r="Z45" i="13"/>
  <c r="B45" i="20" s="1"/>
  <c r="Z46" i="13"/>
  <c r="B46" i="20" s="1"/>
  <c r="Z47" i="13"/>
  <c r="B47" i="20" s="1"/>
  <c r="Z48" i="13"/>
  <c r="B48" i="20" s="1"/>
  <c r="Z49" i="13"/>
  <c r="B49" i="20" s="1"/>
  <c r="Z50" i="13"/>
  <c r="B50" i="20" s="1"/>
  <c r="Z51" i="13"/>
  <c r="B51" i="20" s="1"/>
  <c r="Z52" i="13"/>
  <c r="B52" i="20" s="1"/>
  <c r="Z53" i="13"/>
  <c r="B53" i="20" s="1"/>
  <c r="Z54" i="13"/>
  <c r="B54" i="20" s="1"/>
  <c r="Z55" i="13"/>
  <c r="B55" i="20" s="1"/>
  <c r="Z56" i="13"/>
  <c r="B56" i="20" s="1"/>
  <c r="Z57" i="13"/>
  <c r="B57" i="20" s="1"/>
  <c r="Z58" i="13"/>
  <c r="B58" i="20" s="1"/>
  <c r="Z59" i="13"/>
  <c r="B59" i="20" s="1"/>
  <c r="Z60" i="13"/>
  <c r="B60" i="20" s="1"/>
  <c r="Z61" i="13"/>
  <c r="B61" i="20" s="1"/>
  <c r="Z62" i="13"/>
  <c r="B62" i="20" s="1"/>
  <c r="Z63" i="13"/>
  <c r="B63" i="20" s="1"/>
  <c r="Z64" i="13"/>
  <c r="B64" i="20" s="1"/>
  <c r="Z65" i="13"/>
  <c r="B65" i="20" s="1"/>
  <c r="Z66" i="13"/>
  <c r="B66" i="20" s="1"/>
  <c r="Z67" i="13"/>
  <c r="B67" i="20" s="1"/>
  <c r="Z68" i="13"/>
  <c r="B68" i="20" s="1"/>
  <c r="Z69" i="13"/>
  <c r="B69" i="20" s="1"/>
  <c r="Z70" i="13"/>
  <c r="B70" i="20" s="1"/>
  <c r="Z71" i="13"/>
  <c r="B71" i="20" s="1"/>
  <c r="Z72" i="13"/>
  <c r="B72" i="20" s="1"/>
  <c r="Z73" i="13"/>
  <c r="B73" i="20" s="1"/>
  <c r="Z74" i="13"/>
  <c r="B74" i="20" s="1"/>
  <c r="Z75" i="13"/>
  <c r="B75" i="20" s="1"/>
  <c r="Z76" i="13"/>
  <c r="B76" i="20" s="1"/>
  <c r="Z77" i="13"/>
  <c r="B77" i="20" s="1"/>
  <c r="Z78" i="13"/>
  <c r="B78" i="20" s="1"/>
  <c r="Z79" i="13"/>
  <c r="B79" i="20" s="1"/>
  <c r="Z80" i="13"/>
  <c r="B80" i="20" s="1"/>
  <c r="Z81" i="13"/>
  <c r="B81" i="20" s="1"/>
  <c r="Z82" i="13"/>
  <c r="B82" i="20" s="1"/>
  <c r="Z83" i="13"/>
  <c r="B83" i="20" s="1"/>
  <c r="Z84" i="13"/>
  <c r="B84" i="20" s="1"/>
  <c r="Z85" i="13"/>
  <c r="B85" i="20" s="1"/>
  <c r="Z86" i="13"/>
  <c r="B86" i="20" s="1"/>
  <c r="Z87" i="13"/>
  <c r="B87" i="20" s="1"/>
  <c r="Z88" i="13"/>
  <c r="B88" i="20" s="1"/>
  <c r="Z89" i="13"/>
  <c r="B89" i="20" s="1"/>
  <c r="Z90" i="13"/>
  <c r="B90" i="20" s="1"/>
  <c r="Z91" i="13"/>
  <c r="B91" i="20" s="1"/>
  <c r="Z92" i="13"/>
  <c r="B92" i="20" s="1"/>
  <c r="Z93" i="13"/>
  <c r="B93" i="20" s="1"/>
  <c r="Z94" i="13"/>
  <c r="B94" i="20" s="1"/>
  <c r="Z95" i="13"/>
  <c r="B95" i="20" s="1"/>
  <c r="Z96" i="13"/>
  <c r="B96" i="20" s="1"/>
  <c r="Z97" i="13"/>
  <c r="B97" i="20" s="1"/>
  <c r="Z98" i="13"/>
  <c r="B98" i="20" s="1"/>
  <c r="Z99" i="13"/>
  <c r="B99" i="20" s="1"/>
  <c r="Z100" i="13"/>
  <c r="B100" i="20" s="1"/>
  <c r="Z101" i="13"/>
  <c r="B101" i="20" s="1"/>
  <c r="Z102" i="13"/>
  <c r="B102" i="20" s="1"/>
  <c r="Z103" i="13"/>
  <c r="B103" i="20" s="1"/>
  <c r="Z105" i="13"/>
  <c r="B105" i="20" s="1"/>
  <c r="Z106" i="13"/>
  <c r="B106" i="20" s="1"/>
  <c r="Z107" i="13"/>
  <c r="B107" i="20" s="1"/>
  <c r="Z108" i="13"/>
  <c r="B108" i="20" s="1"/>
  <c r="Z109" i="13"/>
  <c r="B109" i="20" s="1"/>
  <c r="Z110" i="13"/>
  <c r="B110" i="20" s="1"/>
  <c r="Z111" i="13"/>
  <c r="B111" i="20" s="1"/>
  <c r="Z112" i="13"/>
  <c r="B112" i="20" s="1"/>
  <c r="Z113" i="13"/>
  <c r="B113" i="20" s="1"/>
  <c r="Z114" i="13"/>
  <c r="B114" i="20" s="1"/>
  <c r="Z115" i="13"/>
  <c r="B115" i="20" s="1"/>
  <c r="Z116" i="13"/>
  <c r="B116" i="20" s="1"/>
  <c r="Z117" i="13"/>
  <c r="B117" i="20" s="1"/>
  <c r="Z118" i="13"/>
  <c r="B118" i="20" s="1"/>
  <c r="Z119" i="13"/>
  <c r="B119" i="20" s="1"/>
  <c r="Z120" i="13"/>
  <c r="B120" i="20" s="1"/>
  <c r="Z121" i="13"/>
  <c r="B121" i="20" s="1"/>
  <c r="Z122" i="13"/>
  <c r="B122" i="20" s="1"/>
  <c r="Z123" i="13"/>
  <c r="B123" i="20" s="1"/>
  <c r="Z124" i="13"/>
  <c r="B124" i="20" s="1"/>
  <c r="Z125" i="13"/>
  <c r="B125" i="20" s="1"/>
  <c r="Z126" i="13"/>
  <c r="B126" i="20" s="1"/>
  <c r="Z127" i="13"/>
  <c r="B127" i="20" s="1"/>
  <c r="Z128" i="13"/>
  <c r="B128" i="20" s="1"/>
  <c r="Z129" i="13"/>
  <c r="B129" i="20" s="1"/>
  <c r="Z130" i="13"/>
  <c r="B130" i="20" s="1"/>
  <c r="Z131" i="13"/>
  <c r="B131" i="20" s="1"/>
  <c r="Z132" i="13"/>
  <c r="B132" i="20" s="1"/>
  <c r="Z133" i="13"/>
  <c r="B133" i="20" s="1"/>
  <c r="Z134" i="13"/>
  <c r="B134" i="20" s="1"/>
  <c r="Z135" i="13"/>
  <c r="B135" i="20" s="1"/>
  <c r="Z136" i="13"/>
  <c r="B136" i="20" s="1"/>
  <c r="Z137" i="13"/>
  <c r="B137" i="20" s="1"/>
  <c r="Z138" i="13"/>
  <c r="B138" i="20" s="1"/>
  <c r="Z139" i="13"/>
  <c r="B139" i="20" s="1"/>
  <c r="Z140" i="13"/>
  <c r="B140" i="20" s="1"/>
  <c r="Z141" i="13"/>
  <c r="B141" i="20" s="1"/>
  <c r="Z142" i="13"/>
  <c r="B142" i="20" s="1"/>
  <c r="Z143" i="13"/>
  <c r="B143" i="20" s="1"/>
  <c r="Z144" i="13"/>
  <c r="B144" i="20" s="1"/>
  <c r="Z145" i="13"/>
  <c r="B145" i="20" s="1"/>
  <c r="Z146" i="13"/>
  <c r="B146" i="20" s="1"/>
  <c r="Z147" i="13"/>
  <c r="B147" i="20" s="1"/>
  <c r="Z148" i="13"/>
  <c r="B148" i="20" s="1"/>
  <c r="Z149" i="13"/>
  <c r="B149" i="20" s="1"/>
  <c r="Z150" i="13"/>
  <c r="B150" i="20" s="1"/>
  <c r="Z151" i="13"/>
  <c r="B151" i="20" s="1"/>
  <c r="Z152" i="13"/>
  <c r="B152" i="20" s="1"/>
  <c r="Z153" i="13"/>
  <c r="B153" i="20" s="1"/>
  <c r="Z154" i="13"/>
  <c r="B154" i="20" s="1"/>
  <c r="Z155" i="13"/>
  <c r="B155" i="20" s="1"/>
  <c r="Z156" i="13"/>
  <c r="B156" i="20" s="1"/>
  <c r="Z157" i="13"/>
  <c r="B157" i="20" s="1"/>
  <c r="Z158" i="13"/>
  <c r="B158" i="20" s="1"/>
  <c r="Z159" i="13"/>
  <c r="B159" i="20" s="1"/>
  <c r="Z160" i="13"/>
  <c r="B160" i="20" s="1"/>
  <c r="Z161" i="13"/>
  <c r="B161" i="20" s="1"/>
  <c r="Z162" i="13"/>
  <c r="B162" i="20" s="1"/>
  <c r="Z163" i="13"/>
  <c r="B163" i="20" s="1"/>
  <c r="Z164" i="13"/>
  <c r="B164" i="20" s="1"/>
  <c r="Z165" i="13"/>
  <c r="B165" i="20" s="1"/>
  <c r="Z166" i="13"/>
  <c r="B166" i="20" s="1"/>
  <c r="Z167" i="13"/>
  <c r="B167" i="20" s="1"/>
  <c r="Z168" i="13"/>
  <c r="B168" i="20" s="1"/>
  <c r="Z169" i="13"/>
  <c r="B169" i="20" s="1"/>
  <c r="Z170" i="13"/>
  <c r="B170" i="20" s="1"/>
  <c r="Z171" i="13"/>
  <c r="B171" i="20" s="1"/>
  <c r="Z172" i="13"/>
  <c r="B172" i="20" s="1"/>
  <c r="Z173" i="13"/>
  <c r="B173" i="20" s="1"/>
  <c r="Z174" i="13"/>
  <c r="B174" i="20" s="1"/>
  <c r="Z175" i="13"/>
  <c r="B175" i="20" s="1"/>
  <c r="Z176" i="13"/>
  <c r="B176" i="20" s="1"/>
  <c r="Z177" i="13"/>
  <c r="B177" i="20" s="1"/>
  <c r="Z178" i="13"/>
  <c r="B178" i="20" s="1"/>
  <c r="Z179" i="13"/>
  <c r="B179" i="20" s="1"/>
  <c r="Z180" i="13"/>
  <c r="B180" i="20" s="1"/>
  <c r="Z181" i="13"/>
  <c r="B181" i="20" s="1"/>
  <c r="Z182" i="13"/>
  <c r="B182" i="20" s="1"/>
  <c r="Z183" i="13"/>
  <c r="B183" i="20" s="1"/>
  <c r="Z184" i="13"/>
  <c r="B184" i="20" s="1"/>
  <c r="Z185" i="13"/>
  <c r="B185" i="20" s="1"/>
  <c r="Z186" i="13"/>
  <c r="B186" i="20" s="1"/>
  <c r="Z187" i="13"/>
  <c r="B187" i="20" s="1"/>
  <c r="Z188" i="13"/>
  <c r="B188" i="20" s="1"/>
  <c r="Z189" i="13"/>
  <c r="B189" i="20" s="1"/>
  <c r="Z190" i="13"/>
  <c r="B190" i="20" s="1"/>
  <c r="Z191" i="13"/>
  <c r="B191" i="20" s="1"/>
  <c r="Z192" i="13"/>
  <c r="B192" i="20" s="1"/>
  <c r="Z193" i="13"/>
  <c r="B193" i="20" s="1"/>
  <c r="Z194" i="13"/>
  <c r="B194" i="20" s="1"/>
  <c r="Z195" i="13"/>
  <c r="B195" i="20" s="1"/>
  <c r="Z196" i="13"/>
  <c r="B196" i="20" s="1"/>
  <c r="Z197" i="13"/>
  <c r="B197" i="20" s="1"/>
  <c r="Z198" i="13"/>
  <c r="B198" i="20" s="1"/>
  <c r="Z199" i="13"/>
  <c r="B199" i="20" s="1"/>
  <c r="Z200" i="13"/>
  <c r="B200" i="20" s="1"/>
  <c r="Z201" i="13"/>
  <c r="B201" i="20" s="1"/>
  <c r="Z202" i="13"/>
  <c r="B202" i="20" s="1"/>
  <c r="Z203" i="13"/>
  <c r="B203" i="20" s="1"/>
  <c r="Z204" i="13"/>
  <c r="B204" i="20" s="1"/>
  <c r="Z205" i="13"/>
  <c r="B205" i="20" s="1"/>
  <c r="Z206" i="13"/>
  <c r="B206" i="20" s="1"/>
  <c r="Z207" i="13"/>
  <c r="B207" i="20" s="1"/>
  <c r="Z208" i="13"/>
  <c r="B208" i="20" s="1"/>
  <c r="Z209" i="13"/>
  <c r="B209" i="20" s="1"/>
  <c r="Z210" i="13"/>
  <c r="B210" i="20" s="1"/>
  <c r="Z211" i="13"/>
  <c r="B211" i="20" s="1"/>
  <c r="Z212" i="13"/>
  <c r="B212" i="20" s="1"/>
  <c r="Z213" i="13"/>
  <c r="B213" i="20" s="1"/>
  <c r="Z214" i="13"/>
  <c r="B214" i="20" s="1"/>
  <c r="Z215" i="13"/>
  <c r="B215" i="20" s="1"/>
  <c r="Z216" i="13"/>
  <c r="B216" i="20" s="1"/>
  <c r="Z217" i="13"/>
  <c r="B217" i="20" s="1"/>
  <c r="Z218" i="13"/>
  <c r="B218" i="20" s="1"/>
  <c r="Z219" i="13"/>
  <c r="B219" i="20" s="1"/>
  <c r="Z220" i="13"/>
  <c r="B220" i="20" s="1"/>
  <c r="Z221" i="13"/>
  <c r="B221" i="20" s="1"/>
  <c r="Z222" i="13"/>
  <c r="B222" i="20" s="1"/>
  <c r="Z223" i="13"/>
  <c r="B223" i="20" s="1"/>
  <c r="Z224" i="13"/>
  <c r="B224" i="20" s="1"/>
  <c r="Z225" i="13"/>
  <c r="B225" i="20" s="1"/>
  <c r="Z226" i="13"/>
  <c r="B226" i="20" s="1"/>
  <c r="Z227" i="13"/>
  <c r="B227" i="20" s="1"/>
  <c r="Z228" i="13"/>
  <c r="B228" i="20" s="1"/>
  <c r="Z229" i="13"/>
  <c r="B229" i="20" s="1"/>
  <c r="Z230" i="13"/>
  <c r="B230" i="20" s="1"/>
  <c r="Z231" i="13"/>
  <c r="B231" i="20" s="1"/>
  <c r="Z232" i="13"/>
  <c r="B232" i="20" s="1"/>
  <c r="Z233" i="13"/>
  <c r="B233" i="20" s="1"/>
  <c r="Z234" i="13"/>
  <c r="B234" i="20" s="1"/>
  <c r="Z235" i="13"/>
  <c r="B235" i="20" s="1"/>
  <c r="Z236" i="13"/>
  <c r="B236" i="20" s="1"/>
  <c r="Z237" i="13"/>
  <c r="B237" i="20" s="1"/>
  <c r="Z238" i="13"/>
  <c r="B238" i="20" s="1"/>
  <c r="Z239" i="13"/>
  <c r="B239" i="20" s="1"/>
  <c r="Z240" i="13"/>
  <c r="B240" i="20" s="1"/>
  <c r="Z242" i="13"/>
  <c r="B242" i="20" s="1"/>
  <c r="Z243" i="13"/>
  <c r="B243" i="20" s="1"/>
  <c r="Z244" i="13"/>
  <c r="B244" i="20" s="1"/>
  <c r="Z245" i="13"/>
  <c r="B245" i="20" s="1"/>
  <c r="Z246" i="13"/>
  <c r="B246" i="20" s="1"/>
  <c r="Z247" i="13"/>
  <c r="B247" i="20" s="1"/>
  <c r="Z248" i="13"/>
  <c r="B248" i="20" s="1"/>
  <c r="Z249" i="13"/>
  <c r="B249" i="20" s="1"/>
  <c r="Z250" i="13"/>
  <c r="B250" i="20" s="1"/>
  <c r="Z251" i="13"/>
  <c r="B251" i="20" s="1"/>
  <c r="Z252" i="13"/>
  <c r="B252" i="20" s="1"/>
  <c r="Z253" i="13"/>
  <c r="B253" i="20" s="1"/>
  <c r="Z254" i="13"/>
  <c r="B254" i="20" s="1"/>
  <c r="Z255" i="13"/>
  <c r="B255" i="20" s="1"/>
  <c r="Z256" i="13"/>
  <c r="B256" i="20" s="1"/>
  <c r="Z257" i="13"/>
  <c r="B257" i="20" s="1"/>
  <c r="Z258" i="13"/>
  <c r="B258" i="20" s="1"/>
  <c r="Z259" i="13"/>
  <c r="B259" i="20" s="1"/>
  <c r="Z260" i="13"/>
  <c r="B260" i="20" s="1"/>
  <c r="Z2" i="13"/>
  <c r="B2" i="20" s="1"/>
  <c r="X146" i="16" l="1"/>
  <c r="Y56" i="16"/>
  <c r="Y118" i="16"/>
  <c r="Y51" i="16"/>
  <c r="T51" i="16"/>
  <c r="T49" i="16"/>
  <c r="AB242" i="17"/>
  <c r="X56" i="16"/>
  <c r="AB245" i="17"/>
  <c r="X51" i="16"/>
  <c r="AB246" i="17"/>
  <c r="X118" i="16" s="1"/>
  <c r="AB241" i="17"/>
  <c r="X199" i="16" s="1"/>
  <c r="CS264" i="13" l="1"/>
  <c r="CS272" i="13"/>
  <c r="Y255" i="13"/>
  <c r="R28" i="13" l="1"/>
  <c r="P2" i="13"/>
  <c r="O2" i="13"/>
  <c r="N2" i="13"/>
  <c r="S2" i="13" l="1"/>
  <c r="F59" i="5"/>
  <c r="E59" i="5"/>
  <c r="D59" i="5"/>
  <c r="CT276" i="13" l="1"/>
  <c r="CS276" i="13"/>
  <c r="CT268" i="13"/>
  <c r="CS268" i="13"/>
  <c r="AR269" i="13"/>
  <c r="Y3" i="13" l="1"/>
  <c r="Y4" i="13"/>
  <c r="Y5" i="13"/>
  <c r="Y6" i="13"/>
  <c r="Y7" i="13"/>
  <c r="Y8" i="13"/>
  <c r="Y9" i="13"/>
  <c r="Y10" i="13"/>
  <c r="Y11" i="13"/>
  <c r="Y12" i="13"/>
  <c r="Y13" i="13"/>
  <c r="Y14" i="13"/>
  <c r="Y16" i="13"/>
  <c r="Y19" i="13"/>
  <c r="Y20" i="13"/>
  <c r="Y21" i="13"/>
  <c r="Y22" i="13"/>
  <c r="Y23" i="13"/>
  <c r="Y24" i="13"/>
  <c r="Y25" i="13"/>
  <c r="Y26" i="13"/>
  <c r="Y27" i="13"/>
  <c r="Y28" i="13"/>
  <c r="Y29" i="13"/>
  <c r="Y30" i="13"/>
  <c r="Y31" i="13"/>
  <c r="Y32" i="13"/>
  <c r="Y33" i="13"/>
  <c r="Y34" i="13"/>
  <c r="Y35" i="13"/>
  <c r="Y36" i="13"/>
  <c r="Y37" i="13"/>
  <c r="Y38" i="13"/>
  <c r="Y39" i="13"/>
  <c r="Y40" i="13"/>
  <c r="Y41" i="13"/>
  <c r="Y42" i="13"/>
  <c r="Y43" i="13"/>
  <c r="Y44" i="13"/>
  <c r="Y45" i="13"/>
  <c r="Y46" i="13"/>
  <c r="Y47" i="13"/>
  <c r="Y48" i="13"/>
  <c r="Y49" i="13"/>
  <c r="Y50" i="13"/>
  <c r="Y51" i="13"/>
  <c r="Y52" i="13"/>
  <c r="Y53" i="13"/>
  <c r="Y54" i="13"/>
  <c r="Y55" i="13"/>
  <c r="Y56" i="13"/>
  <c r="Y57" i="13"/>
  <c r="Y58" i="13"/>
  <c r="Y59" i="13"/>
  <c r="Y60" i="13"/>
  <c r="Y61" i="13"/>
  <c r="Y62" i="13"/>
  <c r="Y63" i="13"/>
  <c r="Y64" i="13"/>
  <c r="Y65" i="13"/>
  <c r="Y66" i="13"/>
  <c r="Y67" i="13"/>
  <c r="Y68" i="13"/>
  <c r="Y69" i="13"/>
  <c r="Y70" i="13"/>
  <c r="Y71" i="13"/>
  <c r="Y72" i="13"/>
  <c r="Y73" i="13"/>
  <c r="Y74" i="13"/>
  <c r="Y75" i="13"/>
  <c r="Y76" i="13"/>
  <c r="Y77" i="13"/>
  <c r="Y78" i="13"/>
  <c r="Y79" i="13"/>
  <c r="Y80" i="13"/>
  <c r="Y81" i="13"/>
  <c r="Y82" i="13"/>
  <c r="Y83" i="13"/>
  <c r="Y84" i="13"/>
  <c r="Y85" i="13"/>
  <c r="Y86" i="13"/>
  <c r="Y87" i="13"/>
  <c r="Y88" i="13"/>
  <c r="Y89" i="13"/>
  <c r="Y90" i="13"/>
  <c r="Y91" i="13"/>
  <c r="Y92" i="13"/>
  <c r="Y93" i="13"/>
  <c r="Y94" i="13"/>
  <c r="Y95" i="13"/>
  <c r="Y96" i="13"/>
  <c r="Y97" i="13"/>
  <c r="Y98" i="13"/>
  <c r="Y99" i="13"/>
  <c r="Y100" i="13"/>
  <c r="Y101" i="13"/>
  <c r="Y102" i="13"/>
  <c r="Y103" i="13"/>
  <c r="Y104" i="13"/>
  <c r="Y105" i="13"/>
  <c r="Y106" i="13"/>
  <c r="Y107" i="13"/>
  <c r="Y108" i="13"/>
  <c r="Y109" i="13"/>
  <c r="Y110" i="13"/>
  <c r="Y111" i="13"/>
  <c r="Y112" i="13"/>
  <c r="Y113" i="13"/>
  <c r="Y114" i="13"/>
  <c r="Y115" i="13"/>
  <c r="Y116" i="13"/>
  <c r="Y117" i="13"/>
  <c r="Y118" i="13"/>
  <c r="Y119" i="13"/>
  <c r="Y120" i="13"/>
  <c r="Y121" i="13"/>
  <c r="Y122" i="13"/>
  <c r="Y123" i="13"/>
  <c r="Y124" i="13"/>
  <c r="Y125" i="13"/>
  <c r="Y126" i="13"/>
  <c r="Y127" i="13"/>
  <c r="Y128" i="13"/>
  <c r="Y129" i="13"/>
  <c r="Y130" i="13"/>
  <c r="Y131" i="13"/>
  <c r="Y132" i="13"/>
  <c r="Y133" i="13"/>
  <c r="Y134" i="13"/>
  <c r="Y135" i="13"/>
  <c r="Y136" i="13"/>
  <c r="Y137" i="13"/>
  <c r="Y138" i="13"/>
  <c r="Y139" i="13"/>
  <c r="Y140" i="13"/>
  <c r="Y141" i="13"/>
  <c r="Y142" i="13"/>
  <c r="Y143" i="13"/>
  <c r="Y144" i="13"/>
  <c r="Y145" i="13"/>
  <c r="Y146" i="13"/>
  <c r="Y147" i="13"/>
  <c r="Y148" i="13"/>
  <c r="Y149" i="13"/>
  <c r="Y150" i="13"/>
  <c r="Y151" i="13"/>
  <c r="Y152" i="13"/>
  <c r="Y153" i="13"/>
  <c r="Y154" i="13"/>
  <c r="Y155" i="13"/>
  <c r="Y156" i="13"/>
  <c r="Y157" i="13"/>
  <c r="Y158" i="13"/>
  <c r="Y159" i="13"/>
  <c r="Y160" i="13"/>
  <c r="Y161" i="13"/>
  <c r="Y162" i="13"/>
  <c r="Y163" i="13"/>
  <c r="Y164" i="13"/>
  <c r="Y165" i="13"/>
  <c r="Y166" i="13"/>
  <c r="Y167" i="13"/>
  <c r="Y168" i="13"/>
  <c r="Y169" i="13"/>
  <c r="Y170" i="13"/>
  <c r="Y171" i="13"/>
  <c r="Y172" i="13"/>
  <c r="Y173" i="13"/>
  <c r="Y174" i="13"/>
  <c r="Y175" i="13"/>
  <c r="Y176" i="13"/>
  <c r="Y177" i="13"/>
  <c r="Y178" i="13"/>
  <c r="Y179" i="13"/>
  <c r="Y180" i="13"/>
  <c r="Y181" i="13"/>
  <c r="Y182" i="13"/>
  <c r="Y183" i="13"/>
  <c r="Y184" i="13"/>
  <c r="Y185" i="13"/>
  <c r="Y186" i="13"/>
  <c r="Y187" i="13"/>
  <c r="Y188" i="13"/>
  <c r="Y189" i="13"/>
  <c r="Y190" i="13"/>
  <c r="Y191" i="13"/>
  <c r="Y192" i="13"/>
  <c r="Y193" i="13"/>
  <c r="Y194" i="13"/>
  <c r="Y195" i="13"/>
  <c r="Y196" i="13"/>
  <c r="Y197" i="13"/>
  <c r="Y198" i="13"/>
  <c r="Y199" i="13"/>
  <c r="Y200" i="13"/>
  <c r="Y201" i="13"/>
  <c r="Y202" i="13"/>
  <c r="Y203" i="13"/>
  <c r="Y204" i="13"/>
  <c r="Y205" i="13"/>
  <c r="Y206" i="13"/>
  <c r="Y207" i="13"/>
  <c r="Y208" i="13"/>
  <c r="Y209" i="13"/>
  <c r="Y210" i="13"/>
  <c r="Y211" i="13"/>
  <c r="Y212" i="13"/>
  <c r="Y213" i="13"/>
  <c r="Y214" i="13"/>
  <c r="Y215" i="13"/>
  <c r="Y216" i="13"/>
  <c r="Y217" i="13"/>
  <c r="Y218" i="13"/>
  <c r="Y219" i="13"/>
  <c r="Y220" i="13"/>
  <c r="Y221" i="13"/>
  <c r="Y222" i="13"/>
  <c r="Y223" i="13"/>
  <c r="Y224" i="13"/>
  <c r="Y225" i="13"/>
  <c r="Y226" i="13"/>
  <c r="Y227" i="13"/>
  <c r="Y228" i="13"/>
  <c r="Y229" i="13"/>
  <c r="Y230" i="13"/>
  <c r="Y231" i="13"/>
  <c r="Y232" i="13"/>
  <c r="Y233" i="13"/>
  <c r="Y234" i="13"/>
  <c r="Y235" i="13"/>
  <c r="Y236" i="13"/>
  <c r="Y237" i="13"/>
  <c r="Y238" i="13"/>
  <c r="Y239" i="13"/>
  <c r="Y240" i="13"/>
  <c r="Y242" i="13"/>
  <c r="Y243" i="13"/>
  <c r="Y244" i="13"/>
  <c r="Y245" i="13"/>
  <c r="Y246" i="13"/>
  <c r="Y247" i="13"/>
  <c r="Y248" i="13"/>
  <c r="Y249" i="13"/>
  <c r="Y250" i="13"/>
  <c r="Y251" i="13"/>
  <c r="Y252" i="13"/>
  <c r="Y253" i="13"/>
  <c r="Y254" i="13"/>
  <c r="Y256" i="13"/>
  <c r="Y257" i="13"/>
  <c r="Y258" i="13"/>
  <c r="Y259" i="13"/>
  <c r="Y260" i="13"/>
  <c r="Y2" i="13"/>
  <c r="R260" i="13"/>
  <c r="R259" i="13"/>
  <c r="R258" i="13"/>
  <c r="R257" i="13"/>
  <c r="R256" i="13"/>
  <c r="R255" i="13"/>
  <c r="R254" i="13"/>
  <c r="R253" i="13"/>
  <c r="R252" i="13"/>
  <c r="R251" i="13"/>
  <c r="R250" i="13"/>
  <c r="R249" i="13"/>
  <c r="R248" i="13"/>
  <c r="R247" i="13"/>
  <c r="R246" i="13"/>
  <c r="R245" i="13"/>
  <c r="R244" i="13"/>
  <c r="R243" i="13"/>
  <c r="R242" i="13"/>
  <c r="R240" i="13"/>
  <c r="R239" i="13"/>
  <c r="R238" i="13"/>
  <c r="R237" i="13"/>
  <c r="R236" i="13"/>
  <c r="R235" i="13"/>
  <c r="R234" i="13"/>
  <c r="R233" i="13"/>
  <c r="R232" i="13"/>
  <c r="R231" i="13"/>
  <c r="R230" i="13"/>
  <c r="R229" i="13"/>
  <c r="R228" i="13"/>
  <c r="R227" i="13"/>
  <c r="R226" i="13"/>
  <c r="R225" i="13"/>
  <c r="R224" i="13"/>
  <c r="R223" i="13"/>
  <c r="R222" i="13"/>
  <c r="R221" i="13"/>
  <c r="R220" i="13"/>
  <c r="R219" i="13"/>
  <c r="R218" i="13"/>
  <c r="R217" i="13"/>
  <c r="R216" i="13"/>
  <c r="R215" i="13"/>
  <c r="R214" i="13"/>
  <c r="R213" i="13"/>
  <c r="R212" i="13"/>
  <c r="R211" i="13"/>
  <c r="R210" i="13"/>
  <c r="R209" i="13"/>
  <c r="R208" i="13"/>
  <c r="R207" i="13"/>
  <c r="R206" i="13"/>
  <c r="R205" i="13"/>
  <c r="R204" i="13"/>
  <c r="R203" i="13"/>
  <c r="R202" i="13"/>
  <c r="R201" i="13"/>
  <c r="R200" i="13"/>
  <c r="R199" i="13"/>
  <c r="R198" i="13"/>
  <c r="R197" i="13"/>
  <c r="R196" i="13"/>
  <c r="R195" i="13"/>
  <c r="R194" i="13"/>
  <c r="R193" i="13"/>
  <c r="R192" i="13"/>
  <c r="R191" i="13"/>
  <c r="R190" i="13"/>
  <c r="R189" i="13"/>
  <c r="R188" i="13"/>
  <c r="R187" i="13"/>
  <c r="R186" i="13"/>
  <c r="R185" i="13"/>
  <c r="R184" i="13"/>
  <c r="R183" i="13"/>
  <c r="R182" i="13"/>
  <c r="R181" i="13"/>
  <c r="R180" i="13"/>
  <c r="R179" i="13"/>
  <c r="R178" i="13"/>
  <c r="R177" i="13"/>
  <c r="R176" i="13"/>
  <c r="R175" i="13"/>
  <c r="R174" i="13"/>
  <c r="R173" i="13"/>
  <c r="R172" i="13"/>
  <c r="R171" i="13"/>
  <c r="R170" i="13"/>
  <c r="R169" i="13"/>
  <c r="R168" i="13"/>
  <c r="R167" i="13"/>
  <c r="R166" i="13"/>
  <c r="R165" i="13"/>
  <c r="R164" i="13"/>
  <c r="R163" i="13"/>
  <c r="R162" i="13"/>
  <c r="R161" i="13"/>
  <c r="R160" i="13"/>
  <c r="R159" i="13"/>
  <c r="R158" i="13"/>
  <c r="R157" i="13"/>
  <c r="R156" i="13"/>
  <c r="R155" i="13"/>
  <c r="R154" i="13"/>
  <c r="R153" i="13"/>
  <c r="R152" i="13"/>
  <c r="R151" i="13"/>
  <c r="R150" i="13"/>
  <c r="R149" i="13"/>
  <c r="R148" i="13"/>
  <c r="R147" i="13"/>
  <c r="R146" i="13"/>
  <c r="R145" i="13"/>
  <c r="R144" i="13"/>
  <c r="R143" i="13"/>
  <c r="R142" i="13"/>
  <c r="R141" i="13"/>
  <c r="R140" i="13"/>
  <c r="R139" i="13"/>
  <c r="R138" i="13"/>
  <c r="R137" i="13"/>
  <c r="R136" i="13"/>
  <c r="R135" i="13"/>
  <c r="R134" i="13"/>
  <c r="R133" i="13"/>
  <c r="R132" i="13"/>
  <c r="R131" i="13"/>
  <c r="R130" i="13"/>
  <c r="R129" i="13"/>
  <c r="R128" i="13"/>
  <c r="R127" i="13"/>
  <c r="R126" i="13"/>
  <c r="R125" i="13"/>
  <c r="R124" i="13"/>
  <c r="R123" i="13"/>
  <c r="R122" i="13"/>
  <c r="R121" i="13"/>
  <c r="R120" i="13"/>
  <c r="R119" i="13"/>
  <c r="R118" i="13"/>
  <c r="R117" i="13"/>
  <c r="R116" i="13"/>
  <c r="R115" i="13"/>
  <c r="R114" i="13"/>
  <c r="R113" i="13"/>
  <c r="R112" i="13"/>
  <c r="R111" i="13"/>
  <c r="R110" i="13"/>
  <c r="R109" i="13"/>
  <c r="R108" i="13"/>
  <c r="R107" i="13"/>
  <c r="R106" i="13"/>
  <c r="R105" i="13"/>
  <c r="R104" i="13"/>
  <c r="R103" i="13"/>
  <c r="R102" i="13"/>
  <c r="R101" i="13"/>
  <c r="R100" i="13"/>
  <c r="R99" i="13"/>
  <c r="R98" i="13"/>
  <c r="R97" i="13"/>
  <c r="R96" i="13"/>
  <c r="R95" i="13"/>
  <c r="R94" i="13"/>
  <c r="R93" i="13"/>
  <c r="R92" i="13"/>
  <c r="R91" i="13"/>
  <c r="R90" i="13"/>
  <c r="R89" i="13"/>
  <c r="R88" i="13"/>
  <c r="R87" i="13"/>
  <c r="R86" i="13"/>
  <c r="R85" i="13"/>
  <c r="R84" i="13"/>
  <c r="R83" i="13"/>
  <c r="R82" i="13"/>
  <c r="R81" i="13"/>
  <c r="R80" i="13"/>
  <c r="R79" i="13"/>
  <c r="R78" i="13"/>
  <c r="R77" i="13"/>
  <c r="R76" i="13"/>
  <c r="R75" i="13"/>
  <c r="R74" i="13"/>
  <c r="R73" i="13"/>
  <c r="R72" i="13"/>
  <c r="R71" i="13"/>
  <c r="R70" i="13"/>
  <c r="R69" i="13"/>
  <c r="R68" i="13"/>
  <c r="R67" i="13"/>
  <c r="R66" i="13"/>
  <c r="R65" i="13"/>
  <c r="R64" i="13"/>
  <c r="R63" i="13"/>
  <c r="R62" i="13"/>
  <c r="R61" i="13"/>
  <c r="R60" i="13"/>
  <c r="R59" i="13"/>
  <c r="R58" i="13"/>
  <c r="R57" i="13"/>
  <c r="R56" i="13"/>
  <c r="R55" i="13"/>
  <c r="R54" i="13"/>
  <c r="R53" i="13"/>
  <c r="R52" i="13"/>
  <c r="R51" i="13"/>
  <c r="R50" i="13"/>
  <c r="R49" i="13"/>
  <c r="R48" i="13"/>
  <c r="R47" i="13"/>
  <c r="R46" i="13"/>
  <c r="R45" i="13"/>
  <c r="R44" i="13"/>
  <c r="R43" i="13"/>
  <c r="R42" i="13"/>
  <c r="R41" i="13"/>
  <c r="R40" i="13"/>
  <c r="R39" i="13"/>
  <c r="R38" i="13"/>
  <c r="R37" i="13"/>
  <c r="R36" i="13"/>
  <c r="R35" i="13"/>
  <c r="R34" i="13"/>
  <c r="R33" i="13"/>
  <c r="R32" i="13"/>
  <c r="R31" i="13"/>
  <c r="R30" i="13"/>
  <c r="R29" i="13"/>
  <c r="R27" i="13"/>
  <c r="R26" i="13"/>
  <c r="R25" i="13"/>
  <c r="R24" i="13"/>
  <c r="R23" i="13"/>
  <c r="R22" i="13"/>
  <c r="R21" i="13"/>
  <c r="R20" i="13"/>
  <c r="R19" i="13"/>
  <c r="R17" i="13"/>
  <c r="R16" i="13"/>
  <c r="R14" i="13"/>
  <c r="R13" i="13"/>
  <c r="R12" i="13"/>
  <c r="R11" i="13"/>
  <c r="R3" i="13"/>
  <c r="R4" i="13"/>
  <c r="R5" i="13"/>
  <c r="R6" i="13"/>
  <c r="R7" i="13"/>
  <c r="R8" i="13"/>
  <c r="R9" i="13"/>
  <c r="R10" i="13"/>
  <c r="R2" i="13"/>
  <c r="P3" i="13"/>
  <c r="P4" i="13"/>
  <c r="P5" i="13"/>
  <c r="P6" i="13"/>
  <c r="P7" i="13"/>
  <c r="P8" i="13"/>
  <c r="P9" i="13"/>
  <c r="P10" i="13"/>
  <c r="P11" i="13"/>
  <c r="P12" i="13"/>
  <c r="P13" i="13"/>
  <c r="P14" i="13"/>
  <c r="P16" i="13"/>
  <c r="P17" i="13"/>
  <c r="P19" i="13"/>
  <c r="P20" i="13"/>
  <c r="P21" i="13"/>
  <c r="P22" i="13"/>
  <c r="P23" i="13"/>
  <c r="P24" i="13"/>
  <c r="P25" i="13"/>
  <c r="P26" i="13"/>
  <c r="P27" i="13"/>
  <c r="P28" i="13"/>
  <c r="P29" i="13"/>
  <c r="P30" i="13"/>
  <c r="P31" i="13"/>
  <c r="P32" i="13"/>
  <c r="P33" i="13"/>
  <c r="P34" i="13"/>
  <c r="P35" i="13"/>
  <c r="P36" i="13"/>
  <c r="P37" i="13"/>
  <c r="P38" i="13"/>
  <c r="P39" i="13"/>
  <c r="P40" i="13"/>
  <c r="P41" i="13"/>
  <c r="P42" i="13"/>
  <c r="P43" i="13"/>
  <c r="P44" i="13"/>
  <c r="P45" i="13"/>
  <c r="P46" i="13"/>
  <c r="P47" i="13"/>
  <c r="P48" i="13"/>
  <c r="P49" i="13"/>
  <c r="P50" i="13"/>
  <c r="P51" i="13"/>
  <c r="P52" i="13"/>
  <c r="P53" i="13"/>
  <c r="P54" i="13"/>
  <c r="P55" i="13"/>
  <c r="P56" i="13"/>
  <c r="P57" i="13"/>
  <c r="P58" i="13"/>
  <c r="P59" i="13"/>
  <c r="P60" i="13"/>
  <c r="P61" i="13"/>
  <c r="P62" i="13"/>
  <c r="P63" i="13"/>
  <c r="P64" i="13"/>
  <c r="P65" i="13"/>
  <c r="P66" i="13"/>
  <c r="P67" i="13"/>
  <c r="P68" i="13"/>
  <c r="P69" i="13"/>
  <c r="P70" i="13"/>
  <c r="P71" i="13"/>
  <c r="P72" i="13"/>
  <c r="P73" i="13"/>
  <c r="P74" i="13"/>
  <c r="P75" i="13"/>
  <c r="P76" i="13"/>
  <c r="P77" i="13"/>
  <c r="P78" i="13"/>
  <c r="P79" i="13"/>
  <c r="P80" i="13"/>
  <c r="P81" i="13"/>
  <c r="P82" i="13"/>
  <c r="P83" i="13"/>
  <c r="P84" i="13"/>
  <c r="P85" i="13"/>
  <c r="P86" i="13"/>
  <c r="P87" i="13"/>
  <c r="P88" i="13"/>
  <c r="P89" i="13"/>
  <c r="P90" i="13"/>
  <c r="P91" i="13"/>
  <c r="P92" i="13"/>
  <c r="P93" i="13"/>
  <c r="P94" i="13"/>
  <c r="P95" i="13"/>
  <c r="P96" i="13"/>
  <c r="P97" i="13"/>
  <c r="P98" i="13"/>
  <c r="P99" i="13"/>
  <c r="P100" i="13"/>
  <c r="P101" i="13"/>
  <c r="P102" i="13"/>
  <c r="P103" i="13"/>
  <c r="P104" i="13"/>
  <c r="P105" i="13"/>
  <c r="P106" i="13"/>
  <c r="P107" i="13"/>
  <c r="P108" i="13"/>
  <c r="P109" i="13"/>
  <c r="P110" i="13"/>
  <c r="P111" i="13"/>
  <c r="P112" i="13"/>
  <c r="P113" i="13"/>
  <c r="P114" i="13"/>
  <c r="P115" i="13"/>
  <c r="P116" i="13"/>
  <c r="P117" i="13"/>
  <c r="P118" i="13"/>
  <c r="P119" i="13"/>
  <c r="P120" i="13"/>
  <c r="P121" i="13"/>
  <c r="P122" i="13"/>
  <c r="P123" i="13"/>
  <c r="P124" i="13"/>
  <c r="P125" i="13"/>
  <c r="P126" i="13"/>
  <c r="P127" i="13"/>
  <c r="P128" i="13"/>
  <c r="P129" i="13"/>
  <c r="P130" i="13"/>
  <c r="P131" i="13"/>
  <c r="P132" i="13"/>
  <c r="P133" i="13"/>
  <c r="P134" i="13"/>
  <c r="P135" i="13"/>
  <c r="P136" i="13"/>
  <c r="P137" i="13"/>
  <c r="P138" i="13"/>
  <c r="P139" i="13"/>
  <c r="P140" i="13"/>
  <c r="P141" i="13"/>
  <c r="P142" i="13"/>
  <c r="P143" i="13"/>
  <c r="P144" i="13"/>
  <c r="P145" i="13"/>
  <c r="P146" i="13"/>
  <c r="P147" i="13"/>
  <c r="P148" i="13"/>
  <c r="P149" i="13"/>
  <c r="P150" i="13"/>
  <c r="P151" i="13"/>
  <c r="P152" i="13"/>
  <c r="P153" i="13"/>
  <c r="P154" i="13"/>
  <c r="P155" i="13"/>
  <c r="P156" i="13"/>
  <c r="P157" i="13"/>
  <c r="P158" i="13"/>
  <c r="P159" i="13"/>
  <c r="P160" i="13"/>
  <c r="P161" i="13"/>
  <c r="P162" i="13"/>
  <c r="P163" i="13"/>
  <c r="P164" i="13"/>
  <c r="P165" i="13"/>
  <c r="P166" i="13"/>
  <c r="P167" i="13"/>
  <c r="P168" i="13"/>
  <c r="P169" i="13"/>
  <c r="P170" i="13"/>
  <c r="P171" i="13"/>
  <c r="P172" i="13"/>
  <c r="P173" i="13"/>
  <c r="P174" i="13"/>
  <c r="P175" i="13"/>
  <c r="P176" i="13"/>
  <c r="P177" i="13"/>
  <c r="P178" i="13"/>
  <c r="P179" i="13"/>
  <c r="P180" i="13"/>
  <c r="P181" i="13"/>
  <c r="P182" i="13"/>
  <c r="P183" i="13"/>
  <c r="P184" i="13"/>
  <c r="P185" i="13"/>
  <c r="P186" i="13"/>
  <c r="P187" i="13"/>
  <c r="P188" i="13"/>
  <c r="P189" i="13"/>
  <c r="P190" i="13"/>
  <c r="P191" i="13"/>
  <c r="P192" i="13"/>
  <c r="P193" i="13"/>
  <c r="P194" i="13"/>
  <c r="P195" i="13"/>
  <c r="P196" i="13"/>
  <c r="P197" i="13"/>
  <c r="P198" i="13"/>
  <c r="P199" i="13"/>
  <c r="P200" i="13"/>
  <c r="P201" i="13"/>
  <c r="P202" i="13"/>
  <c r="P203" i="13"/>
  <c r="P204" i="13"/>
  <c r="P205" i="13"/>
  <c r="P206" i="13"/>
  <c r="P207" i="13"/>
  <c r="P208" i="13"/>
  <c r="P209" i="13"/>
  <c r="P210" i="13"/>
  <c r="P211" i="13"/>
  <c r="P212" i="13"/>
  <c r="P213" i="13"/>
  <c r="P214" i="13"/>
  <c r="P215" i="13"/>
  <c r="P216" i="13"/>
  <c r="P217" i="13"/>
  <c r="P218" i="13"/>
  <c r="P219" i="13"/>
  <c r="P220" i="13"/>
  <c r="P221" i="13"/>
  <c r="P222" i="13"/>
  <c r="P223" i="13"/>
  <c r="P224" i="13"/>
  <c r="P225" i="13"/>
  <c r="P226" i="13"/>
  <c r="P227" i="13"/>
  <c r="P228" i="13"/>
  <c r="P229" i="13"/>
  <c r="P230" i="13"/>
  <c r="P231" i="13"/>
  <c r="P232" i="13"/>
  <c r="P233" i="13"/>
  <c r="P234" i="13"/>
  <c r="P235" i="13"/>
  <c r="P236" i="13"/>
  <c r="P237" i="13"/>
  <c r="P238" i="13"/>
  <c r="P239" i="13"/>
  <c r="P240" i="13"/>
  <c r="P242" i="13"/>
  <c r="P243" i="13"/>
  <c r="P244" i="13"/>
  <c r="P245" i="13"/>
  <c r="P246" i="13"/>
  <c r="P247" i="13"/>
  <c r="P248" i="13"/>
  <c r="P249" i="13"/>
  <c r="P250" i="13"/>
  <c r="P251" i="13"/>
  <c r="P252" i="13"/>
  <c r="P253" i="13"/>
  <c r="P254" i="13"/>
  <c r="P255" i="13"/>
  <c r="P256" i="13"/>
  <c r="P257" i="13"/>
  <c r="P258" i="13"/>
  <c r="P259" i="13"/>
  <c r="P260" i="13"/>
  <c r="N28" i="13"/>
  <c r="O3" i="13"/>
  <c r="O4" i="13"/>
  <c r="O5" i="13"/>
  <c r="O6" i="13"/>
  <c r="O7" i="13"/>
  <c r="O8" i="13"/>
  <c r="O9" i="13"/>
  <c r="O10" i="13"/>
  <c r="O11" i="13"/>
  <c r="O12" i="13"/>
  <c r="O13" i="13"/>
  <c r="O14" i="13"/>
  <c r="O16" i="13"/>
  <c r="O17" i="13"/>
  <c r="O19" i="13"/>
  <c r="O20" i="13"/>
  <c r="O21" i="13"/>
  <c r="O22" i="13"/>
  <c r="O23" i="13"/>
  <c r="O24" i="13"/>
  <c r="O25" i="13"/>
  <c r="O26" i="13"/>
  <c r="O27" i="13"/>
  <c r="O28" i="13"/>
  <c r="O29" i="13"/>
  <c r="O30" i="13"/>
  <c r="O31" i="13"/>
  <c r="O32" i="13"/>
  <c r="O33" i="13"/>
  <c r="O34" i="13"/>
  <c r="O35" i="13"/>
  <c r="O36" i="13"/>
  <c r="AH36" i="13" s="1"/>
  <c r="O37" i="13"/>
  <c r="O38" i="13"/>
  <c r="O39" i="13"/>
  <c r="O40" i="13"/>
  <c r="O41" i="13"/>
  <c r="O42" i="13"/>
  <c r="O43" i="13"/>
  <c r="O44" i="13"/>
  <c r="O45" i="13"/>
  <c r="O46" i="13"/>
  <c r="O47" i="13"/>
  <c r="O48" i="13"/>
  <c r="O49" i="13"/>
  <c r="O50" i="13"/>
  <c r="O51" i="13"/>
  <c r="AH51" i="13" s="1"/>
  <c r="O52" i="13"/>
  <c r="AH52" i="13" s="1"/>
  <c r="O53" i="13"/>
  <c r="AH53" i="13" s="1"/>
  <c r="O54" i="13"/>
  <c r="AH54" i="13" s="1"/>
  <c r="O55" i="13"/>
  <c r="AH55" i="13" s="1"/>
  <c r="O56" i="13"/>
  <c r="AH56" i="13" s="1"/>
  <c r="O57" i="13"/>
  <c r="AH57" i="13" s="1"/>
  <c r="O58" i="13"/>
  <c r="O59" i="13"/>
  <c r="AH59" i="13" s="1"/>
  <c r="O60" i="13"/>
  <c r="O61" i="13"/>
  <c r="O62" i="13"/>
  <c r="O63" i="13"/>
  <c r="AH63" i="13" s="1"/>
  <c r="O64" i="13"/>
  <c r="O65" i="13"/>
  <c r="O66" i="13"/>
  <c r="O67" i="13"/>
  <c r="O68" i="13"/>
  <c r="O69" i="13"/>
  <c r="O70" i="13"/>
  <c r="O71" i="13"/>
  <c r="O72" i="13"/>
  <c r="AH72" i="13" s="1"/>
  <c r="O73" i="13"/>
  <c r="O74" i="13"/>
  <c r="O75" i="13"/>
  <c r="O76" i="13"/>
  <c r="O77" i="13"/>
  <c r="O78" i="13"/>
  <c r="O79" i="13"/>
  <c r="AH79" i="13" s="1"/>
  <c r="O80" i="13"/>
  <c r="AH80" i="13" s="1"/>
  <c r="O81" i="13"/>
  <c r="AH81" i="13" s="1"/>
  <c r="O82" i="13"/>
  <c r="AH82" i="13" s="1"/>
  <c r="O83" i="13"/>
  <c r="AH83" i="13" s="1"/>
  <c r="O84" i="13"/>
  <c r="AH84" i="13" s="1"/>
  <c r="O85" i="13"/>
  <c r="O86" i="13"/>
  <c r="O87" i="13"/>
  <c r="O88" i="13"/>
  <c r="O89" i="13"/>
  <c r="O90" i="13"/>
  <c r="O91" i="13"/>
  <c r="O92" i="13"/>
  <c r="O93" i="13"/>
  <c r="O94" i="13"/>
  <c r="O95" i="13"/>
  <c r="O96" i="13"/>
  <c r="O97" i="13"/>
  <c r="AH97" i="13" s="1"/>
  <c r="O98" i="13"/>
  <c r="AH98" i="13" s="1"/>
  <c r="O99" i="13"/>
  <c r="AH99" i="13" s="1"/>
  <c r="O100" i="13"/>
  <c r="AH100" i="13" s="1"/>
  <c r="O101" i="13"/>
  <c r="AH101" i="13" s="1"/>
  <c r="O102" i="13"/>
  <c r="AH102" i="13" s="1"/>
  <c r="O103" i="13"/>
  <c r="AH103" i="13" s="1"/>
  <c r="O104" i="13"/>
  <c r="AH104" i="13" s="1"/>
  <c r="O105" i="13"/>
  <c r="AH105" i="13" s="1"/>
  <c r="O106" i="13"/>
  <c r="AH106" i="13" s="1"/>
  <c r="O107" i="13"/>
  <c r="O108" i="13"/>
  <c r="O109" i="13"/>
  <c r="O110" i="13"/>
  <c r="O111" i="13"/>
  <c r="O112" i="13"/>
  <c r="O113" i="13"/>
  <c r="O114" i="13"/>
  <c r="O115" i="13"/>
  <c r="AH115" i="13" s="1"/>
  <c r="O116" i="13"/>
  <c r="AH116" i="13" s="1"/>
  <c r="O117" i="13"/>
  <c r="AH117" i="13" s="1"/>
  <c r="O118" i="13"/>
  <c r="AH118" i="13" s="1"/>
  <c r="O119" i="13"/>
  <c r="AH119" i="13" s="1"/>
  <c r="O120" i="13"/>
  <c r="AH120" i="13" s="1"/>
  <c r="O121" i="13"/>
  <c r="O122" i="13"/>
  <c r="O123" i="13"/>
  <c r="O124" i="13"/>
  <c r="O125" i="13"/>
  <c r="O126" i="13"/>
  <c r="O127" i="13"/>
  <c r="O128" i="13"/>
  <c r="O129" i="13"/>
  <c r="O130" i="13"/>
  <c r="O131" i="13"/>
  <c r="AH131" i="13" s="1"/>
  <c r="O132" i="13"/>
  <c r="AH132" i="13" s="1"/>
  <c r="O133" i="13"/>
  <c r="O134" i="13"/>
  <c r="O135" i="13"/>
  <c r="O136" i="13"/>
  <c r="O137" i="13"/>
  <c r="AH137" i="13" s="1"/>
  <c r="O138" i="13"/>
  <c r="O139" i="13"/>
  <c r="O140" i="13"/>
  <c r="AH140" i="13" s="1"/>
  <c r="O141" i="13"/>
  <c r="AH141" i="13" s="1"/>
  <c r="O142" i="13"/>
  <c r="AH142" i="13" s="1"/>
  <c r="O143" i="13"/>
  <c r="AH143" i="13" s="1"/>
  <c r="O144" i="13"/>
  <c r="O145" i="13"/>
  <c r="O146" i="13"/>
  <c r="O147" i="13"/>
  <c r="O148" i="13"/>
  <c r="O149" i="13"/>
  <c r="O150" i="13"/>
  <c r="O151" i="13"/>
  <c r="O152" i="13"/>
  <c r="O153" i="13"/>
  <c r="O154" i="13"/>
  <c r="O155" i="13"/>
  <c r="O156" i="13"/>
  <c r="O157" i="13"/>
  <c r="O158" i="13"/>
  <c r="O159" i="13"/>
  <c r="AH159" i="13" s="1"/>
  <c r="O160" i="13"/>
  <c r="O161" i="13"/>
  <c r="AH161" i="13" s="1"/>
  <c r="O162" i="13"/>
  <c r="AH162" i="13" s="1"/>
  <c r="O163" i="13"/>
  <c r="O164" i="13"/>
  <c r="O165" i="13"/>
  <c r="O166" i="13"/>
  <c r="AH166" i="13" s="1"/>
  <c r="O167" i="13"/>
  <c r="AH167" i="13" s="1"/>
  <c r="O168" i="13"/>
  <c r="O169" i="13"/>
  <c r="O170" i="13"/>
  <c r="O171" i="13"/>
  <c r="O172" i="13"/>
  <c r="AH172" i="13" s="1"/>
  <c r="O173" i="13"/>
  <c r="AH173" i="13" s="1"/>
  <c r="O174" i="13"/>
  <c r="AH174" i="13" s="1"/>
  <c r="O175" i="13"/>
  <c r="O176" i="13"/>
  <c r="O177" i="13"/>
  <c r="O178" i="13"/>
  <c r="O179" i="13"/>
  <c r="O180" i="13"/>
  <c r="O181" i="13"/>
  <c r="O182" i="13"/>
  <c r="O183" i="13"/>
  <c r="O184" i="13"/>
  <c r="O185" i="13"/>
  <c r="O186" i="13"/>
  <c r="O187" i="13"/>
  <c r="O188" i="13"/>
  <c r="O189" i="13"/>
  <c r="O190" i="13"/>
  <c r="O191" i="13"/>
  <c r="O192" i="13"/>
  <c r="O193" i="13"/>
  <c r="O194" i="13"/>
  <c r="AH194" i="13" s="1"/>
  <c r="O195" i="13"/>
  <c r="AH195" i="13" s="1"/>
  <c r="O196" i="13"/>
  <c r="AH196" i="13" s="1"/>
  <c r="O197" i="13"/>
  <c r="O198" i="13"/>
  <c r="O199" i="13"/>
  <c r="O200" i="13"/>
  <c r="AH200" i="13" s="1"/>
  <c r="O201" i="13"/>
  <c r="AH201" i="13" s="1"/>
  <c r="O202" i="13"/>
  <c r="AH202" i="13" s="1"/>
  <c r="O203" i="13"/>
  <c r="AH203" i="13" s="1"/>
  <c r="O204" i="13"/>
  <c r="AH204" i="13" s="1"/>
  <c r="O205" i="13"/>
  <c r="AH205" i="13" s="1"/>
  <c r="O206" i="13"/>
  <c r="AH206" i="13" s="1"/>
  <c r="O207" i="13"/>
  <c r="O208" i="13"/>
  <c r="O209" i="13"/>
  <c r="O210" i="13"/>
  <c r="O211" i="13"/>
  <c r="O212" i="13"/>
  <c r="AH212" i="13" s="1"/>
  <c r="O213" i="13"/>
  <c r="O214" i="13"/>
  <c r="O215" i="13"/>
  <c r="O216" i="13"/>
  <c r="O217" i="13"/>
  <c r="O218" i="13"/>
  <c r="O219" i="13"/>
  <c r="AH219" i="13" s="1"/>
  <c r="O220" i="13"/>
  <c r="AH220" i="13" s="1"/>
  <c r="O221" i="13"/>
  <c r="AH221" i="13" s="1"/>
  <c r="O222" i="13"/>
  <c r="AH222" i="13" s="1"/>
  <c r="O223" i="13"/>
  <c r="AH223" i="13" s="1"/>
  <c r="O224" i="13"/>
  <c r="AH224" i="13" s="1"/>
  <c r="O225" i="13"/>
  <c r="O226" i="13"/>
  <c r="O227" i="13"/>
  <c r="O228" i="13"/>
  <c r="O229" i="13"/>
  <c r="O230" i="13"/>
  <c r="O231" i="13"/>
  <c r="O232" i="13"/>
  <c r="O233" i="13"/>
  <c r="AH233" i="13" s="1"/>
  <c r="O234" i="13"/>
  <c r="AH234" i="13" s="1"/>
  <c r="O235" i="13"/>
  <c r="AH235" i="13" s="1"/>
  <c r="O236" i="13"/>
  <c r="AH236" i="13" s="1"/>
  <c r="O237" i="13"/>
  <c r="O238" i="13"/>
  <c r="AH238" i="13" s="1"/>
  <c r="O239" i="13"/>
  <c r="O240" i="13"/>
  <c r="AH240" i="13" s="1"/>
  <c r="O242" i="13"/>
  <c r="AH242" i="13" s="1"/>
  <c r="O243" i="13"/>
  <c r="AH243" i="13" s="1"/>
  <c r="O244" i="13"/>
  <c r="AH244" i="13" s="1"/>
  <c r="O245" i="13"/>
  <c r="AH245" i="13" s="1"/>
  <c r="O246" i="13"/>
  <c r="AH246" i="13" s="1"/>
  <c r="O247" i="13"/>
  <c r="AH247" i="13" s="1"/>
  <c r="O248" i="13"/>
  <c r="AH248" i="13" s="1"/>
  <c r="O249" i="13"/>
  <c r="AH249" i="13" s="1"/>
  <c r="O250" i="13"/>
  <c r="AH250" i="13" s="1"/>
  <c r="O251" i="13"/>
  <c r="AH251" i="13" s="1"/>
  <c r="O252" i="13"/>
  <c r="AH252" i="13" s="1"/>
  <c r="O253" i="13"/>
  <c r="AH253" i="13" s="1"/>
  <c r="O254" i="13"/>
  <c r="AH254" i="13" s="1"/>
  <c r="O255" i="13"/>
  <c r="O256" i="13"/>
  <c r="O257" i="13"/>
  <c r="O258" i="13"/>
  <c r="O259" i="13"/>
  <c r="AH259" i="13" s="1"/>
  <c r="O260" i="13"/>
  <c r="N260" i="13"/>
  <c r="N259" i="13"/>
  <c r="N258" i="13"/>
  <c r="N257" i="13"/>
  <c r="N256" i="13"/>
  <c r="N255" i="13"/>
  <c r="N254" i="13"/>
  <c r="N253" i="13"/>
  <c r="N252" i="13"/>
  <c r="N251" i="13"/>
  <c r="N250" i="13"/>
  <c r="N249" i="13"/>
  <c r="N248" i="13"/>
  <c r="N247" i="13"/>
  <c r="N246" i="13"/>
  <c r="N245" i="13"/>
  <c r="N244" i="13"/>
  <c r="N243" i="13"/>
  <c r="N242" i="13"/>
  <c r="N240" i="13"/>
  <c r="N239" i="13"/>
  <c r="N238" i="13"/>
  <c r="N237" i="13"/>
  <c r="N236" i="13"/>
  <c r="N235" i="13"/>
  <c r="N234" i="13"/>
  <c r="N233" i="13"/>
  <c r="N232" i="13"/>
  <c r="N231" i="13"/>
  <c r="N230" i="13"/>
  <c r="N229" i="13"/>
  <c r="N228" i="13"/>
  <c r="N227" i="13"/>
  <c r="N226" i="13"/>
  <c r="N225" i="13"/>
  <c r="N224" i="13"/>
  <c r="N223" i="13"/>
  <c r="N222" i="13"/>
  <c r="N221" i="13"/>
  <c r="N220" i="13"/>
  <c r="N219" i="13"/>
  <c r="N218" i="13"/>
  <c r="N217" i="13"/>
  <c r="N216" i="13"/>
  <c r="N215" i="13"/>
  <c r="N214" i="13"/>
  <c r="N213" i="13"/>
  <c r="N212" i="13"/>
  <c r="N211" i="13"/>
  <c r="N210" i="13"/>
  <c r="N209" i="13"/>
  <c r="N208" i="13"/>
  <c r="N207" i="13"/>
  <c r="N206" i="13"/>
  <c r="N205" i="13"/>
  <c r="N204" i="13"/>
  <c r="N203" i="13"/>
  <c r="N202" i="13"/>
  <c r="N201" i="13"/>
  <c r="N200" i="13"/>
  <c r="N199" i="13"/>
  <c r="N198" i="13"/>
  <c r="N197" i="13"/>
  <c r="N196" i="13"/>
  <c r="N195" i="13"/>
  <c r="N194" i="13"/>
  <c r="N193" i="13"/>
  <c r="N192" i="13"/>
  <c r="N191" i="13"/>
  <c r="N190" i="13"/>
  <c r="N189" i="13"/>
  <c r="N188" i="13"/>
  <c r="N187" i="13"/>
  <c r="N186" i="13"/>
  <c r="N185" i="13"/>
  <c r="N184" i="13"/>
  <c r="N183" i="13"/>
  <c r="N182" i="13"/>
  <c r="N181" i="13"/>
  <c r="N180" i="13"/>
  <c r="N179" i="13"/>
  <c r="N178" i="13"/>
  <c r="N177" i="13"/>
  <c r="N176" i="13"/>
  <c r="N175" i="13"/>
  <c r="N174" i="13"/>
  <c r="N173" i="13"/>
  <c r="N172" i="13"/>
  <c r="N171" i="13"/>
  <c r="N170" i="13"/>
  <c r="N169" i="13"/>
  <c r="N168" i="13"/>
  <c r="N167" i="13"/>
  <c r="N166" i="13"/>
  <c r="N165" i="13"/>
  <c r="N164" i="13"/>
  <c r="N163" i="13"/>
  <c r="N162" i="13"/>
  <c r="N161" i="13"/>
  <c r="N160" i="13"/>
  <c r="N159" i="13"/>
  <c r="N158" i="13"/>
  <c r="N157" i="13"/>
  <c r="N156" i="13"/>
  <c r="N155" i="13"/>
  <c r="N154" i="13"/>
  <c r="N153" i="13"/>
  <c r="N152" i="13"/>
  <c r="N151" i="13"/>
  <c r="N150" i="13"/>
  <c r="N149" i="13"/>
  <c r="N148" i="13"/>
  <c r="N147" i="13"/>
  <c r="N146" i="13"/>
  <c r="N145" i="13"/>
  <c r="N144" i="13"/>
  <c r="N143" i="13"/>
  <c r="N142" i="13"/>
  <c r="N141" i="13"/>
  <c r="N140" i="13"/>
  <c r="N139" i="13"/>
  <c r="N138" i="13"/>
  <c r="N137" i="13"/>
  <c r="N136" i="13"/>
  <c r="N135" i="13"/>
  <c r="N134" i="13"/>
  <c r="N133" i="13"/>
  <c r="N132" i="13"/>
  <c r="N131" i="13"/>
  <c r="N130" i="13"/>
  <c r="N129" i="13"/>
  <c r="N128" i="13"/>
  <c r="N127" i="13"/>
  <c r="N126" i="13"/>
  <c r="N125" i="13"/>
  <c r="N124" i="13"/>
  <c r="N123" i="13"/>
  <c r="N122" i="13"/>
  <c r="N121" i="13"/>
  <c r="N120" i="13"/>
  <c r="N119" i="13"/>
  <c r="N118" i="13"/>
  <c r="N117" i="13"/>
  <c r="N116" i="13"/>
  <c r="N115" i="13"/>
  <c r="N114" i="13"/>
  <c r="N113" i="13"/>
  <c r="N112" i="13"/>
  <c r="N111" i="13"/>
  <c r="N110" i="13"/>
  <c r="N109" i="13"/>
  <c r="N108" i="13"/>
  <c r="N107" i="13"/>
  <c r="N106" i="13"/>
  <c r="N105" i="13"/>
  <c r="N104" i="13"/>
  <c r="N103" i="13"/>
  <c r="N102" i="13"/>
  <c r="N101" i="13"/>
  <c r="N100" i="13"/>
  <c r="N99" i="13"/>
  <c r="N98" i="13"/>
  <c r="N97" i="13"/>
  <c r="N96" i="13"/>
  <c r="N95" i="13"/>
  <c r="N94" i="13"/>
  <c r="N93" i="13"/>
  <c r="N92" i="13"/>
  <c r="N91" i="13"/>
  <c r="N90" i="13"/>
  <c r="N89" i="13"/>
  <c r="N88" i="13"/>
  <c r="N87" i="13"/>
  <c r="N86" i="13"/>
  <c r="N85" i="13"/>
  <c r="N84" i="13"/>
  <c r="N83" i="13"/>
  <c r="N82" i="13"/>
  <c r="N81" i="13"/>
  <c r="N80" i="13"/>
  <c r="N79" i="13"/>
  <c r="N78" i="13"/>
  <c r="N77" i="13"/>
  <c r="N76" i="13"/>
  <c r="N75" i="13"/>
  <c r="N74" i="13"/>
  <c r="N73" i="13"/>
  <c r="N72" i="13"/>
  <c r="N71" i="13"/>
  <c r="N70" i="13"/>
  <c r="N69" i="13"/>
  <c r="N68" i="13"/>
  <c r="N67" i="13"/>
  <c r="N66" i="13"/>
  <c r="N65" i="13"/>
  <c r="N64" i="13"/>
  <c r="N63" i="13"/>
  <c r="N62" i="13"/>
  <c r="N61" i="13"/>
  <c r="N60" i="13"/>
  <c r="N59" i="13"/>
  <c r="N58" i="13"/>
  <c r="N57" i="13"/>
  <c r="N56" i="13"/>
  <c r="N55" i="13"/>
  <c r="N54" i="13"/>
  <c r="N53" i="13"/>
  <c r="N52" i="13"/>
  <c r="N51" i="13"/>
  <c r="N50" i="13"/>
  <c r="N49" i="13"/>
  <c r="N48" i="13"/>
  <c r="N47" i="13"/>
  <c r="N46" i="13"/>
  <c r="N45" i="13"/>
  <c r="N44" i="13"/>
  <c r="N43" i="13"/>
  <c r="N42" i="13"/>
  <c r="N41" i="13"/>
  <c r="N40" i="13"/>
  <c r="N39" i="13"/>
  <c r="N38" i="13"/>
  <c r="N37" i="13"/>
  <c r="N36" i="13"/>
  <c r="N35" i="13"/>
  <c r="N34" i="13"/>
  <c r="N33" i="13"/>
  <c r="N32" i="13"/>
  <c r="N31" i="13"/>
  <c r="N30" i="13"/>
  <c r="N29" i="13"/>
  <c r="N27" i="13"/>
  <c r="N26" i="13"/>
  <c r="N25" i="13"/>
  <c r="N24" i="13"/>
  <c r="N23" i="13"/>
  <c r="N22" i="13"/>
  <c r="N21" i="13"/>
  <c r="N20" i="13"/>
  <c r="N19" i="13"/>
  <c r="N17" i="13"/>
  <c r="N16" i="13"/>
  <c r="N14" i="13"/>
  <c r="N13" i="13"/>
  <c r="N12" i="13"/>
  <c r="N11" i="13"/>
  <c r="N10" i="13"/>
  <c r="N9" i="13"/>
  <c r="N8" i="13"/>
  <c r="N7" i="13"/>
  <c r="N6" i="13"/>
  <c r="N5" i="13"/>
  <c r="N4" i="13"/>
  <c r="N3" i="13"/>
  <c r="S197" i="13" l="1"/>
  <c r="S209" i="13"/>
  <c r="S225" i="13"/>
  <c r="S237" i="13"/>
  <c r="S149" i="13"/>
  <c r="S213" i="13"/>
  <c r="S217" i="13"/>
  <c r="S151" i="13"/>
  <c r="S155" i="13"/>
  <c r="S207" i="13"/>
  <c r="S211" i="13"/>
  <c r="S227" i="13"/>
  <c r="S231" i="13"/>
  <c r="S239" i="13"/>
  <c r="S218" i="13"/>
  <c r="S156" i="13"/>
  <c r="S208" i="13"/>
  <c r="S216" i="13"/>
  <c r="S228" i="13"/>
  <c r="S232" i="13"/>
  <c r="S236" i="13"/>
  <c r="S150" i="13"/>
  <c r="S198" i="13"/>
  <c r="S210" i="13"/>
  <c r="S226" i="13"/>
  <c r="S76" i="13"/>
  <c r="S67" i="13"/>
  <c r="S71" i="13"/>
  <c r="S99" i="13"/>
  <c r="S103" i="13"/>
  <c r="S119" i="13"/>
  <c r="S32" i="13"/>
  <c r="S60" i="13"/>
  <c r="S123" i="13"/>
  <c r="S131" i="13"/>
  <c r="S135" i="13"/>
  <c r="S41" i="13"/>
  <c r="S97" i="13"/>
  <c r="S101" i="13"/>
  <c r="S117" i="13"/>
  <c r="S121" i="13"/>
  <c r="S125" i="13"/>
  <c r="S129" i="13"/>
  <c r="S141" i="13"/>
  <c r="S92" i="13"/>
  <c r="S100" i="13"/>
  <c r="S104" i="13"/>
  <c r="S108" i="13"/>
  <c r="S120" i="13"/>
  <c r="S128" i="13"/>
  <c r="S132" i="13"/>
  <c r="S136" i="13"/>
  <c r="S140" i="13"/>
  <c r="S144" i="13"/>
  <c r="S148" i="13"/>
  <c r="S30" i="13"/>
  <c r="S42" i="13"/>
  <c r="S62" i="13"/>
  <c r="S66" i="13"/>
  <c r="S70" i="13"/>
  <c r="S74" i="13"/>
  <c r="S78" i="13"/>
  <c r="S86" i="13"/>
  <c r="S90" i="13"/>
  <c r="S94" i="13"/>
  <c r="S98" i="13"/>
  <c r="S102" i="13"/>
  <c r="S110" i="13"/>
  <c r="S114" i="13"/>
  <c r="S118" i="13"/>
  <c r="S126" i="13"/>
  <c r="S130" i="13"/>
  <c r="S134" i="13"/>
  <c r="S138" i="13"/>
  <c r="S142" i="13"/>
  <c r="S146" i="13"/>
  <c r="S28" i="13"/>
  <c r="S35" i="13"/>
  <c r="S51" i="13"/>
  <c r="S75" i="13"/>
  <c r="S91" i="13"/>
  <c r="S95" i="13"/>
  <c r="S107" i="13"/>
  <c r="S111" i="13"/>
  <c r="S127" i="13"/>
  <c r="S139" i="13"/>
  <c r="S147" i="13"/>
  <c r="S65" i="13"/>
  <c r="S69" i="13"/>
  <c r="S73" i="13"/>
  <c r="S77" i="13"/>
  <c r="S85" i="13"/>
  <c r="S89" i="13"/>
  <c r="S93" i="13"/>
  <c r="S109" i="13"/>
  <c r="S113" i="13"/>
  <c r="S145" i="13"/>
  <c r="Q17" i="13"/>
  <c r="Q14" i="13"/>
  <c r="Q16" i="13"/>
  <c r="Q10" i="13"/>
  <c r="Q94" i="13"/>
  <c r="Q20" i="13"/>
  <c r="Q41" i="13"/>
  <c r="Q121" i="13"/>
  <c r="Q129" i="13"/>
  <c r="Q145" i="13"/>
  <c r="Q153" i="13"/>
  <c r="Q169" i="13"/>
  <c r="Q42" i="13"/>
  <c r="Q130" i="13"/>
  <c r="Q13" i="13"/>
  <c r="Q32" i="13"/>
  <c r="Q120" i="13"/>
  <c r="Q128" i="13"/>
  <c r="Q136" i="13"/>
  <c r="Q144" i="13"/>
  <c r="Q152" i="13"/>
  <c r="Q168" i="13"/>
  <c r="Q240" i="13"/>
  <c r="Q138" i="13"/>
  <c r="Q146" i="13"/>
  <c r="Q154" i="13"/>
  <c r="Q218" i="13"/>
  <c r="Q259" i="13"/>
  <c r="Q35" i="13"/>
  <c r="Q123" i="13"/>
  <c r="Q139" i="13"/>
  <c r="Q171" i="13"/>
  <c r="Q67" i="13"/>
  <c r="Q147" i="13"/>
  <c r="Q19" i="13"/>
  <c r="Q27" i="13"/>
  <c r="Q60" i="13"/>
  <c r="Q71" i="13"/>
  <c r="Q119" i="13"/>
  <c r="Q127" i="13"/>
  <c r="Q135" i="13"/>
  <c r="Q151" i="13"/>
  <c r="Q199" i="13"/>
  <c r="Q231" i="13"/>
  <c r="Q239" i="13"/>
  <c r="Q92" i="13"/>
  <c r="Q124" i="13"/>
  <c r="Q148" i="13"/>
  <c r="Q77" i="13"/>
  <c r="Q85" i="13"/>
  <c r="Q93" i="13"/>
  <c r="Q117" i="13"/>
  <c r="Q125" i="13"/>
  <c r="Q149" i="13"/>
  <c r="Q197" i="13"/>
  <c r="Q237" i="13"/>
  <c r="Q11" i="13"/>
  <c r="Q30" i="13"/>
  <c r="Q62" i="13"/>
  <c r="Q118" i="13"/>
  <c r="Q126" i="13"/>
  <c r="Q134" i="13"/>
  <c r="Q150" i="13"/>
  <c r="Q198" i="13"/>
  <c r="Q12" i="13"/>
  <c r="Q170" i="13"/>
  <c r="Q28" i="13"/>
  <c r="Q2" i="16"/>
  <c r="P2" i="16"/>
  <c r="I2" i="16"/>
  <c r="H2" i="16"/>
  <c r="G2" i="16"/>
  <c r="F2" i="16"/>
  <c r="D2" i="16"/>
  <c r="C2" i="16"/>
  <c r="A2" i="16"/>
  <c r="CR244" i="13" l="1"/>
  <c r="CR248" i="13"/>
  <c r="AS128" i="13" l="1"/>
  <c r="Y2" i="16"/>
  <c r="AS32" i="13"/>
  <c r="AF3" i="13"/>
  <c r="AH3" i="13"/>
  <c r="S20" i="13"/>
  <c r="AH258" i="13"/>
  <c r="AG245" i="13"/>
  <c r="AG235" i="13"/>
  <c r="AG220" i="13"/>
  <c r="AH211" i="13"/>
  <c r="AH192" i="13"/>
  <c r="AH179" i="13"/>
  <c r="AG167" i="13"/>
  <c r="S143" i="13"/>
  <c r="AG143" i="13"/>
  <c r="AG102" i="13"/>
  <c r="U94" i="13"/>
  <c r="S80" i="13"/>
  <c r="AG80" i="13"/>
  <c r="S72" i="13"/>
  <c r="U60" i="13"/>
  <c r="U32" i="13"/>
  <c r="S23" i="13"/>
  <c r="S8" i="13"/>
  <c r="AI43" i="13"/>
  <c r="S48" i="13"/>
  <c r="AG105" i="13"/>
  <c r="S133" i="13"/>
  <c r="AG133" i="13"/>
  <c r="AG200" i="13"/>
  <c r="S19" i="13"/>
  <c r="AH257" i="13"/>
  <c r="AG252" i="13"/>
  <c r="AG248" i="13"/>
  <c r="AG244" i="13"/>
  <c r="AH228" i="13"/>
  <c r="AG223" i="13"/>
  <c r="AG219" i="13"/>
  <c r="AG214" i="13"/>
  <c r="AH210" i="13"/>
  <c r="AG205" i="13"/>
  <c r="AG195" i="13"/>
  <c r="AH191" i="13"/>
  <c r="AH187" i="13"/>
  <c r="AH182" i="13"/>
  <c r="AH178" i="13"/>
  <c r="AG174" i="13"/>
  <c r="AG166" i="13"/>
  <c r="AG162" i="13"/>
  <c r="AG142" i="13"/>
  <c r="AG111" i="13"/>
  <c r="AG107" i="13"/>
  <c r="AG101" i="13"/>
  <c r="AG97" i="13"/>
  <c r="S83" i="13"/>
  <c r="AG83" i="13"/>
  <c r="AG75" i="13"/>
  <c r="S63" i="13"/>
  <c r="AG63" i="13"/>
  <c r="AG59" i="13"/>
  <c r="S40" i="13"/>
  <c r="AG36" i="13"/>
  <c r="S31" i="13"/>
  <c r="S26" i="13"/>
  <c r="S22" i="13"/>
  <c r="S7" i="13"/>
  <c r="S45" i="13"/>
  <c r="AG45" i="13"/>
  <c r="S53" i="13"/>
  <c r="AG53" i="13"/>
  <c r="AG57" i="13"/>
  <c r="AG106" i="13"/>
  <c r="AH186" i="13"/>
  <c r="AG201" i="13"/>
  <c r="AG249" i="13"/>
  <c r="AH229" i="13"/>
  <c r="AG206" i="13"/>
  <c r="AH188" i="13"/>
  <c r="AH175" i="13"/>
  <c r="S112" i="13"/>
  <c r="S56" i="13"/>
  <c r="AG56" i="13"/>
  <c r="AH207" i="13"/>
  <c r="S16" i="13"/>
  <c r="S10" i="13"/>
  <c r="AH260" i="13"/>
  <c r="AH255" i="13"/>
  <c r="AG251" i="13"/>
  <c r="AG247" i="13"/>
  <c r="AG243" i="13"/>
  <c r="AG238" i="13"/>
  <c r="AH227" i="13"/>
  <c r="AG222" i="13"/>
  <c r="AH217" i="13"/>
  <c r="AH213" i="13"/>
  <c r="AH209" i="13"/>
  <c r="AG204" i="13"/>
  <c r="AG194" i="13"/>
  <c r="AH190" i="13"/>
  <c r="AH185" i="13"/>
  <c r="AH181" i="13"/>
  <c r="AH177" i="13"/>
  <c r="AG173" i="13"/>
  <c r="AG161" i="13"/>
  <c r="AG156" i="13"/>
  <c r="AG141" i="13"/>
  <c r="AG137" i="13"/>
  <c r="AG132" i="13"/>
  <c r="U123" i="13"/>
  <c r="AG110" i="13"/>
  <c r="AG104" i="13"/>
  <c r="AG100" i="13"/>
  <c r="S96" i="13"/>
  <c r="U92" i="13"/>
  <c r="AG86" i="13"/>
  <c r="AG82" i="13"/>
  <c r="AG78" i="13"/>
  <c r="AG74" i="13"/>
  <c r="AG70" i="13"/>
  <c r="U62" i="13"/>
  <c r="S58" i="13"/>
  <c r="S39" i="13"/>
  <c r="U30" i="13"/>
  <c r="S25" i="13"/>
  <c r="S21" i="13"/>
  <c r="S6" i="13"/>
  <c r="S33" i="13"/>
  <c r="S46" i="13"/>
  <c r="S50" i="13"/>
  <c r="S54" i="13"/>
  <c r="AG54" i="13"/>
  <c r="S88" i="13"/>
  <c r="S115" i="13"/>
  <c r="AG115" i="13"/>
  <c r="AG202" i="13"/>
  <c r="AH226" i="13"/>
  <c r="AH256" i="13"/>
  <c r="AG253" i="13"/>
  <c r="AG224" i="13"/>
  <c r="AG215" i="13"/>
  <c r="AG196" i="13"/>
  <c r="AH183" i="13"/>
  <c r="AG159" i="13"/>
  <c r="AG108" i="13"/>
  <c r="AG98" i="13"/>
  <c r="S84" i="13"/>
  <c r="AG84" i="13"/>
  <c r="AG76" i="13"/>
  <c r="AG28" i="13"/>
  <c r="S4" i="13"/>
  <c r="S52" i="13"/>
  <c r="AG52" i="13"/>
  <c r="AG234" i="13"/>
  <c r="S12" i="13"/>
  <c r="S14" i="13"/>
  <c r="AG259" i="13"/>
  <c r="AG254" i="13"/>
  <c r="AG250" i="13"/>
  <c r="AG246" i="13"/>
  <c r="AG242" i="13"/>
  <c r="AG236" i="13"/>
  <c r="AH230" i="13"/>
  <c r="AG221" i="13"/>
  <c r="AH216" i="13"/>
  <c r="AG212" i="13"/>
  <c r="AH193" i="13"/>
  <c r="AH189" i="13"/>
  <c r="AH184" i="13"/>
  <c r="AH180" i="13"/>
  <c r="AH176" i="13"/>
  <c r="AG172" i="13"/>
  <c r="AG160" i="13"/>
  <c r="AG155" i="13"/>
  <c r="AG140" i="13"/>
  <c r="S122" i="13"/>
  <c r="AG113" i="13"/>
  <c r="AG109" i="13"/>
  <c r="AG103" i="13"/>
  <c r="AG99" i="13"/>
  <c r="S81" i="13"/>
  <c r="AG81" i="13"/>
  <c r="AG73" i="13"/>
  <c r="AG69" i="13"/>
  <c r="S61" i="13"/>
  <c r="S44" i="13"/>
  <c r="S38" i="13"/>
  <c r="S34" i="13"/>
  <c r="S24" i="13"/>
  <c r="S9" i="13"/>
  <c r="S5" i="13"/>
  <c r="S47" i="13"/>
  <c r="AG51" i="13"/>
  <c r="S55" i="13"/>
  <c r="AG55" i="13"/>
  <c r="AG90" i="13"/>
  <c r="S116" i="13"/>
  <c r="AG116" i="13"/>
  <c r="AG131" i="13"/>
  <c r="AH199" i="13"/>
  <c r="AG203" i="13"/>
  <c r="AG233" i="13"/>
  <c r="S124" i="13"/>
  <c r="S36" i="13"/>
  <c r="S49" i="13"/>
  <c r="AS244" i="13" l="1"/>
  <c r="S105" i="13"/>
  <c r="S27" i="13"/>
  <c r="U27" i="13" s="1"/>
  <c r="S57" i="13"/>
  <c r="S17" i="13"/>
  <c r="T17" i="13" s="1"/>
  <c r="S59" i="13"/>
  <c r="S37" i="13"/>
  <c r="S43" i="13"/>
  <c r="S68" i="13"/>
  <c r="AS148" i="13"/>
  <c r="AS40" i="13"/>
  <c r="AS166" i="13"/>
  <c r="AS121" i="13"/>
  <c r="AS253" i="13"/>
  <c r="E2" i="16"/>
  <c r="AS22" i="13"/>
  <c r="AS98" i="13"/>
  <c r="AS215" i="13"/>
  <c r="AS71" i="13"/>
  <c r="AS20" i="13"/>
  <c r="S82" i="13"/>
  <c r="U150" i="13"/>
  <c r="AG150" i="13"/>
  <c r="U130" i="13"/>
  <c r="AG130" i="13"/>
  <c r="AG151" i="13"/>
  <c r="AG208" i="13"/>
  <c r="AH208" i="13"/>
  <c r="AH225" i="13"/>
  <c r="AG225" i="13"/>
  <c r="U135" i="13"/>
  <c r="AG135" i="13"/>
  <c r="U145" i="13"/>
  <c r="AG145" i="13"/>
  <c r="U35" i="13"/>
  <c r="AG35" i="13"/>
  <c r="U152" i="13"/>
  <c r="BZ152" i="13" s="1"/>
  <c r="AG152" i="13"/>
  <c r="U139" i="13"/>
  <c r="AG139" i="13"/>
  <c r="U218" i="13"/>
  <c r="AH218" i="13"/>
  <c r="AG218" i="13"/>
  <c r="U119" i="13"/>
  <c r="AG119" i="13"/>
  <c r="U67" i="13"/>
  <c r="AG67" i="13"/>
  <c r="U93" i="13"/>
  <c r="AG93" i="13"/>
  <c r="U134" i="13"/>
  <c r="AG134" i="13"/>
  <c r="U153" i="13"/>
  <c r="BK153" i="13" s="1"/>
  <c r="AG153" i="13"/>
  <c r="AH239" i="13"/>
  <c r="U129" i="13"/>
  <c r="AG129" i="13"/>
  <c r="U149" i="13"/>
  <c r="AG149" i="13"/>
  <c r="U42" i="13"/>
  <c r="AI42" i="13"/>
  <c r="U77" i="13"/>
  <c r="AG77" i="13"/>
  <c r="U85" i="13"/>
  <c r="AG85" i="13"/>
  <c r="U126" i="13"/>
  <c r="AG126" i="13"/>
  <c r="U136" i="13"/>
  <c r="AG136" i="13"/>
  <c r="U146" i="13"/>
  <c r="AG146" i="13"/>
  <c r="U197" i="13"/>
  <c r="AG197" i="13"/>
  <c r="AH197" i="13"/>
  <c r="U41" i="13"/>
  <c r="AG41" i="13"/>
  <c r="U125" i="13"/>
  <c r="AG125" i="13"/>
  <c r="U198" i="13"/>
  <c r="AH198" i="13"/>
  <c r="U120" i="13"/>
  <c r="AG120" i="13"/>
  <c r="U127" i="13"/>
  <c r="AG127" i="13"/>
  <c r="U147" i="13"/>
  <c r="AG147" i="13"/>
  <c r="U231" i="13"/>
  <c r="AH231" i="13"/>
  <c r="U154" i="13"/>
  <c r="BK154" i="13" s="1"/>
  <c r="AG154" i="13"/>
  <c r="U237" i="13"/>
  <c r="AG237" i="13"/>
  <c r="AH237" i="13"/>
  <c r="U144" i="13"/>
  <c r="AG144" i="13"/>
  <c r="U71" i="13"/>
  <c r="AG71" i="13"/>
  <c r="U117" i="13"/>
  <c r="AG117" i="13"/>
  <c r="U128" i="13"/>
  <c r="AG128" i="13"/>
  <c r="U138" i="13"/>
  <c r="AG138" i="13"/>
  <c r="U148" i="13"/>
  <c r="AG148" i="13"/>
  <c r="AH232" i="13"/>
  <c r="AG232" i="13"/>
  <c r="U118" i="13"/>
  <c r="AG118" i="13"/>
  <c r="U121" i="13"/>
  <c r="AG121" i="13"/>
  <c r="U124" i="13"/>
  <c r="T28" i="13"/>
  <c r="U28" i="13"/>
  <c r="S64" i="13"/>
  <c r="S29" i="13"/>
  <c r="S137" i="13"/>
  <c r="S79" i="13"/>
  <c r="S11" i="13"/>
  <c r="T11" i="13" s="1"/>
  <c r="S13" i="13"/>
  <c r="T13" i="13" s="1"/>
  <c r="S87" i="13"/>
  <c r="S106" i="13"/>
  <c r="S233" i="13"/>
  <c r="S199" i="13"/>
  <c r="U199" i="13" s="1"/>
  <c r="S164" i="13"/>
  <c r="S172" i="13"/>
  <c r="S180" i="13"/>
  <c r="S189" i="13"/>
  <c r="S212" i="13"/>
  <c r="S221" i="13"/>
  <c r="S230" i="13"/>
  <c r="S242" i="13"/>
  <c r="S250" i="13"/>
  <c r="S259" i="13"/>
  <c r="U259" i="13" s="1"/>
  <c r="S159" i="13"/>
  <c r="S183" i="13"/>
  <c r="S215" i="13"/>
  <c r="S240" i="13"/>
  <c r="U240" i="13" s="1"/>
  <c r="S165" i="13"/>
  <c r="S173" i="13"/>
  <c r="S181" i="13"/>
  <c r="S190" i="13"/>
  <c r="S204" i="13"/>
  <c r="S222" i="13"/>
  <c r="S243" i="13"/>
  <c r="S251" i="13"/>
  <c r="S260" i="13"/>
  <c r="S175" i="13"/>
  <c r="S206" i="13"/>
  <c r="S249" i="13"/>
  <c r="S201" i="13"/>
  <c r="S157" i="13"/>
  <c r="S166" i="13"/>
  <c r="S174" i="13"/>
  <c r="S182" i="13"/>
  <c r="S191" i="13"/>
  <c r="S205" i="13"/>
  <c r="S214" i="13"/>
  <c r="S223" i="13"/>
  <c r="S244" i="13"/>
  <c r="S252" i="13"/>
  <c r="S158" i="13"/>
  <c r="S167" i="13"/>
  <c r="S192" i="13"/>
  <c r="S220" i="13"/>
  <c r="S245" i="13"/>
  <c r="AF203" i="13"/>
  <c r="T150" i="13"/>
  <c r="AA150" i="13" s="1"/>
  <c r="AF150" i="13"/>
  <c r="AH150" i="13"/>
  <c r="AF116" i="13"/>
  <c r="AF55" i="13"/>
  <c r="AF47" i="13"/>
  <c r="AH47" i="13"/>
  <c r="AF5" i="13"/>
  <c r="AH5" i="13"/>
  <c r="AF24" i="13"/>
  <c r="AH24" i="13"/>
  <c r="AF34" i="13"/>
  <c r="AH34" i="13"/>
  <c r="AF44" i="13"/>
  <c r="AH44" i="13"/>
  <c r="AF65" i="13"/>
  <c r="AH65" i="13"/>
  <c r="AF73" i="13"/>
  <c r="AH73" i="13"/>
  <c r="AF81" i="13"/>
  <c r="AF91" i="13"/>
  <c r="AH91" i="13"/>
  <c r="AF99" i="13"/>
  <c r="AF109" i="13"/>
  <c r="AH109" i="13"/>
  <c r="AF122" i="13"/>
  <c r="AH122" i="13"/>
  <c r="T130" i="13"/>
  <c r="AA130" i="13" s="1"/>
  <c r="AF130" i="13"/>
  <c r="AH130" i="13"/>
  <c r="AF140" i="13"/>
  <c r="T151" i="13"/>
  <c r="AA151" i="13" s="1"/>
  <c r="AF151" i="13"/>
  <c r="AH151" i="13"/>
  <c r="AF160" i="13"/>
  <c r="AH160" i="13"/>
  <c r="AF168" i="13"/>
  <c r="AF176" i="13"/>
  <c r="AF184" i="13"/>
  <c r="AF193" i="13"/>
  <c r="AF208" i="13"/>
  <c r="AF216" i="13"/>
  <c r="AF225" i="13"/>
  <c r="AF236" i="13"/>
  <c r="AF246" i="13"/>
  <c r="AF254" i="13"/>
  <c r="AF14" i="13"/>
  <c r="AF2" i="13"/>
  <c r="J2" i="16"/>
  <c r="AH2" i="13"/>
  <c r="AF234" i="13"/>
  <c r="AF4" i="13"/>
  <c r="AH4" i="13"/>
  <c r="AF37" i="13"/>
  <c r="AH37" i="13"/>
  <c r="AF68" i="13"/>
  <c r="AH68" i="13"/>
  <c r="AF84" i="13"/>
  <c r="AF108" i="13"/>
  <c r="AH108" i="13"/>
  <c r="T135" i="13"/>
  <c r="AA135" i="13" s="1"/>
  <c r="AF135" i="13"/>
  <c r="AH135" i="13"/>
  <c r="AF171" i="13"/>
  <c r="AF196" i="13"/>
  <c r="AF224" i="13"/>
  <c r="AF253" i="13"/>
  <c r="AF256" i="13"/>
  <c r="AF202" i="13"/>
  <c r="T145" i="13"/>
  <c r="AA145" i="13" s="1"/>
  <c r="AF145" i="13"/>
  <c r="AH145" i="13"/>
  <c r="AF115" i="13"/>
  <c r="AF54" i="13"/>
  <c r="AF46" i="13"/>
  <c r="AH46" i="13"/>
  <c r="AF6" i="13"/>
  <c r="AH6" i="13"/>
  <c r="AF25" i="13"/>
  <c r="AH25" i="13"/>
  <c r="T35" i="13"/>
  <c r="AF35" i="13"/>
  <c r="AH35" i="13"/>
  <c r="AF58" i="13"/>
  <c r="AH58" i="13"/>
  <c r="AF66" i="13"/>
  <c r="AH66" i="13"/>
  <c r="AF74" i="13"/>
  <c r="AH74" i="13"/>
  <c r="AF82" i="13"/>
  <c r="T92" i="13"/>
  <c r="AF92" i="13"/>
  <c r="AH92" i="13"/>
  <c r="AF100" i="13"/>
  <c r="AF110" i="13"/>
  <c r="AH110" i="13"/>
  <c r="T123" i="13"/>
  <c r="AA123" i="13" s="1"/>
  <c r="AF123" i="13"/>
  <c r="AH123" i="13"/>
  <c r="AF132" i="13"/>
  <c r="AF141" i="13"/>
  <c r="T152" i="13"/>
  <c r="AA152" i="13" s="1"/>
  <c r="AF152" i="13"/>
  <c r="AH152" i="13"/>
  <c r="AF161" i="13"/>
  <c r="AF169" i="13"/>
  <c r="AF177" i="13"/>
  <c r="AF185" i="13"/>
  <c r="AF194" i="13"/>
  <c r="AF209" i="13"/>
  <c r="AF217" i="13"/>
  <c r="AF227" i="13"/>
  <c r="AF238" i="13"/>
  <c r="AF247" i="13"/>
  <c r="AF255" i="13"/>
  <c r="AF10" i="13"/>
  <c r="AF17" i="13"/>
  <c r="AH17" i="13"/>
  <c r="AF56" i="13"/>
  <c r="AF89" i="13"/>
  <c r="AH89" i="13"/>
  <c r="T139" i="13"/>
  <c r="AA139" i="13" s="1"/>
  <c r="AF139" i="13"/>
  <c r="AH139" i="13"/>
  <c r="AF163" i="13"/>
  <c r="AH163" i="13"/>
  <c r="AF188" i="13"/>
  <c r="AF229" i="13"/>
  <c r="AF27" i="13"/>
  <c r="AF218" i="13"/>
  <c r="AF186" i="13"/>
  <c r="T119" i="13"/>
  <c r="AA119" i="13" s="1"/>
  <c r="AF119" i="13"/>
  <c r="AF57" i="13"/>
  <c r="AF49" i="13"/>
  <c r="AH49" i="13"/>
  <c r="AF7" i="13"/>
  <c r="AH7" i="13"/>
  <c r="AF26" i="13"/>
  <c r="AH26" i="13"/>
  <c r="AF36" i="13"/>
  <c r="AF59" i="13"/>
  <c r="T67" i="13"/>
  <c r="AA67" i="13" s="1"/>
  <c r="AF67" i="13"/>
  <c r="AH67" i="13"/>
  <c r="AF75" i="13"/>
  <c r="AH75" i="13"/>
  <c r="AF83" i="13"/>
  <c r="T93" i="13"/>
  <c r="AF93" i="13"/>
  <c r="AH93" i="13"/>
  <c r="AF101" i="13"/>
  <c r="AF111" i="13"/>
  <c r="AH111" i="13"/>
  <c r="T124" i="13"/>
  <c r="AA124" i="13" s="1"/>
  <c r="AF124" i="13"/>
  <c r="AH124" i="13"/>
  <c r="T134" i="13"/>
  <c r="AA134" i="13" s="1"/>
  <c r="AF134" i="13"/>
  <c r="AH134" i="13"/>
  <c r="AF142" i="13"/>
  <c r="T153" i="13"/>
  <c r="AA153" i="13" s="1"/>
  <c r="AF153" i="13"/>
  <c r="AH153" i="13"/>
  <c r="AF162" i="13"/>
  <c r="AF170" i="13"/>
  <c r="AF178" i="13"/>
  <c r="AF187" i="13"/>
  <c r="AF195" i="13"/>
  <c r="AF210" i="13"/>
  <c r="AF219" i="13"/>
  <c r="AF228" i="13"/>
  <c r="AF239" i="13"/>
  <c r="AF248" i="13"/>
  <c r="AF257" i="13"/>
  <c r="AF200" i="13"/>
  <c r="AF133" i="13"/>
  <c r="AH133" i="13"/>
  <c r="AF105" i="13"/>
  <c r="AF43" i="13"/>
  <c r="AH43" i="13"/>
  <c r="AF23" i="13"/>
  <c r="AH23" i="13"/>
  <c r="T60" i="13"/>
  <c r="AF60" i="13"/>
  <c r="AH60" i="13"/>
  <c r="AF80" i="13"/>
  <c r="AF102" i="13"/>
  <c r="T129" i="13"/>
  <c r="AA129" i="13" s="1"/>
  <c r="AF129" i="13"/>
  <c r="AH129" i="13"/>
  <c r="T149" i="13"/>
  <c r="AA149" i="13" s="1"/>
  <c r="AF149" i="13"/>
  <c r="AH149" i="13"/>
  <c r="AF179" i="13"/>
  <c r="AF211" i="13"/>
  <c r="AF235" i="13"/>
  <c r="AF258" i="13"/>
  <c r="S203" i="13"/>
  <c r="S160" i="13"/>
  <c r="S168" i="13"/>
  <c r="U168" i="13" s="1"/>
  <c r="S176" i="13"/>
  <c r="S184" i="13"/>
  <c r="S193" i="13"/>
  <c r="S246" i="13"/>
  <c r="S254" i="13"/>
  <c r="S234" i="13"/>
  <c r="S171" i="13"/>
  <c r="U171" i="13" s="1"/>
  <c r="S196" i="13"/>
  <c r="S224" i="13"/>
  <c r="S253" i="13"/>
  <c r="S256" i="13"/>
  <c r="S202" i="13"/>
  <c r="S161" i="13"/>
  <c r="S169" i="13"/>
  <c r="U169" i="13" s="1"/>
  <c r="S177" i="13"/>
  <c r="S185" i="13"/>
  <c r="S194" i="13"/>
  <c r="S238" i="13"/>
  <c r="S247" i="13"/>
  <c r="S255" i="13"/>
  <c r="S163" i="13"/>
  <c r="S188" i="13"/>
  <c r="S229" i="13"/>
  <c r="S186" i="13"/>
  <c r="S162" i="13"/>
  <c r="S170" i="13"/>
  <c r="U170" i="13" s="1"/>
  <c r="S178" i="13"/>
  <c r="S187" i="13"/>
  <c r="S195" i="13"/>
  <c r="S219" i="13"/>
  <c r="S248" i="13"/>
  <c r="S257" i="13"/>
  <c r="S200" i="13"/>
  <c r="S179" i="13"/>
  <c r="S235" i="13"/>
  <c r="S258" i="13"/>
  <c r="AF233" i="13"/>
  <c r="AF199" i="13"/>
  <c r="AF131" i="13"/>
  <c r="AF90" i="13"/>
  <c r="AH90" i="13"/>
  <c r="AF51" i="13"/>
  <c r="T42" i="13"/>
  <c r="AF42" i="13"/>
  <c r="AH42" i="13"/>
  <c r="AF9" i="13"/>
  <c r="AH9" i="13"/>
  <c r="AF29" i="13"/>
  <c r="AH29" i="13"/>
  <c r="AF38" i="13"/>
  <c r="AH38" i="13"/>
  <c r="AF61" i="13"/>
  <c r="AH61" i="13"/>
  <c r="AF69" i="13"/>
  <c r="AH69" i="13"/>
  <c r="T77" i="13"/>
  <c r="AF77" i="13"/>
  <c r="AH77" i="13"/>
  <c r="T85" i="13"/>
  <c r="AF85" i="13"/>
  <c r="AH85" i="13"/>
  <c r="AF95" i="13"/>
  <c r="AH95" i="13"/>
  <c r="AF103" i="13"/>
  <c r="AF113" i="13"/>
  <c r="AH113" i="13"/>
  <c r="T126" i="13"/>
  <c r="AA126" i="13" s="1"/>
  <c r="AF126" i="13"/>
  <c r="AH126" i="13"/>
  <c r="T136" i="13"/>
  <c r="AA136" i="13" s="1"/>
  <c r="AF136" i="13"/>
  <c r="AH136" i="13"/>
  <c r="T146" i="13"/>
  <c r="AA146" i="13" s="1"/>
  <c r="AF146" i="13"/>
  <c r="AH146" i="13"/>
  <c r="AF155" i="13"/>
  <c r="AH155" i="13"/>
  <c r="AF164" i="13"/>
  <c r="AH164" i="13"/>
  <c r="AF172" i="13"/>
  <c r="AF180" i="13"/>
  <c r="AF189" i="13"/>
  <c r="AF197" i="13"/>
  <c r="AF212" i="13"/>
  <c r="AF221" i="13"/>
  <c r="AF230" i="13"/>
  <c r="AF242" i="13"/>
  <c r="AF250" i="13"/>
  <c r="AF259" i="13"/>
  <c r="AF13" i="13"/>
  <c r="AF12" i="13"/>
  <c r="AF52" i="13"/>
  <c r="AF28" i="13"/>
  <c r="AH28" i="13"/>
  <c r="T41" i="13"/>
  <c r="AF41" i="13"/>
  <c r="AH41" i="13"/>
  <c r="AF76" i="13"/>
  <c r="AH76" i="13"/>
  <c r="AF98" i="13"/>
  <c r="T125" i="13"/>
  <c r="AA125" i="13" s="1"/>
  <c r="AF125" i="13"/>
  <c r="AH125" i="13"/>
  <c r="AF159" i="13"/>
  <c r="AF183" i="13"/>
  <c r="AF215" i="13"/>
  <c r="AF240" i="13"/>
  <c r="AF11" i="13"/>
  <c r="AF226" i="13"/>
  <c r="AF198" i="13"/>
  <c r="T120" i="13"/>
  <c r="AA120" i="13" s="1"/>
  <c r="AF120" i="13"/>
  <c r="AF88" i="13"/>
  <c r="AH88" i="13"/>
  <c r="AF50" i="13"/>
  <c r="AH50" i="13"/>
  <c r="AF33" i="13"/>
  <c r="AH33" i="13"/>
  <c r="AF21" i="13"/>
  <c r="AH21" i="13"/>
  <c r="T30" i="13"/>
  <c r="AG30" i="13"/>
  <c r="AF30" i="13"/>
  <c r="AH30" i="13"/>
  <c r="AF39" i="13"/>
  <c r="AH39" i="13"/>
  <c r="T62" i="13"/>
  <c r="AF62" i="13"/>
  <c r="AH62" i="13"/>
  <c r="AF70" i="13"/>
  <c r="AH70" i="13"/>
  <c r="AF78" i="13"/>
  <c r="AH78" i="13"/>
  <c r="AF86" i="13"/>
  <c r="AH86" i="13"/>
  <c r="AF96" i="13"/>
  <c r="AH96" i="13"/>
  <c r="AF104" i="13"/>
  <c r="AF114" i="13"/>
  <c r="AH114" i="13"/>
  <c r="T127" i="13"/>
  <c r="AA127" i="13" s="1"/>
  <c r="AF127" i="13"/>
  <c r="AH127" i="13"/>
  <c r="AF137" i="13"/>
  <c r="T147" i="13"/>
  <c r="AA147" i="13" s="1"/>
  <c r="AF147" i="13"/>
  <c r="AH147" i="13"/>
  <c r="AF156" i="13"/>
  <c r="AH156" i="13"/>
  <c r="AF165" i="13"/>
  <c r="AH165" i="13"/>
  <c r="AF173" i="13"/>
  <c r="AF181" i="13"/>
  <c r="AF190" i="13"/>
  <c r="AF204" i="13"/>
  <c r="AF213" i="13"/>
  <c r="AF222" i="13"/>
  <c r="AF231" i="13"/>
  <c r="AF243" i="13"/>
  <c r="AF251" i="13"/>
  <c r="AF260" i="13"/>
  <c r="AF16" i="13"/>
  <c r="AH16" i="13"/>
  <c r="AF207" i="13"/>
  <c r="AF64" i="13"/>
  <c r="AH64" i="13"/>
  <c r="AF112" i="13"/>
  <c r="AH112" i="13"/>
  <c r="T154" i="13"/>
  <c r="AA154" i="13" s="1"/>
  <c r="AF154" i="13"/>
  <c r="AH154" i="13"/>
  <c r="AF175" i="13"/>
  <c r="AF206" i="13"/>
  <c r="AF249" i="13"/>
  <c r="AF237" i="13"/>
  <c r="AF201" i="13"/>
  <c r="T144" i="13"/>
  <c r="AA144" i="13" s="1"/>
  <c r="AF144" i="13"/>
  <c r="AH144" i="13"/>
  <c r="AF106" i="13"/>
  <c r="AF53" i="13"/>
  <c r="AF45" i="13"/>
  <c r="AF22" i="13"/>
  <c r="AH22" i="13"/>
  <c r="AF31" i="13"/>
  <c r="AH31" i="13"/>
  <c r="AF40" i="13"/>
  <c r="AH40" i="13"/>
  <c r="AF63" i="13"/>
  <c r="T71" i="13"/>
  <c r="AF71" i="13"/>
  <c r="AH71" i="13"/>
  <c r="AF79" i="13"/>
  <c r="AF87" i="13"/>
  <c r="AH87" i="13"/>
  <c r="AF97" i="13"/>
  <c r="AF107" i="13"/>
  <c r="AH107" i="13"/>
  <c r="T117" i="13"/>
  <c r="AA117" i="13" s="1"/>
  <c r="AF117" i="13"/>
  <c r="T128" i="13"/>
  <c r="AA128" i="13" s="1"/>
  <c r="AF128" i="13"/>
  <c r="AH128" i="13"/>
  <c r="T138" i="13"/>
  <c r="AA138" i="13" s="1"/>
  <c r="AF138" i="13"/>
  <c r="AH138" i="13"/>
  <c r="AF148" i="13"/>
  <c r="T148" i="13"/>
  <c r="AA148" i="13" s="1"/>
  <c r="AH148" i="13"/>
  <c r="AF157" i="13"/>
  <c r="AH157" i="13"/>
  <c r="AF166" i="13"/>
  <c r="AF174" i="13"/>
  <c r="AF182" i="13"/>
  <c r="AF191" i="13"/>
  <c r="AF205" i="13"/>
  <c r="AF214" i="13"/>
  <c r="AF223" i="13"/>
  <c r="AF232" i="13"/>
  <c r="AF244" i="13"/>
  <c r="AF252" i="13"/>
  <c r="AF19" i="13"/>
  <c r="AF158" i="13"/>
  <c r="AH158" i="13"/>
  <c r="T118" i="13"/>
  <c r="AA118" i="13" s="1"/>
  <c r="AF118" i="13"/>
  <c r="AF48" i="13"/>
  <c r="AH48" i="13"/>
  <c r="AF8" i="13"/>
  <c r="AH8" i="13"/>
  <c r="T32" i="13"/>
  <c r="AF32" i="13"/>
  <c r="AH32" i="13"/>
  <c r="AF72" i="13"/>
  <c r="T94" i="13"/>
  <c r="AF94" i="13"/>
  <c r="AH94" i="13"/>
  <c r="T121" i="13"/>
  <c r="AA121" i="13" s="1"/>
  <c r="AF121" i="13"/>
  <c r="AH121" i="13"/>
  <c r="AF143" i="13"/>
  <c r="AF167" i="13"/>
  <c r="AF192" i="13"/>
  <c r="AF220" i="13"/>
  <c r="AF245" i="13"/>
  <c r="AF20" i="13"/>
  <c r="AH20" i="13"/>
  <c r="AS53" i="13"/>
  <c r="AS79" i="13"/>
  <c r="AS147" i="13"/>
  <c r="AS41" i="13"/>
  <c r="AS29" i="13"/>
  <c r="AS181" i="13"/>
  <c r="AS27" i="13"/>
  <c r="AS86" i="13"/>
  <c r="AS138" i="13"/>
  <c r="AS108" i="13"/>
  <c r="AS252" i="13"/>
  <c r="AS245" i="13"/>
  <c r="AS38" i="13"/>
  <c r="AS204" i="13"/>
  <c r="AS19" i="13"/>
  <c r="AS31" i="13"/>
  <c r="AS97" i="13"/>
  <c r="AS72" i="13"/>
  <c r="AS149" i="13"/>
  <c r="AS206" i="13"/>
  <c r="AS226" i="13"/>
  <c r="AS127" i="13"/>
  <c r="AS260" i="13"/>
  <c r="AS144" i="13"/>
  <c r="AS174" i="13"/>
  <c r="AS48" i="13"/>
  <c r="AS167" i="13"/>
  <c r="AS85" i="13"/>
  <c r="AS50" i="13"/>
  <c r="AS146" i="13"/>
  <c r="AS180" i="13"/>
  <c r="AS70" i="13"/>
  <c r="T12" i="13"/>
  <c r="T16" i="13"/>
  <c r="T19" i="13"/>
  <c r="T20" i="13"/>
  <c r="T14" i="13"/>
  <c r="T10" i="13"/>
  <c r="AS10" i="13"/>
  <c r="AS103" i="13"/>
  <c r="AS197" i="13"/>
  <c r="AS21" i="13"/>
  <c r="AS165" i="13"/>
  <c r="AS222" i="13"/>
  <c r="AS232" i="13"/>
  <c r="AS13" i="13"/>
  <c r="AS3" i="13"/>
  <c r="AS63" i="13"/>
  <c r="AS117" i="13"/>
  <c r="AS157" i="13"/>
  <c r="AS191" i="13"/>
  <c r="AS207" i="13"/>
  <c r="AS23" i="13"/>
  <c r="AS76" i="13"/>
  <c r="S3" i="13"/>
  <c r="AS126" i="13"/>
  <c r="AS242" i="13"/>
  <c r="AS104" i="13"/>
  <c r="AS169" i="13"/>
  <c r="AS243" i="13"/>
  <c r="AS237" i="13"/>
  <c r="AS214" i="13"/>
  <c r="AS89" i="13"/>
  <c r="AS129" i="13"/>
  <c r="AS183" i="13"/>
  <c r="AS224" i="13"/>
  <c r="AS176" i="13"/>
  <c r="AS52" i="13"/>
  <c r="AS55" i="13"/>
  <c r="AS177" i="13"/>
  <c r="AS150" i="13"/>
  <c r="AS8" i="13"/>
  <c r="AS132" i="13"/>
  <c r="AS42" i="13"/>
  <c r="AS151" i="13"/>
  <c r="AS142" i="13"/>
  <c r="AS162" i="13"/>
  <c r="AS171" i="13"/>
  <c r="AS233" i="13"/>
  <c r="AS9" i="13"/>
  <c r="AS69" i="13"/>
  <c r="AS109" i="13"/>
  <c r="AS164" i="13"/>
  <c r="AS221" i="13"/>
  <c r="AS120" i="13"/>
  <c r="AS39" i="13"/>
  <c r="AS7" i="13"/>
  <c r="AS239" i="13"/>
  <c r="AS43" i="13"/>
  <c r="AS135" i="13"/>
  <c r="AS24" i="13"/>
  <c r="AS44" i="13"/>
  <c r="AS91" i="13"/>
  <c r="AS225" i="13"/>
  <c r="AS202" i="13"/>
  <c r="AS46" i="13"/>
  <c r="AS74" i="13"/>
  <c r="AS209" i="13"/>
  <c r="AS247" i="13"/>
  <c r="AS11" i="13"/>
  <c r="AS218" i="13"/>
  <c r="AS83" i="13"/>
  <c r="AS124" i="13"/>
  <c r="AS195" i="13"/>
  <c r="AS257" i="13"/>
  <c r="AS105" i="13"/>
  <c r="AS112" i="13"/>
  <c r="AS254" i="13"/>
  <c r="AS203" i="13"/>
  <c r="AS116" i="13"/>
  <c r="AS47" i="13"/>
  <c r="AS130" i="13"/>
  <c r="AS168" i="13"/>
  <c r="AS58" i="13"/>
  <c r="AS110" i="13"/>
  <c r="AS152" i="13"/>
  <c r="AS246" i="13"/>
  <c r="AS67" i="13"/>
  <c r="AS249" i="13"/>
  <c r="AS200" i="13"/>
  <c r="AS60" i="13"/>
  <c r="AS94" i="13"/>
  <c r="AS154" i="13"/>
  <c r="AS229" i="13"/>
  <c r="AS73" i="13"/>
  <c r="AS208" i="13"/>
  <c r="AS115" i="13"/>
  <c r="AS25" i="13"/>
  <c r="AS92" i="13"/>
  <c r="AS185" i="13"/>
  <c r="AS227" i="13"/>
  <c r="AS119" i="13"/>
  <c r="AS36" i="13"/>
  <c r="AS101" i="13"/>
  <c r="AS178" i="13"/>
  <c r="AS219" i="13"/>
  <c r="AS28" i="13"/>
  <c r="AS188" i="13"/>
  <c r="AS211" i="13"/>
  <c r="AS6" i="13"/>
  <c r="AS82" i="13"/>
  <c r="AS240" i="13"/>
  <c r="AS34" i="13"/>
  <c r="AS65" i="13"/>
  <c r="AS140" i="13"/>
  <c r="AS212" i="13"/>
  <c r="AS230" i="13"/>
  <c r="AS54" i="13"/>
  <c r="AS35" i="13"/>
  <c r="AS66" i="13"/>
  <c r="AS141" i="13"/>
  <c r="AS217" i="13"/>
  <c r="AS57" i="13"/>
  <c r="AS45" i="13"/>
  <c r="AS107" i="13"/>
  <c r="AS205" i="13"/>
  <c r="AS223" i="13"/>
  <c r="AS12" i="13"/>
  <c r="AS250" i="13"/>
  <c r="AS158" i="13"/>
  <c r="AS80" i="13"/>
  <c r="AS159" i="13"/>
  <c r="AS236" i="13"/>
  <c r="AS5" i="13"/>
  <c r="AS81" i="13"/>
  <c r="AS160" i="13"/>
  <c r="AS161" i="13"/>
  <c r="AS238" i="13"/>
  <c r="AS122" i="13"/>
  <c r="AS193" i="13"/>
  <c r="AS216" i="13"/>
  <c r="AS145" i="13"/>
  <c r="AS123" i="13"/>
  <c r="AS194" i="13"/>
  <c r="AS186" i="13"/>
  <c r="AS87" i="13"/>
  <c r="AS182" i="13"/>
  <c r="AS228" i="13"/>
  <c r="AS14" i="13"/>
  <c r="AS4" i="13"/>
  <c r="AS64" i="13"/>
  <c r="AS139" i="13"/>
  <c r="AS235" i="13"/>
  <c r="AS62" i="13"/>
  <c r="AS78" i="13"/>
  <c r="AS96" i="13"/>
  <c r="AS114" i="13"/>
  <c r="AS137" i="13"/>
  <c r="AS156" i="13"/>
  <c r="AS173" i="13"/>
  <c r="AS190" i="13"/>
  <c r="AS213" i="13"/>
  <c r="AS231" i="13"/>
  <c r="AS251" i="13"/>
  <c r="AS16" i="13"/>
  <c r="AS258" i="13"/>
  <c r="AS26" i="13"/>
  <c r="AS59" i="13"/>
  <c r="AS75" i="13"/>
  <c r="AS93" i="13"/>
  <c r="AS111" i="13"/>
  <c r="AS134" i="13"/>
  <c r="AS153" i="13"/>
  <c r="AS37" i="13"/>
  <c r="AS259" i="13"/>
  <c r="AS88" i="13"/>
  <c r="AS33" i="13"/>
  <c r="AS170" i="13"/>
  <c r="AS248" i="13"/>
  <c r="AS234" i="13"/>
  <c r="AS133" i="13"/>
  <c r="AS68" i="13"/>
  <c r="AS84" i="13"/>
  <c r="AS102" i="13"/>
  <c r="AS125" i="13"/>
  <c r="AS143" i="13"/>
  <c r="AS163" i="13"/>
  <c r="AS179" i="13"/>
  <c r="AS196" i="13"/>
  <c r="AS198" i="13"/>
  <c r="AS90" i="13"/>
  <c r="AS61" i="13"/>
  <c r="AS77" i="13"/>
  <c r="AS95" i="13"/>
  <c r="AS113" i="13"/>
  <c r="AS136" i="13"/>
  <c r="AS155" i="13"/>
  <c r="AS172" i="13"/>
  <c r="AS189" i="13"/>
  <c r="AS30" i="13"/>
  <c r="AS201" i="13"/>
  <c r="AS106" i="13"/>
  <c r="AS210" i="13"/>
  <c r="AS220" i="13"/>
  <c r="H35" i="5"/>
  <c r="H61" i="5"/>
  <c r="E61" i="5"/>
  <c r="F60" i="5"/>
  <c r="E60" i="5"/>
  <c r="D60" i="5"/>
  <c r="AC17" i="13" l="1"/>
  <c r="AD17" i="13"/>
  <c r="AA17" i="13"/>
  <c r="AB17" i="13"/>
  <c r="BP209" i="13"/>
  <c r="BQ209" i="13"/>
  <c r="BS209" i="13" s="1"/>
  <c r="AC209" i="16" s="1"/>
  <c r="BR209" i="13"/>
  <c r="BP207" i="13"/>
  <c r="BR207" i="13"/>
  <c r="BQ207" i="13"/>
  <c r="BS207" i="13" s="1"/>
  <c r="AC207" i="16" s="1"/>
  <c r="BR208" i="13"/>
  <c r="BP208" i="13"/>
  <c r="BQ208" i="13"/>
  <c r="BS208" i="13" s="1"/>
  <c r="AC208" i="16" s="1"/>
  <c r="BY152" i="13"/>
  <c r="AK121" i="13"/>
  <c r="BX153" i="13"/>
  <c r="T27" i="13"/>
  <c r="AB27" i="13" s="1"/>
  <c r="BY154" i="13"/>
  <c r="BK152" i="13"/>
  <c r="BZ154" i="13"/>
  <c r="BL152" i="13"/>
  <c r="BL154" i="13"/>
  <c r="BX152" i="13"/>
  <c r="CA154" i="13"/>
  <c r="CA152" i="13"/>
  <c r="BX154" i="13"/>
  <c r="BL153" i="13"/>
  <c r="BZ153" i="13"/>
  <c r="BY153" i="13"/>
  <c r="CA153" i="13"/>
  <c r="AE27" i="13"/>
  <c r="AL27" i="13" l="1"/>
  <c r="AE20" i="13" l="1"/>
  <c r="U20" i="13"/>
  <c r="AE16" i="13"/>
  <c r="AE14" i="13"/>
  <c r="U14" i="13"/>
  <c r="AE19" i="13"/>
  <c r="U19" i="13"/>
  <c r="AE17" i="13"/>
  <c r="U17" i="13"/>
  <c r="AE11" i="13"/>
  <c r="U11" i="13"/>
  <c r="AE10" i="13"/>
  <c r="U10" i="13"/>
  <c r="AE13" i="13"/>
  <c r="U13" i="13"/>
  <c r="AE12" i="13"/>
  <c r="U12" i="13"/>
  <c r="AE260" i="13"/>
  <c r="Q260" i="13"/>
  <c r="U260" i="13" s="1"/>
  <c r="AE259" i="13"/>
  <c r="T259" i="13"/>
  <c r="AA259" i="13" s="1"/>
  <c r="AE258" i="13"/>
  <c r="Q258" i="13"/>
  <c r="U258" i="13" s="1"/>
  <c r="AE257" i="13"/>
  <c r="AE256" i="13"/>
  <c r="Q256" i="13"/>
  <c r="U256" i="13" s="1"/>
  <c r="AE255" i="13"/>
  <c r="Q255" i="13"/>
  <c r="U255" i="13" s="1"/>
  <c r="AE254" i="13"/>
  <c r="Q254" i="13"/>
  <c r="U254" i="13" s="1"/>
  <c r="AE253" i="13"/>
  <c r="Q253" i="13"/>
  <c r="U253" i="13" s="1"/>
  <c r="AE252" i="13"/>
  <c r="Q252" i="13"/>
  <c r="U252" i="13" s="1"/>
  <c r="AE251" i="13"/>
  <c r="Q251" i="13"/>
  <c r="U251" i="13" s="1"/>
  <c r="AE250" i="13"/>
  <c r="AE249" i="13"/>
  <c r="Q249" i="13"/>
  <c r="U249" i="13" s="1"/>
  <c r="AE248" i="13"/>
  <c r="Q248" i="13"/>
  <c r="U248" i="13" s="1"/>
  <c r="AE247" i="13"/>
  <c r="Q247" i="13"/>
  <c r="U247" i="13" s="1"/>
  <c r="AE246" i="13"/>
  <c r="AE245" i="13"/>
  <c r="Q245" i="13"/>
  <c r="U245" i="13" s="1"/>
  <c r="AE244" i="13"/>
  <c r="Q244" i="13"/>
  <c r="U244" i="13" s="1"/>
  <c r="AE243" i="13"/>
  <c r="AE242" i="13"/>
  <c r="Q242" i="13"/>
  <c r="U242" i="13" s="1"/>
  <c r="T240" i="13"/>
  <c r="AA240" i="13" s="1"/>
  <c r="AE238" i="13"/>
  <c r="AE237" i="13"/>
  <c r="T237" i="13"/>
  <c r="AA237" i="13" s="1"/>
  <c r="AE236" i="13"/>
  <c r="Q236" i="13"/>
  <c r="U236" i="13" s="1"/>
  <c r="AE235" i="13"/>
  <c r="Q235" i="13"/>
  <c r="U235" i="13" s="1"/>
  <c r="AE234" i="13"/>
  <c r="AE233" i="13"/>
  <c r="AE231" i="13"/>
  <c r="AE230" i="13"/>
  <c r="Q230" i="13"/>
  <c r="U230" i="13" s="1"/>
  <c r="AE229" i="13"/>
  <c r="Q229" i="13"/>
  <c r="U229" i="13" s="1"/>
  <c r="Q226" i="13"/>
  <c r="U226" i="13" s="1"/>
  <c r="Q225" i="13"/>
  <c r="U225" i="13" s="1"/>
  <c r="AE224" i="13"/>
  <c r="Q224" i="13"/>
  <c r="U224" i="13" s="1"/>
  <c r="AE223" i="13"/>
  <c r="AE222" i="13"/>
  <c r="Q222" i="13"/>
  <c r="U222" i="13" s="1"/>
  <c r="AE221" i="13"/>
  <c r="Q221" i="13"/>
  <c r="U221" i="13" s="1"/>
  <c r="AE220" i="13"/>
  <c r="AE219" i="13"/>
  <c r="AE215" i="13"/>
  <c r="Q215" i="13"/>
  <c r="U215" i="13" s="1"/>
  <c r="AE214" i="13"/>
  <c r="Q214" i="13"/>
  <c r="U214" i="13" s="1"/>
  <c r="AE212" i="13"/>
  <c r="Q207" i="13"/>
  <c r="AE206" i="13"/>
  <c r="AE205" i="13"/>
  <c r="Q205" i="13"/>
  <c r="U205" i="13" s="1"/>
  <c r="AE204" i="13"/>
  <c r="AE203" i="13"/>
  <c r="AE202" i="13"/>
  <c r="Q202" i="13"/>
  <c r="U202" i="13" s="1"/>
  <c r="AE201" i="13"/>
  <c r="Q201" i="13"/>
  <c r="U201" i="13" s="1"/>
  <c r="AE200" i="13"/>
  <c r="AE199" i="13"/>
  <c r="T199" i="13"/>
  <c r="AA199" i="13" s="1"/>
  <c r="AE198" i="13"/>
  <c r="T198" i="13"/>
  <c r="AA198" i="13" s="1"/>
  <c r="AE196" i="13"/>
  <c r="AE195" i="13"/>
  <c r="AE194" i="13"/>
  <c r="Q194" i="13"/>
  <c r="U194" i="13" s="1"/>
  <c r="AE193" i="13"/>
  <c r="AE192" i="13"/>
  <c r="AE191" i="13"/>
  <c r="AE190" i="13"/>
  <c r="AE189" i="13"/>
  <c r="AE188" i="13"/>
  <c r="AE187" i="13"/>
  <c r="AE186" i="13"/>
  <c r="AE185" i="13"/>
  <c r="Q185" i="13"/>
  <c r="U185" i="13" s="1"/>
  <c r="AE184" i="13"/>
  <c r="Q184" i="13"/>
  <c r="U184" i="13" s="1"/>
  <c r="AE183" i="13"/>
  <c r="AE182" i="13"/>
  <c r="AE181" i="13"/>
  <c r="AE180" i="13"/>
  <c r="AE179" i="13"/>
  <c r="AE178" i="13"/>
  <c r="Q178" i="13"/>
  <c r="U178" i="13" s="1"/>
  <c r="AE177" i="13"/>
  <c r="AE176" i="13"/>
  <c r="Q176" i="13"/>
  <c r="U176" i="13" s="1"/>
  <c r="AE175" i="13"/>
  <c r="Q175" i="13"/>
  <c r="U175" i="13" s="1"/>
  <c r="AE174" i="13"/>
  <c r="AE173" i="13"/>
  <c r="AE172" i="13"/>
  <c r="AE171" i="13"/>
  <c r="AE170" i="13"/>
  <c r="AE169" i="13"/>
  <c r="AE168" i="13"/>
  <c r="AE167" i="13"/>
  <c r="Q167" i="13"/>
  <c r="U167" i="13" s="1"/>
  <c r="AE166" i="13"/>
  <c r="Q166" i="13"/>
  <c r="U166" i="13" s="1"/>
  <c r="AE165" i="13"/>
  <c r="AE164" i="13"/>
  <c r="AE163" i="13"/>
  <c r="AE162" i="13"/>
  <c r="Q162" i="13"/>
  <c r="U162" i="13" s="1"/>
  <c r="AE161" i="13"/>
  <c r="AE160" i="13"/>
  <c r="Q160" i="13"/>
  <c r="U160" i="13" s="1"/>
  <c r="AE159" i="13"/>
  <c r="Q159" i="13"/>
  <c r="U159" i="13" s="1"/>
  <c r="AE158" i="13"/>
  <c r="AE157" i="13"/>
  <c r="Q157" i="13"/>
  <c r="U157" i="13" s="1"/>
  <c r="AE154" i="13"/>
  <c r="AE153" i="13"/>
  <c r="AE152" i="13"/>
  <c r="AE151" i="13"/>
  <c r="AE150" i="13"/>
  <c r="AE149" i="13"/>
  <c r="AE148" i="13"/>
  <c r="AE147" i="13"/>
  <c r="AE146" i="13"/>
  <c r="AE145" i="13"/>
  <c r="AE144" i="13"/>
  <c r="AE143" i="13"/>
  <c r="AE142" i="13"/>
  <c r="AE141" i="13"/>
  <c r="AE140" i="13"/>
  <c r="AE137" i="13"/>
  <c r="AE133" i="13"/>
  <c r="AE132" i="13"/>
  <c r="Q132" i="13"/>
  <c r="AE131" i="13"/>
  <c r="Q131" i="13"/>
  <c r="AE124" i="13"/>
  <c r="AE123" i="13"/>
  <c r="AE122" i="13"/>
  <c r="Q122" i="13"/>
  <c r="AE120" i="13"/>
  <c r="AE119" i="13"/>
  <c r="AE118" i="13"/>
  <c r="AE117" i="13"/>
  <c r="AE116" i="13"/>
  <c r="AE115" i="13"/>
  <c r="AE112" i="13"/>
  <c r="Q110" i="13"/>
  <c r="Q108" i="13"/>
  <c r="AE106" i="13"/>
  <c r="AE105" i="13"/>
  <c r="AE104" i="13"/>
  <c r="Q104" i="13"/>
  <c r="AE103" i="13"/>
  <c r="AE102" i="13"/>
  <c r="AE101" i="13"/>
  <c r="AE100" i="13"/>
  <c r="Q100" i="13"/>
  <c r="AE99" i="13"/>
  <c r="AE98" i="13"/>
  <c r="Q98" i="13"/>
  <c r="AE97" i="13"/>
  <c r="AE96" i="13"/>
  <c r="Q96" i="13"/>
  <c r="Q95" i="13"/>
  <c r="AE88" i="13"/>
  <c r="AE87" i="13"/>
  <c r="Q87" i="13"/>
  <c r="AE84" i="13"/>
  <c r="Q84" i="13"/>
  <c r="AE83" i="13"/>
  <c r="AE82" i="13"/>
  <c r="Q82" i="13"/>
  <c r="AE81" i="13"/>
  <c r="Q81" i="13"/>
  <c r="AE80" i="13"/>
  <c r="Q80" i="13"/>
  <c r="AE79" i="13"/>
  <c r="AE72" i="13"/>
  <c r="AE68" i="13"/>
  <c r="Q65" i="13"/>
  <c r="AE64" i="13"/>
  <c r="Q64" i="13"/>
  <c r="AE63" i="13"/>
  <c r="AE62" i="13"/>
  <c r="AE61" i="13"/>
  <c r="Q61" i="13"/>
  <c r="AE60" i="13"/>
  <c r="AE59" i="13"/>
  <c r="Q59" i="13"/>
  <c r="AE58" i="13"/>
  <c r="Q58" i="13"/>
  <c r="AE57" i="13"/>
  <c r="Q57" i="13"/>
  <c r="AE56" i="13"/>
  <c r="Q56" i="13"/>
  <c r="AE55" i="13"/>
  <c r="Q55" i="13"/>
  <c r="AE54" i="13"/>
  <c r="AE53" i="13"/>
  <c r="Q53" i="13"/>
  <c r="AE52" i="13"/>
  <c r="AE51" i="13"/>
  <c r="AE50" i="13"/>
  <c r="AE49" i="13"/>
  <c r="Q49" i="13"/>
  <c r="AE48" i="13"/>
  <c r="Q48" i="13"/>
  <c r="AE47" i="13"/>
  <c r="Q47" i="13"/>
  <c r="AE46" i="13"/>
  <c r="Q46" i="13"/>
  <c r="AE45" i="13"/>
  <c r="Q45" i="13"/>
  <c r="AE44" i="13"/>
  <c r="Q44" i="13"/>
  <c r="AE43" i="13"/>
  <c r="Q43" i="13"/>
  <c r="AE42" i="13"/>
  <c r="AE41" i="13"/>
  <c r="AE40" i="13"/>
  <c r="AE39" i="13"/>
  <c r="Q39" i="13"/>
  <c r="AE38" i="13"/>
  <c r="Q38" i="13"/>
  <c r="AE37" i="13"/>
  <c r="Q37" i="13"/>
  <c r="AE36" i="13"/>
  <c r="Q36" i="13"/>
  <c r="AE34" i="13"/>
  <c r="Q34" i="13"/>
  <c r="AE33" i="13"/>
  <c r="Q33" i="13"/>
  <c r="AE32" i="13"/>
  <c r="AE31" i="13"/>
  <c r="Q31" i="13"/>
  <c r="AE29" i="13"/>
  <c r="Q29" i="13"/>
  <c r="AE28" i="13"/>
  <c r="AE26" i="13"/>
  <c r="Q26" i="13"/>
  <c r="AE25" i="13"/>
  <c r="Q25" i="13"/>
  <c r="AE24" i="13"/>
  <c r="Q24" i="13"/>
  <c r="AE23" i="13"/>
  <c r="AE22" i="13"/>
  <c r="Q22" i="13"/>
  <c r="AE21" i="13"/>
  <c r="Q21" i="13"/>
  <c r="T21" i="13" s="1"/>
  <c r="AE9" i="13"/>
  <c r="Q9" i="13"/>
  <c r="T9" i="13" s="1"/>
  <c r="AE8" i="13"/>
  <c r="AE7" i="13"/>
  <c r="AE6" i="13"/>
  <c r="AE5" i="13"/>
  <c r="AE4" i="13"/>
  <c r="Q4" i="13"/>
  <c r="T4" i="13" s="1"/>
  <c r="AE3" i="13"/>
  <c r="Q3" i="13"/>
  <c r="T3" i="13" s="1"/>
  <c r="AE2" i="13"/>
  <c r="T24" i="13" l="1"/>
  <c r="U24" i="13"/>
  <c r="T22" i="13"/>
  <c r="U22" i="13"/>
  <c r="T31" i="13"/>
  <c r="U31" i="13"/>
  <c r="T36" i="13"/>
  <c r="U36" i="13"/>
  <c r="T47" i="13"/>
  <c r="U47" i="13"/>
  <c r="T49" i="13"/>
  <c r="U49" i="13"/>
  <c r="T55" i="13"/>
  <c r="U55" i="13"/>
  <c r="T64" i="13"/>
  <c r="U64" i="13"/>
  <c r="T80" i="13"/>
  <c r="U80" i="13"/>
  <c r="T87" i="13"/>
  <c r="U87" i="13"/>
  <c r="T104" i="13"/>
  <c r="AA104" i="13" s="1"/>
  <c r="U104" i="13"/>
  <c r="T108" i="13"/>
  <c r="AA108" i="13" s="1"/>
  <c r="U108" i="13"/>
  <c r="T37" i="13"/>
  <c r="U37" i="13"/>
  <c r="T25" i="13"/>
  <c r="U25" i="13"/>
  <c r="T34" i="13"/>
  <c r="U34" i="13"/>
  <c r="BL34" i="13" s="1"/>
  <c r="BP34" i="13" s="1"/>
  <c r="T38" i="13"/>
  <c r="U38" i="13"/>
  <c r="T44" i="13"/>
  <c r="U44" i="13"/>
  <c r="T58" i="13"/>
  <c r="U58" i="13"/>
  <c r="T95" i="13"/>
  <c r="U95" i="13"/>
  <c r="T122" i="13"/>
  <c r="AA122" i="13" s="1"/>
  <c r="U122" i="13"/>
  <c r="T33" i="13"/>
  <c r="U33" i="13"/>
  <c r="T29" i="13"/>
  <c r="U29" i="13"/>
  <c r="T43" i="13"/>
  <c r="U43" i="13"/>
  <c r="T46" i="13"/>
  <c r="U46" i="13"/>
  <c r="T48" i="13"/>
  <c r="U48" i="13"/>
  <c r="T57" i="13"/>
  <c r="U57" i="13"/>
  <c r="T65" i="13"/>
  <c r="U65" i="13"/>
  <c r="T82" i="13"/>
  <c r="U82" i="13"/>
  <c r="T96" i="13"/>
  <c r="U96" i="13"/>
  <c r="T98" i="13"/>
  <c r="AA98" i="13" s="1"/>
  <c r="U98" i="13"/>
  <c r="T132" i="13"/>
  <c r="AA132" i="13" s="1"/>
  <c r="U132" i="13"/>
  <c r="T26" i="13"/>
  <c r="U26" i="13"/>
  <c r="T39" i="13"/>
  <c r="U39" i="13"/>
  <c r="T45" i="13"/>
  <c r="U45" i="13"/>
  <c r="T53" i="13"/>
  <c r="U53" i="13"/>
  <c r="T56" i="13"/>
  <c r="U56" i="13"/>
  <c r="T59" i="13"/>
  <c r="U59" i="13"/>
  <c r="T61" i="13"/>
  <c r="U61" i="13"/>
  <c r="T81" i="13"/>
  <c r="U81" i="13"/>
  <c r="T84" i="13"/>
  <c r="U84" i="13"/>
  <c r="T100" i="13"/>
  <c r="AA100" i="13" s="1"/>
  <c r="U100" i="13"/>
  <c r="T110" i="13"/>
  <c r="AA110" i="13" s="1"/>
  <c r="U110" i="13"/>
  <c r="T131" i="13"/>
  <c r="AA131" i="13" s="1"/>
  <c r="U131" i="13"/>
  <c r="T157" i="13"/>
  <c r="AA157" i="13" s="1"/>
  <c r="T171" i="13"/>
  <c r="AA171" i="13" s="1"/>
  <c r="CA170" i="13"/>
  <c r="CE170" i="13" s="1"/>
  <c r="T170" i="13"/>
  <c r="AA170" i="13" s="1"/>
  <c r="T175" i="13"/>
  <c r="AA175" i="13" s="1"/>
  <c r="BY169" i="13"/>
  <c r="CC169" i="13" s="1"/>
  <c r="T169" i="13"/>
  <c r="AA169" i="13" s="1"/>
  <c r="T184" i="13"/>
  <c r="AA184" i="13" s="1"/>
  <c r="T197" i="13"/>
  <c r="AA197" i="13" s="1"/>
  <c r="BX218" i="13"/>
  <c r="CB218" i="13" s="1"/>
  <c r="T218" i="13"/>
  <c r="AA218" i="13" s="1"/>
  <c r="T236" i="13"/>
  <c r="AA236" i="13" s="1"/>
  <c r="T255" i="13"/>
  <c r="AA255" i="13" s="1"/>
  <c r="T256" i="13"/>
  <c r="AA256" i="13" s="1"/>
  <c r="BX168" i="13"/>
  <c r="CB168" i="13" s="1"/>
  <c r="T168" i="13"/>
  <c r="AA168" i="13" s="1"/>
  <c r="BX117" i="13"/>
  <c r="CB117" i="13" s="1"/>
  <c r="BY117" i="13"/>
  <c r="CC117" i="13" s="1"/>
  <c r="BZ117" i="13"/>
  <c r="CD117" i="13" s="1"/>
  <c r="CA117" i="13"/>
  <c r="CE117" i="13" s="1"/>
  <c r="BY148" i="13"/>
  <c r="CC148" i="13" s="1"/>
  <c r="BZ148" i="13"/>
  <c r="CD148" i="13" s="1"/>
  <c r="CA148" i="13"/>
  <c r="CE148" i="13" s="1"/>
  <c r="BX148" i="13"/>
  <c r="CB148" i="13" s="1"/>
  <c r="BX19" i="13"/>
  <c r="CB19" i="13" s="1"/>
  <c r="BY19" i="13"/>
  <c r="CC19" i="13" s="1"/>
  <c r="BZ19" i="13"/>
  <c r="CD19" i="13" s="1"/>
  <c r="CF19" i="13" s="1"/>
  <c r="AG19" i="16" s="1"/>
  <c r="CA19" i="13"/>
  <c r="CE19" i="13" s="1"/>
  <c r="CA30" i="13"/>
  <c r="CE30" i="13" s="1"/>
  <c r="BX30" i="13"/>
  <c r="CB30" i="13" s="1"/>
  <c r="BY30" i="13"/>
  <c r="CC30" i="13" s="1"/>
  <c r="CF30" i="13" s="1"/>
  <c r="AG30" i="16" s="1"/>
  <c r="BZ30" i="13"/>
  <c r="CD30" i="13" s="1"/>
  <c r="CA62" i="13"/>
  <c r="CE62" i="13" s="1"/>
  <c r="BX62" i="13"/>
  <c r="CB62" i="13" s="1"/>
  <c r="BY62" i="13"/>
  <c r="CC62" i="13" s="1"/>
  <c r="CF62" i="13" s="1"/>
  <c r="AG62" i="16" s="1"/>
  <c r="BZ62" i="13"/>
  <c r="CD62" i="13" s="1"/>
  <c r="BX125" i="13"/>
  <c r="CB125" i="13" s="1"/>
  <c r="BY125" i="13"/>
  <c r="CC125" i="13" s="1"/>
  <c r="BZ125" i="13"/>
  <c r="CD125" i="13" s="1"/>
  <c r="CF125" i="13" s="1"/>
  <c r="AG125" i="16" s="1"/>
  <c r="CA125" i="13"/>
  <c r="CE125" i="13" s="1"/>
  <c r="CA28" i="13"/>
  <c r="CE28" i="13" s="1"/>
  <c r="BY28" i="13"/>
  <c r="CC28" i="13" s="1"/>
  <c r="BZ28" i="13"/>
  <c r="CD28" i="13" s="1"/>
  <c r="BX28" i="13"/>
  <c r="CB28" i="13" s="1"/>
  <c r="CA10" i="13"/>
  <c r="CE10" i="13" s="1"/>
  <c r="BY10" i="13"/>
  <c r="CC10" i="13" s="1"/>
  <c r="BZ10" i="13"/>
  <c r="CD10" i="13" s="1"/>
  <c r="CF10" i="13" s="1"/>
  <c r="AG10" i="16" s="1"/>
  <c r="BX10" i="13"/>
  <c r="CB10" i="13" s="1"/>
  <c r="BX121" i="13"/>
  <c r="CB121" i="13" s="1"/>
  <c r="BY121" i="13"/>
  <c r="CC121" i="13" s="1"/>
  <c r="BZ121" i="13"/>
  <c r="CD121" i="13" s="1"/>
  <c r="CF121" i="13" s="1"/>
  <c r="AG121" i="16" s="1"/>
  <c r="CA121" i="13"/>
  <c r="CE121" i="13" s="1"/>
  <c r="CC153" i="13"/>
  <c r="CF153" i="13" s="1"/>
  <c r="AG153" i="16" s="1"/>
  <c r="CB153" i="13"/>
  <c r="CE153" i="13"/>
  <c r="CD153" i="13"/>
  <c r="CA12" i="13"/>
  <c r="CE12" i="13" s="1"/>
  <c r="BX12" i="13"/>
  <c r="CB12" i="13" s="1"/>
  <c r="BY12" i="13"/>
  <c r="CC12" i="13" s="1"/>
  <c r="BZ12" i="13"/>
  <c r="CD12" i="13" s="1"/>
  <c r="CF12" i="13" s="1"/>
  <c r="AG12" i="16" s="1"/>
  <c r="BX135" i="13"/>
  <c r="CB135" i="13" s="1"/>
  <c r="BY135" i="13"/>
  <c r="CC135" i="13" s="1"/>
  <c r="BZ135" i="13"/>
  <c r="CD135" i="13" s="1"/>
  <c r="CA135" i="13"/>
  <c r="CE135" i="13" s="1"/>
  <c r="CA42" i="13"/>
  <c r="CE42" i="13" s="1"/>
  <c r="BY42" i="13"/>
  <c r="CC42" i="13" s="1"/>
  <c r="BZ42" i="13"/>
  <c r="CD42" i="13" s="1"/>
  <c r="BX42" i="13"/>
  <c r="CB42" i="13" s="1"/>
  <c r="BX11" i="13"/>
  <c r="CB11" i="13" s="1"/>
  <c r="BY11" i="13"/>
  <c r="CC11" i="13" s="1"/>
  <c r="BZ11" i="13"/>
  <c r="CD11" i="13" s="1"/>
  <c r="CF11" i="13" s="1"/>
  <c r="AG11" i="16" s="1"/>
  <c r="CA11" i="13"/>
  <c r="CE11" i="13" s="1"/>
  <c r="CA14" i="13"/>
  <c r="CE14" i="13" s="1"/>
  <c r="BY14" i="13"/>
  <c r="CC14" i="13" s="1"/>
  <c r="BZ14" i="13"/>
  <c r="CD14" i="13" s="1"/>
  <c r="CF14" i="13" s="1"/>
  <c r="AG14" i="16" s="1"/>
  <c r="BX14" i="13"/>
  <c r="CB14" i="13" s="1"/>
  <c r="CA20" i="13"/>
  <c r="BX20" i="13"/>
  <c r="BZ20" i="13"/>
  <c r="BY20" i="13"/>
  <c r="BX197" i="13"/>
  <c r="CB197" i="13" s="1"/>
  <c r="BZ197" i="13"/>
  <c r="CD197" i="13" s="1"/>
  <c r="CA197" i="13"/>
  <c r="CE197" i="13" s="1"/>
  <c r="BY197" i="13"/>
  <c r="CC197" i="13" s="1"/>
  <c r="BX169" i="13"/>
  <c r="CB169" i="13" s="1"/>
  <c r="BX67" i="13"/>
  <c r="CB67" i="13" s="1"/>
  <c r="BY67" i="13"/>
  <c r="CC67" i="13" s="1"/>
  <c r="CF67" i="13" s="1"/>
  <c r="AG67" i="16" s="1"/>
  <c r="BZ67" i="13"/>
  <c r="CD67" i="13" s="1"/>
  <c r="CA67" i="13"/>
  <c r="CE67" i="13" s="1"/>
  <c r="CA136" i="13"/>
  <c r="CE136" i="13" s="1"/>
  <c r="BX136" i="13"/>
  <c r="CB136" i="13" s="1"/>
  <c r="BY136" i="13"/>
  <c r="CC136" i="13" s="1"/>
  <c r="BZ136" i="13"/>
  <c r="CD136" i="13" s="1"/>
  <c r="CF136" i="13" s="1"/>
  <c r="AG136" i="16" s="1"/>
  <c r="CE152" i="13"/>
  <c r="CD152" i="13"/>
  <c r="CB152" i="13"/>
  <c r="CC152" i="13"/>
  <c r="BX171" i="13"/>
  <c r="CB171" i="13" s="1"/>
  <c r="CA171" i="13"/>
  <c r="CE171" i="13" s="1"/>
  <c r="BY171" i="13"/>
  <c r="CC171" i="13" s="1"/>
  <c r="BZ171" i="13"/>
  <c r="CD171" i="13" s="1"/>
  <c r="CF171" i="13" s="1"/>
  <c r="AG171" i="16" s="1"/>
  <c r="BX13" i="13"/>
  <c r="CB13" i="13" s="1"/>
  <c r="BY13" i="13"/>
  <c r="CC13" i="13" s="1"/>
  <c r="BZ13" i="13"/>
  <c r="CD13" i="13" s="1"/>
  <c r="CF13" i="13" s="1"/>
  <c r="AG13" i="16" s="1"/>
  <c r="CA13" i="13"/>
  <c r="CE13" i="13" s="1"/>
  <c r="CA17" i="13"/>
  <c r="BX17" i="13"/>
  <c r="BY17" i="13"/>
  <c r="BZ17" i="13"/>
  <c r="CE154" i="13"/>
  <c r="CD154" i="13"/>
  <c r="CC154" i="13"/>
  <c r="CB154" i="13"/>
  <c r="BX41" i="13"/>
  <c r="CB41" i="13" s="1"/>
  <c r="BY41" i="13"/>
  <c r="CC41" i="13" s="1"/>
  <c r="CF41" i="13" s="1"/>
  <c r="AG41" i="16" s="1"/>
  <c r="BZ41" i="13"/>
  <c r="CD41" i="13" s="1"/>
  <c r="CA41" i="13"/>
  <c r="CE41" i="13" s="1"/>
  <c r="BX27" i="13"/>
  <c r="CB27" i="13" s="1"/>
  <c r="BY27" i="13"/>
  <c r="CC27" i="13" s="1"/>
  <c r="BZ27" i="13"/>
  <c r="CD27" i="13" s="1"/>
  <c r="CF27" i="13" s="1"/>
  <c r="AG27" i="16" s="1"/>
  <c r="CA27" i="13"/>
  <c r="CE27" i="13" s="1"/>
  <c r="BK10" i="13"/>
  <c r="BO10" i="13" s="1"/>
  <c r="BL10" i="13"/>
  <c r="BP10" i="13" s="1"/>
  <c r="BK30" i="13"/>
  <c r="BO30" i="13" s="1"/>
  <c r="BL30" i="13"/>
  <c r="BP30" i="13" s="1"/>
  <c r="BK62" i="13"/>
  <c r="BO62" i="13" s="1"/>
  <c r="BL62" i="13"/>
  <c r="BP62" i="13" s="1"/>
  <c r="BL125" i="13"/>
  <c r="BP125" i="13" s="1"/>
  <c r="BK125" i="13"/>
  <c r="BO125" i="13" s="1"/>
  <c r="BK28" i="13"/>
  <c r="BO28" i="13" s="1"/>
  <c r="BL28" i="13"/>
  <c r="BP28" i="13" s="1"/>
  <c r="BL19" i="13"/>
  <c r="BP19" i="13" s="1"/>
  <c r="BK19" i="13"/>
  <c r="BO19" i="13" s="1"/>
  <c r="BK121" i="13"/>
  <c r="BO121" i="13" s="1"/>
  <c r="BL121" i="13"/>
  <c r="BP121" i="13" s="1"/>
  <c r="BO153" i="13"/>
  <c r="BP153" i="13"/>
  <c r="BK12" i="13"/>
  <c r="BO12" i="13" s="1"/>
  <c r="BL12" i="13"/>
  <c r="BP12" i="13" s="1"/>
  <c r="BK42" i="13"/>
  <c r="BO42" i="13" s="1"/>
  <c r="BL42" i="13"/>
  <c r="BP42" i="13" s="1"/>
  <c r="BN152" i="13"/>
  <c r="BR152" i="13" s="1"/>
  <c r="BM152" i="13"/>
  <c r="BQ152" i="13" s="1"/>
  <c r="BL11" i="13"/>
  <c r="BP11" i="13" s="1"/>
  <c r="BK11" i="13"/>
  <c r="BO11" i="13" s="1"/>
  <c r="BK14" i="13"/>
  <c r="BO14" i="13" s="1"/>
  <c r="BL14" i="13"/>
  <c r="BP14" i="13" s="1"/>
  <c r="BK20" i="13"/>
  <c r="BL20" i="13"/>
  <c r="BK169" i="13"/>
  <c r="BO169" i="13" s="1"/>
  <c r="BK148" i="13"/>
  <c r="BO148" i="13" s="1"/>
  <c r="BL148" i="13"/>
  <c r="BP148" i="13" s="1"/>
  <c r="BL67" i="13"/>
  <c r="BP67" i="13" s="1"/>
  <c r="BK67" i="13"/>
  <c r="BO67" i="13" s="1"/>
  <c r="BK136" i="13"/>
  <c r="BO136" i="13" s="1"/>
  <c r="BL136" i="13"/>
  <c r="BP136" i="13" s="1"/>
  <c r="BL168" i="13"/>
  <c r="BP168" i="13" s="1"/>
  <c r="BK197" i="13"/>
  <c r="BO197" i="13" s="1"/>
  <c r="BL197" i="13"/>
  <c r="BP197" i="13" s="1"/>
  <c r="BP154" i="13"/>
  <c r="BO154" i="13"/>
  <c r="BL135" i="13"/>
  <c r="BP135" i="13" s="1"/>
  <c r="BK135" i="13"/>
  <c r="BO135" i="13" s="1"/>
  <c r="BN153" i="13"/>
  <c r="BR153" i="13" s="1"/>
  <c r="BM153" i="13"/>
  <c r="BQ153" i="13" s="1"/>
  <c r="BO152" i="13"/>
  <c r="BP152" i="13"/>
  <c r="BS152" i="13" s="1"/>
  <c r="AC152" i="16" s="1"/>
  <c r="BN154" i="13"/>
  <c r="BR154" i="13" s="1"/>
  <c r="BM154" i="13"/>
  <c r="BQ154" i="13" s="1"/>
  <c r="BL171" i="13"/>
  <c r="BP171" i="13" s="1"/>
  <c r="BK171" i="13"/>
  <c r="BO171" i="13" s="1"/>
  <c r="BL13" i="13"/>
  <c r="BP13" i="13" s="1"/>
  <c r="BK13" i="13"/>
  <c r="BO13" i="13" s="1"/>
  <c r="BK17" i="13"/>
  <c r="BL17" i="13"/>
  <c r="BL117" i="13"/>
  <c r="BP117" i="13" s="1"/>
  <c r="BK117" i="13"/>
  <c r="BO117" i="13" s="1"/>
  <c r="BK41" i="13"/>
  <c r="BO41" i="13" s="1"/>
  <c r="BL41" i="13"/>
  <c r="BP41" i="13" s="1"/>
  <c r="BL27" i="13"/>
  <c r="BP27" i="13" s="1"/>
  <c r="BK27" i="13"/>
  <c r="BO27" i="13" s="1"/>
  <c r="AW240" i="13"/>
  <c r="BA240" i="13" s="1"/>
  <c r="CN240" i="13" s="1"/>
  <c r="AD93" i="13"/>
  <c r="AN93" i="13" s="1"/>
  <c r="CK93" i="13" s="1"/>
  <c r="AU127" i="13"/>
  <c r="AY127" i="13" s="1"/>
  <c r="AC198" i="13"/>
  <c r="AM198" i="13" s="1"/>
  <c r="AO198" i="13" s="1"/>
  <c r="S198" i="16" s="1"/>
  <c r="AC145" i="13"/>
  <c r="AM145" i="13" s="1"/>
  <c r="AO145" i="13" s="1"/>
  <c r="S145" i="16" s="1"/>
  <c r="AK150" i="13"/>
  <c r="AK147" i="13"/>
  <c r="AU77" i="13"/>
  <c r="AY77" i="13" s="1"/>
  <c r="AW128" i="13"/>
  <c r="BA128" i="13" s="1"/>
  <c r="CN128" i="13" s="1"/>
  <c r="AK138" i="13"/>
  <c r="AB144" i="13"/>
  <c r="AL144" i="13" s="1"/>
  <c r="AC237" i="13"/>
  <c r="AM237" i="13" s="1"/>
  <c r="AO237" i="13" s="1"/>
  <c r="S237" i="16" s="1"/>
  <c r="AU92" i="13"/>
  <c r="AY92" i="13" s="1"/>
  <c r="AC149" i="13"/>
  <c r="AM149" i="13" s="1"/>
  <c r="AO149" i="13" s="1"/>
  <c r="S149" i="16" s="1"/>
  <c r="AB85" i="13"/>
  <c r="AL85" i="13" s="1"/>
  <c r="AW146" i="13"/>
  <c r="BA146" i="13" s="1"/>
  <c r="CN146" i="13" s="1"/>
  <c r="U16" i="13"/>
  <c r="AU33" i="13"/>
  <c r="AY33" i="13" s="1"/>
  <c r="AK154" i="13"/>
  <c r="AC154" i="13"/>
  <c r="AM154" i="13" s="1"/>
  <c r="AB154" i="13"/>
  <c r="AL154" i="13" s="1"/>
  <c r="AO154" i="13" s="1"/>
  <c r="S154" i="16" s="1"/>
  <c r="AD154" i="13"/>
  <c r="AN154" i="13" s="1"/>
  <c r="CK154" i="13" s="1"/>
  <c r="AB153" i="13"/>
  <c r="AL153" i="13" s="1"/>
  <c r="AK153" i="13"/>
  <c r="AC153" i="13"/>
  <c r="AM153" i="13" s="1"/>
  <c r="AD153" i="13"/>
  <c r="AN153" i="13" s="1"/>
  <c r="CK153" i="13" s="1"/>
  <c r="AK152" i="13"/>
  <c r="AC152" i="13"/>
  <c r="AM152" i="13" s="1"/>
  <c r="AB152" i="13"/>
  <c r="AL152" i="13" s="1"/>
  <c r="AD152" i="13"/>
  <c r="AN152" i="13" s="1"/>
  <c r="CK152" i="13" s="1"/>
  <c r="AV138" i="13"/>
  <c r="AZ138" i="13" s="1"/>
  <c r="BB138" i="13" s="1"/>
  <c r="AW154" i="13"/>
  <c r="BA154" i="13" s="1"/>
  <c r="CN154" i="13" s="1"/>
  <c r="AV154" i="13"/>
  <c r="AZ154" i="13" s="1"/>
  <c r="AU154" i="13"/>
  <c r="AY154" i="13" s="1"/>
  <c r="AT154" i="13"/>
  <c r="AX154" i="13" s="1"/>
  <c r="AW153" i="13"/>
  <c r="BA153" i="13" s="1"/>
  <c r="CN153" i="13" s="1"/>
  <c r="AV153" i="13"/>
  <c r="AZ153" i="13" s="1"/>
  <c r="AU153" i="13"/>
  <c r="AY153" i="13" s="1"/>
  <c r="BB153" i="13" s="1"/>
  <c r="AT153" i="13"/>
  <c r="AX153" i="13" s="1"/>
  <c r="AW152" i="13"/>
  <c r="BA152" i="13" s="1"/>
  <c r="CN152" i="13" s="1"/>
  <c r="AV152" i="13"/>
  <c r="AZ152" i="13" s="1"/>
  <c r="AU152" i="13"/>
  <c r="AY152" i="13" s="1"/>
  <c r="BB152" i="13" s="1"/>
  <c r="AT152" i="13"/>
  <c r="AX152" i="13" s="1"/>
  <c r="Q69" i="13"/>
  <c r="U69" i="13" s="1"/>
  <c r="T202" i="13"/>
  <c r="AA202" i="13" s="1"/>
  <c r="T201" i="13"/>
  <c r="AA201" i="13" s="1"/>
  <c r="T185" i="13"/>
  <c r="AA185" i="13" s="1"/>
  <c r="T251" i="13"/>
  <c r="AA251" i="13" s="1"/>
  <c r="Q113" i="13"/>
  <c r="U113" i="13" s="1"/>
  <c r="T167" i="13"/>
  <c r="AA167" i="13" s="1"/>
  <c r="T194" i="13"/>
  <c r="AA194" i="13" s="1"/>
  <c r="Q161" i="13"/>
  <c r="U161" i="13" s="1"/>
  <c r="Q209" i="13"/>
  <c r="Q217" i="13"/>
  <c r="U217" i="13" s="1"/>
  <c r="T253" i="13"/>
  <c r="AA253" i="13" s="1"/>
  <c r="Q78" i="13"/>
  <c r="U78" i="13" s="1"/>
  <c r="Q204" i="13"/>
  <c r="U204" i="13" s="1"/>
  <c r="Q111" i="13"/>
  <c r="U111" i="13" s="1"/>
  <c r="Q180" i="13"/>
  <c r="U180" i="13" s="1"/>
  <c r="T207" i="13"/>
  <c r="AA207" i="13" s="1"/>
  <c r="T248" i="13"/>
  <c r="AA248" i="13" s="1"/>
  <c r="Q7" i="13"/>
  <c r="T7" i="13" s="1"/>
  <c r="Q76" i="13"/>
  <c r="U76" i="13" s="1"/>
  <c r="T176" i="13"/>
  <c r="AA176" i="13" s="1"/>
  <c r="Q99" i="13"/>
  <c r="U99" i="13" s="1"/>
  <c r="T162" i="13"/>
  <c r="AA162" i="13" s="1"/>
  <c r="Q189" i="13"/>
  <c r="U189" i="13" s="1"/>
  <c r="T214" i="13"/>
  <c r="AA214" i="13" s="1"/>
  <c r="T258" i="13"/>
  <c r="AA258" i="13" s="1"/>
  <c r="Q158" i="13"/>
  <c r="Q163" i="13"/>
  <c r="U163" i="13" s="1"/>
  <c r="Q250" i="13"/>
  <c r="Q75" i="13"/>
  <c r="Q86" i="13"/>
  <c r="Q89" i="13"/>
  <c r="Q156" i="13"/>
  <c r="Q179" i="13"/>
  <c r="U179" i="13" s="1"/>
  <c r="Q203" i="13"/>
  <c r="U203" i="13" s="1"/>
  <c r="Q6" i="13"/>
  <c r="T6" i="13" s="1"/>
  <c r="Q51" i="13"/>
  <c r="U51" i="13" s="1"/>
  <c r="Q66" i="13"/>
  <c r="U66" i="13" s="1"/>
  <c r="Q234" i="13"/>
  <c r="U234" i="13" s="1"/>
  <c r="Q243" i="13"/>
  <c r="U243" i="13" s="1"/>
  <c r="Q73" i="13"/>
  <c r="Q191" i="13"/>
  <c r="U191" i="13" s="1"/>
  <c r="Q211" i="13"/>
  <c r="U211" i="13" s="1"/>
  <c r="Q63" i="13"/>
  <c r="Q70" i="13"/>
  <c r="Q232" i="13"/>
  <c r="U232" i="13" s="1"/>
  <c r="T225" i="13"/>
  <c r="AA225" i="13" s="1"/>
  <c r="Q257" i="13"/>
  <c r="U257" i="13" s="1"/>
  <c r="Q83" i="13"/>
  <c r="Q196" i="13"/>
  <c r="U196" i="13" s="1"/>
  <c r="T224" i="13"/>
  <c r="AA224" i="13" s="1"/>
  <c r="Q187" i="13"/>
  <c r="U187" i="13" s="1"/>
  <c r="Q188" i="13"/>
  <c r="U188" i="13" s="1"/>
  <c r="Q195" i="13"/>
  <c r="U195" i="13" s="1"/>
  <c r="T205" i="13"/>
  <c r="AA205" i="13" s="1"/>
  <c r="Q206" i="13"/>
  <c r="U206" i="13" s="1"/>
  <c r="T254" i="13"/>
  <c r="AA254" i="13" s="1"/>
  <c r="T221" i="13"/>
  <c r="AA221" i="13" s="1"/>
  <c r="T226" i="13"/>
  <c r="AA226" i="13" s="1"/>
  <c r="T178" i="13"/>
  <c r="AA178" i="13" s="1"/>
  <c r="T252" i="13"/>
  <c r="AA252" i="13" s="1"/>
  <c r="T260" i="13"/>
  <c r="AA260" i="13" s="1"/>
  <c r="Q8" i="13"/>
  <c r="T8" i="13" s="1"/>
  <c r="Q40" i="13"/>
  <c r="Q5" i="13"/>
  <c r="T5" i="13" s="1"/>
  <c r="Q52" i="13"/>
  <c r="Q72" i="13"/>
  <c r="Q23" i="13"/>
  <c r="Q50" i="13"/>
  <c r="Q107" i="13"/>
  <c r="Q103" i="13"/>
  <c r="Q109" i="13"/>
  <c r="Q54" i="13"/>
  <c r="Q68" i="13"/>
  <c r="Q74" i="13"/>
  <c r="Q88" i="13"/>
  <c r="Q79" i="13"/>
  <c r="Q97" i="13"/>
  <c r="T97" i="13" s="1"/>
  <c r="AA97" i="13" s="1"/>
  <c r="Q102" i="13"/>
  <c r="Q112" i="13"/>
  <c r="Q105" i="13"/>
  <c r="Q114" i="13"/>
  <c r="Q101" i="13"/>
  <c r="U101" i="13" s="1"/>
  <c r="Q91" i="13"/>
  <c r="U91" i="13" s="1"/>
  <c r="Q90" i="13"/>
  <c r="U90" i="13" s="1"/>
  <c r="Q106" i="13"/>
  <c r="Q137" i="13"/>
  <c r="Q140" i="13"/>
  <c r="Q141" i="13"/>
  <c r="Q115" i="13"/>
  <c r="Q116" i="13"/>
  <c r="Q133" i="13"/>
  <c r="Q142" i="13"/>
  <c r="Q143" i="13"/>
  <c r="T159" i="13"/>
  <c r="AA159" i="13" s="1"/>
  <c r="T160" i="13"/>
  <c r="AA160" i="13" s="1"/>
  <c r="Q165" i="13"/>
  <c r="U165" i="13" s="1"/>
  <c r="Q173" i="13"/>
  <c r="U173" i="13" s="1"/>
  <c r="Q177" i="13"/>
  <c r="U177" i="13" s="1"/>
  <c r="Q155" i="13"/>
  <c r="U155" i="13" s="1"/>
  <c r="Q164" i="13"/>
  <c r="U164" i="13" s="1"/>
  <c r="Q172" i="13"/>
  <c r="U172" i="13" s="1"/>
  <c r="Q174" i="13"/>
  <c r="U174" i="13" s="1"/>
  <c r="Q182" i="13"/>
  <c r="U182" i="13" s="1"/>
  <c r="T166" i="13"/>
  <c r="AA166" i="13" s="1"/>
  <c r="Q181" i="13"/>
  <c r="U181" i="13" s="1"/>
  <c r="Q193" i="13"/>
  <c r="U193" i="13" s="1"/>
  <c r="Q192" i="13"/>
  <c r="U192" i="13" s="1"/>
  <c r="Q213" i="13"/>
  <c r="U213" i="13" s="1"/>
  <c r="Q190" i="13"/>
  <c r="U190" i="13" s="1"/>
  <c r="Q200" i="13"/>
  <c r="U200" i="13" s="1"/>
  <c r="Q183" i="13"/>
  <c r="U183" i="13" s="1"/>
  <c r="Q186" i="13"/>
  <c r="U186" i="13" s="1"/>
  <c r="Q210" i="13"/>
  <c r="U210" i="13" s="1"/>
  <c r="Q216" i="13"/>
  <c r="U216" i="13" s="1"/>
  <c r="Q220" i="13"/>
  <c r="U220" i="13" s="1"/>
  <c r="Q212" i="13"/>
  <c r="U212" i="13" s="1"/>
  <c r="T215" i="13"/>
  <c r="AA215" i="13" s="1"/>
  <c r="Q223" i="13"/>
  <c r="U223" i="13" s="1"/>
  <c r="Q208" i="13"/>
  <c r="Q227" i="13"/>
  <c r="U227" i="13" s="1"/>
  <c r="T229" i="13"/>
  <c r="AA229" i="13" s="1"/>
  <c r="T222" i="13"/>
  <c r="AA222" i="13" s="1"/>
  <c r="T230" i="13"/>
  <c r="AA230" i="13" s="1"/>
  <c r="Q219" i="13"/>
  <c r="U219" i="13" s="1"/>
  <c r="Q246" i="13"/>
  <c r="U246" i="13" s="1"/>
  <c r="Q228" i="13"/>
  <c r="U228" i="13" s="1"/>
  <c r="Q233" i="13"/>
  <c r="U233" i="13" s="1"/>
  <c r="T235" i="13"/>
  <c r="AA235" i="13" s="1"/>
  <c r="Q238" i="13"/>
  <c r="U238" i="13" s="1"/>
  <c r="T244" i="13"/>
  <c r="AA244" i="13" s="1"/>
  <c r="T239" i="13"/>
  <c r="AA239" i="13" s="1"/>
  <c r="T242" i="13"/>
  <c r="AA242" i="13" s="1"/>
  <c r="T245" i="13"/>
  <c r="AA245" i="13" s="1"/>
  <c r="T247" i="13"/>
  <c r="AA247" i="13" s="1"/>
  <c r="T249" i="13"/>
  <c r="AA249" i="13" s="1"/>
  <c r="W138" i="16" l="1"/>
  <c r="BE138" i="13"/>
  <c r="Z138" i="16" s="1"/>
  <c r="W152" i="16"/>
  <c r="BE152" i="13"/>
  <c r="W153" i="16"/>
  <c r="BE153" i="13"/>
  <c r="Z153" i="16" s="1"/>
  <c r="CF148" i="13"/>
  <c r="AG148" i="16" s="1"/>
  <c r="Z152" i="16"/>
  <c r="AO152" i="13"/>
  <c r="S152" i="16" s="1"/>
  <c r="AQ145" i="13"/>
  <c r="U145" i="16" s="1"/>
  <c r="CF42" i="13"/>
  <c r="AG42" i="16" s="1"/>
  <c r="CF28" i="13"/>
  <c r="AG28" i="16" s="1"/>
  <c r="CF117" i="13"/>
  <c r="AG117" i="16" s="1"/>
  <c r="BS153" i="13"/>
  <c r="AC153" i="16" s="1"/>
  <c r="AQ154" i="13"/>
  <c r="U154" i="16" s="1"/>
  <c r="BS154" i="13"/>
  <c r="AC154" i="16" s="1"/>
  <c r="CF154" i="13"/>
  <c r="AG154" i="16" s="1"/>
  <c r="AQ149" i="13"/>
  <c r="U149" i="16" s="1"/>
  <c r="CF135" i="13"/>
  <c r="AG135" i="16" s="1"/>
  <c r="AQ237" i="13"/>
  <c r="U237" i="16" s="1"/>
  <c r="CF152" i="13"/>
  <c r="AG152" i="16" s="1"/>
  <c r="AO153" i="13"/>
  <c r="S153" i="16" s="1"/>
  <c r="CF197" i="13"/>
  <c r="AG197" i="16" s="1"/>
  <c r="BB154" i="13"/>
  <c r="BS41" i="13"/>
  <c r="AC41" i="16" s="1"/>
  <c r="AV132" i="13"/>
  <c r="AZ132" i="13" s="1"/>
  <c r="BB132" i="13" s="1"/>
  <c r="AV98" i="13"/>
  <c r="AZ98" i="13" s="1"/>
  <c r="T116" i="13"/>
  <c r="AA116" i="13" s="1"/>
  <c r="U116" i="13"/>
  <c r="T137" i="13"/>
  <c r="AA137" i="13" s="1"/>
  <c r="U137" i="13"/>
  <c r="T102" i="13"/>
  <c r="AA102" i="13" s="1"/>
  <c r="U102" i="13"/>
  <c r="T74" i="13"/>
  <c r="AA74" i="13" s="1"/>
  <c r="AK74" i="13" s="1"/>
  <c r="U74" i="13"/>
  <c r="T103" i="13"/>
  <c r="AA103" i="13" s="1"/>
  <c r="U103" i="13"/>
  <c r="T72" i="13"/>
  <c r="U72" i="13"/>
  <c r="T86" i="13"/>
  <c r="AU86" i="13" s="1"/>
  <c r="AY86" i="13" s="1"/>
  <c r="U86" i="13"/>
  <c r="T143" i="13"/>
  <c r="AA143" i="13" s="1"/>
  <c r="U143" i="13"/>
  <c r="T115" i="13"/>
  <c r="AA115" i="13" s="1"/>
  <c r="U115" i="13"/>
  <c r="T106" i="13"/>
  <c r="AA106" i="13" s="1"/>
  <c r="U106" i="13"/>
  <c r="T114" i="13"/>
  <c r="AA114" i="13" s="1"/>
  <c r="U114" i="13"/>
  <c r="AT97" i="13"/>
  <c r="AX97" i="13" s="1"/>
  <c r="U97" i="13"/>
  <c r="T68" i="13"/>
  <c r="U68" i="13"/>
  <c r="T107" i="13"/>
  <c r="AA107" i="13" s="1"/>
  <c r="U107" i="13"/>
  <c r="T52" i="13"/>
  <c r="U52" i="13"/>
  <c r="BL52" i="13" s="1"/>
  <c r="BP52" i="13" s="1"/>
  <c r="T75" i="13"/>
  <c r="U75" i="13"/>
  <c r="T158" i="13"/>
  <c r="AA158" i="13" s="1"/>
  <c r="T142" i="13"/>
  <c r="AA142" i="13" s="1"/>
  <c r="U142" i="13"/>
  <c r="T141" i="13"/>
  <c r="AA141" i="13" s="1"/>
  <c r="U141" i="13"/>
  <c r="T105" i="13"/>
  <c r="AA105" i="13" s="1"/>
  <c r="U105" i="13"/>
  <c r="T79" i="13"/>
  <c r="U79" i="13"/>
  <c r="T54" i="13"/>
  <c r="U54" i="13"/>
  <c r="T50" i="13"/>
  <c r="U50" i="13"/>
  <c r="T83" i="13"/>
  <c r="AV83" i="13" s="1"/>
  <c r="AZ83" i="13" s="1"/>
  <c r="BB83" i="13" s="1"/>
  <c r="U83" i="13"/>
  <c r="T70" i="13"/>
  <c r="U70" i="13"/>
  <c r="T73" i="13"/>
  <c r="U73" i="13"/>
  <c r="T156" i="13"/>
  <c r="AA156" i="13" s="1"/>
  <c r="U156" i="13"/>
  <c r="T250" i="13"/>
  <c r="AA250" i="13" s="1"/>
  <c r="U250" i="13"/>
  <c r="T133" i="13"/>
  <c r="AA133" i="13" s="1"/>
  <c r="U133" i="13"/>
  <c r="T140" i="13"/>
  <c r="AA140" i="13" s="1"/>
  <c r="U140" i="13"/>
  <c r="T112" i="13"/>
  <c r="AA112" i="13" s="1"/>
  <c r="U112" i="13"/>
  <c r="T88" i="13"/>
  <c r="U88" i="13"/>
  <c r="T109" i="13"/>
  <c r="AA109" i="13" s="1"/>
  <c r="U109" i="13"/>
  <c r="T23" i="13"/>
  <c r="U23" i="13"/>
  <c r="T40" i="13"/>
  <c r="U40" i="13"/>
  <c r="T63" i="13"/>
  <c r="U63" i="13"/>
  <c r="T89" i="13"/>
  <c r="U89" i="13"/>
  <c r="CA169" i="13"/>
  <c r="CE169" i="13" s="1"/>
  <c r="BZ169" i="13"/>
  <c r="CD169" i="13" s="1"/>
  <c r="CF169" i="13" s="1"/>
  <c r="AG169" i="16" s="1"/>
  <c r="BL169" i="13"/>
  <c r="BP169" i="13" s="1"/>
  <c r="BY168" i="13"/>
  <c r="CC168" i="13" s="1"/>
  <c r="CA168" i="13"/>
  <c r="CE168" i="13" s="1"/>
  <c r="BK168" i="13"/>
  <c r="BO168" i="13" s="1"/>
  <c r="BZ170" i="13"/>
  <c r="CD170" i="13" s="1"/>
  <c r="CF170" i="13" s="1"/>
  <c r="AG170" i="16" s="1"/>
  <c r="BK170" i="13"/>
  <c r="BO170" i="13" s="1"/>
  <c r="T223" i="13"/>
  <c r="AA223" i="13" s="1"/>
  <c r="T200" i="13"/>
  <c r="AA200" i="13" s="1"/>
  <c r="BK218" i="13"/>
  <c r="BO218" i="13" s="1"/>
  <c r="BY170" i="13"/>
  <c r="CC170" i="13" s="1"/>
  <c r="CA218" i="13"/>
  <c r="CE218" i="13" s="1"/>
  <c r="BL218" i="13"/>
  <c r="BP218" i="13" s="1"/>
  <c r="BS218" i="13" s="1"/>
  <c r="AC218" i="16" s="1"/>
  <c r="BX170" i="13"/>
  <c r="CB170" i="13" s="1"/>
  <c r="BL170" i="13"/>
  <c r="BP170" i="13" s="1"/>
  <c r="BZ218" i="13"/>
  <c r="CD218" i="13" s="1"/>
  <c r="BY218" i="13"/>
  <c r="CC218" i="13" s="1"/>
  <c r="CF218" i="13" s="1"/>
  <c r="AG218" i="16" s="1"/>
  <c r="BZ168" i="13"/>
  <c r="CD168" i="13" s="1"/>
  <c r="CF168" i="13" s="1"/>
  <c r="AG168" i="16" s="1"/>
  <c r="T155" i="13"/>
  <c r="AA155" i="13" s="1"/>
  <c r="T227" i="13"/>
  <c r="AA227" i="13" s="1"/>
  <c r="T216" i="13"/>
  <c r="AA216" i="13" s="1"/>
  <c r="T220" i="13"/>
  <c r="AA220" i="13" s="1"/>
  <c r="T164" i="13"/>
  <c r="AA164" i="13" s="1"/>
  <c r="T182" i="13"/>
  <c r="AA182" i="13" s="1"/>
  <c r="T172" i="13"/>
  <c r="AA172" i="13" s="1"/>
  <c r="T177" i="13"/>
  <c r="AA177" i="13" s="1"/>
  <c r="T234" i="13"/>
  <c r="AA234" i="13" s="1"/>
  <c r="T210" i="13"/>
  <c r="AA210" i="13" s="1"/>
  <c r="T233" i="13"/>
  <c r="AA233" i="13" s="1"/>
  <c r="T165" i="13"/>
  <c r="AA165" i="13" s="1"/>
  <c r="T187" i="13"/>
  <c r="AA187" i="13" s="1"/>
  <c r="T209" i="13"/>
  <c r="AA209" i="13" s="1"/>
  <c r="T101" i="13"/>
  <c r="AA101" i="13" s="1"/>
  <c r="T188" i="13"/>
  <c r="AA188" i="13" s="1"/>
  <c r="T228" i="13"/>
  <c r="AA228" i="13" s="1"/>
  <c r="T111" i="13"/>
  <c r="AA111" i="13" s="1"/>
  <c r="T183" i="13"/>
  <c r="AA183" i="13" s="1"/>
  <c r="T246" i="13"/>
  <c r="AA246" i="13" s="1"/>
  <c r="T174" i="13"/>
  <c r="AA174" i="13" s="1"/>
  <c r="T173" i="13"/>
  <c r="AA173" i="13" s="1"/>
  <c r="BZ90" i="13"/>
  <c r="CD90" i="13" s="1"/>
  <c r="CF90" i="13" s="1"/>
  <c r="AG90" i="16" s="1"/>
  <c r="T90" i="13"/>
  <c r="T208" i="13"/>
  <c r="AA208" i="13" s="1"/>
  <c r="T243" i="13"/>
  <c r="AA243" i="13" s="1"/>
  <c r="BX51" i="13"/>
  <c r="CB51" i="13" s="1"/>
  <c r="T51" i="13"/>
  <c r="T99" i="13"/>
  <c r="T193" i="13"/>
  <c r="AA193" i="13" s="1"/>
  <c r="T257" i="13"/>
  <c r="AA257" i="13" s="1"/>
  <c r="T206" i="13"/>
  <c r="AA206" i="13" s="1"/>
  <c r="T189" i="13"/>
  <c r="AA189" i="13" s="1"/>
  <c r="BX69" i="13"/>
  <c r="CB69" i="13" s="1"/>
  <c r="T69" i="13"/>
  <c r="T180" i="13"/>
  <c r="AA180" i="13" s="1"/>
  <c r="T204" i="13"/>
  <c r="AA204" i="13" s="1"/>
  <c r="T190" i="13"/>
  <c r="AA190" i="13" s="1"/>
  <c r="BX66" i="13"/>
  <c r="CB66" i="13" s="1"/>
  <c r="T66" i="13"/>
  <c r="T113" i="13"/>
  <c r="AA113" i="13" s="1"/>
  <c r="T196" i="13"/>
  <c r="AA196" i="13" s="1"/>
  <c r="T212" i="13"/>
  <c r="AA212" i="13" s="1"/>
  <c r="T213" i="13"/>
  <c r="T232" i="13"/>
  <c r="AA232" i="13" s="1"/>
  <c r="T191" i="13"/>
  <c r="AA191" i="13" s="1"/>
  <c r="T179" i="13"/>
  <c r="AA179" i="13" s="1"/>
  <c r="T219" i="13"/>
  <c r="AA219" i="13" s="1"/>
  <c r="T163" i="13"/>
  <c r="AA163" i="13" s="1"/>
  <c r="BY78" i="13"/>
  <c r="CC78" i="13" s="1"/>
  <c r="T78" i="13"/>
  <c r="T192" i="13"/>
  <c r="T217" i="13"/>
  <c r="AA217" i="13" s="1"/>
  <c r="T181" i="13"/>
  <c r="AA181" i="13" s="1"/>
  <c r="T91" i="13"/>
  <c r="T186" i="13"/>
  <c r="BX231" i="13"/>
  <c r="CB231" i="13" s="1"/>
  <c r="T231" i="13"/>
  <c r="AA231" i="13" s="1"/>
  <c r="T211" i="13"/>
  <c r="AA211" i="13" s="1"/>
  <c r="T203" i="13"/>
  <c r="AA203" i="13" s="1"/>
  <c r="BZ76" i="13"/>
  <c r="CD76" i="13" s="1"/>
  <c r="CF76" i="13" s="1"/>
  <c r="AG76" i="16" s="1"/>
  <c r="T76" i="13"/>
  <c r="T238" i="13"/>
  <c r="AA238" i="13" s="1"/>
  <c r="T195" i="13"/>
  <c r="AA195" i="13" s="1"/>
  <c r="T161" i="13"/>
  <c r="AA161" i="13" s="1"/>
  <c r="BF153" i="13"/>
  <c r="AQ198" i="13"/>
  <c r="U198" i="16" s="1"/>
  <c r="AT198" i="13"/>
  <c r="AX198" i="13" s="1"/>
  <c r="AT92" i="13"/>
  <c r="AX92" i="13" s="1"/>
  <c r="AT77" i="13"/>
  <c r="AX77" i="13" s="1"/>
  <c r="AV92" i="13"/>
  <c r="AZ92" i="13" s="1"/>
  <c r="BB92" i="13" s="1"/>
  <c r="AW149" i="13"/>
  <c r="BA149" i="13" s="1"/>
  <c r="CN149" i="13" s="1"/>
  <c r="AW138" i="13"/>
  <c r="BA138" i="13" s="1"/>
  <c r="CN138" i="13" s="1"/>
  <c r="AD146" i="13"/>
  <c r="AN146" i="13" s="1"/>
  <c r="CK146" i="13" s="1"/>
  <c r="AT138" i="13"/>
  <c r="AX138" i="13" s="1"/>
  <c r="AK146" i="13"/>
  <c r="AU198" i="13"/>
  <c r="AY198" i="13" s="1"/>
  <c r="AU93" i="13"/>
  <c r="AY93" i="13" s="1"/>
  <c r="AW93" i="13"/>
  <c r="BA93" i="13" s="1"/>
  <c r="CN93" i="13" s="1"/>
  <c r="AV85" i="13"/>
  <c r="AZ85" i="13" s="1"/>
  <c r="BB85" i="13" s="1"/>
  <c r="AT147" i="13"/>
  <c r="AX147" i="13" s="1"/>
  <c r="AB146" i="13"/>
  <c r="AL146" i="13" s="1"/>
  <c r="AU132" i="13"/>
  <c r="AY132" i="13" s="1"/>
  <c r="AB198" i="13"/>
  <c r="AL198" i="13" s="1"/>
  <c r="CD20" i="13"/>
  <c r="CF20" i="13" s="1"/>
  <c r="AG20" i="16" s="1"/>
  <c r="AV149" i="13"/>
  <c r="AZ149" i="13" s="1"/>
  <c r="BB149" i="13" s="1"/>
  <c r="AT93" i="13"/>
  <c r="AX93" i="13" s="1"/>
  <c r="AU138" i="13"/>
  <c r="AY138" i="13" s="1"/>
  <c r="AC146" i="13"/>
  <c r="AM146" i="13" s="1"/>
  <c r="AO146" i="13" s="1"/>
  <c r="S146" i="16" s="1"/>
  <c r="AT149" i="13"/>
  <c r="AX149" i="13" s="1"/>
  <c r="AT146" i="13"/>
  <c r="AX146" i="13" s="1"/>
  <c r="AB149" i="13"/>
  <c r="AL149" i="13" s="1"/>
  <c r="AB138" i="13"/>
  <c r="AL138" i="13" s="1"/>
  <c r="AK149" i="13"/>
  <c r="AD138" i="13"/>
  <c r="AN138" i="13" s="1"/>
  <c r="CK138" i="13" s="1"/>
  <c r="AU149" i="13"/>
  <c r="AY149" i="13" s="1"/>
  <c r="AU146" i="13"/>
  <c r="AY146" i="13" s="1"/>
  <c r="AV198" i="13"/>
  <c r="AZ198" i="13" s="1"/>
  <c r="BB198" i="13" s="1"/>
  <c r="AV146" i="13"/>
  <c r="AZ146" i="13" s="1"/>
  <c r="BB146" i="13" s="1"/>
  <c r="AD149" i="13"/>
  <c r="AN149" i="13" s="1"/>
  <c r="CK149" i="13" s="1"/>
  <c r="AB93" i="13"/>
  <c r="AL93" i="13" s="1"/>
  <c r="AC138" i="13"/>
  <c r="AM138" i="13" s="1"/>
  <c r="AO138" i="13" s="1"/>
  <c r="S138" i="16" s="1"/>
  <c r="AD85" i="13"/>
  <c r="AN85" i="13" s="1"/>
  <c r="CK85" i="13" s="1"/>
  <c r="AW132" i="13"/>
  <c r="BA132" i="13" s="1"/>
  <c r="CN132" i="13" s="1"/>
  <c r="AW198" i="13"/>
  <c r="BA198" i="13" s="1"/>
  <c r="CN198" i="13" s="1"/>
  <c r="AW147" i="13"/>
  <c r="BA147" i="13" s="1"/>
  <c r="CN147" i="13" s="1"/>
  <c r="AV93" i="13"/>
  <c r="AZ93" i="13" s="1"/>
  <c r="BB93" i="13" s="1"/>
  <c r="AD198" i="13"/>
  <c r="AN198" i="13" s="1"/>
  <c r="CK198" i="13" s="1"/>
  <c r="AB150" i="13"/>
  <c r="AL150" i="13" s="1"/>
  <c r="BP20" i="13"/>
  <c r="CC20" i="13"/>
  <c r="AK198" i="13"/>
  <c r="AA93" i="13"/>
  <c r="AK93" i="13" s="1"/>
  <c r="AT85" i="13"/>
  <c r="AX85" i="13" s="1"/>
  <c r="AD132" i="13"/>
  <c r="AN132" i="13" s="1"/>
  <c r="CK132" i="13" s="1"/>
  <c r="AU85" i="13"/>
  <c r="AY85" i="13" s="1"/>
  <c r="AD144" i="13"/>
  <c r="AN144" i="13" s="1"/>
  <c r="CK144" i="13" s="1"/>
  <c r="AA85" i="13"/>
  <c r="AK85" i="13" s="1"/>
  <c r="AV150" i="13"/>
  <c r="AZ150" i="13" s="1"/>
  <c r="BB150" i="13" s="1"/>
  <c r="AT132" i="13"/>
  <c r="AX132" i="13" s="1"/>
  <c r="AU147" i="13"/>
  <c r="AY147" i="13" s="1"/>
  <c r="AW150" i="13"/>
  <c r="BA150" i="13" s="1"/>
  <c r="CN150" i="13" s="1"/>
  <c r="AW85" i="13"/>
  <c r="BA85" i="13" s="1"/>
  <c r="CN85" i="13" s="1"/>
  <c r="AC85" i="13"/>
  <c r="AM85" i="13" s="1"/>
  <c r="AO85" i="13" s="1"/>
  <c r="S85" i="16" s="1"/>
  <c r="AV147" i="13"/>
  <c r="AZ147" i="13" s="1"/>
  <c r="BB147" i="13" s="1"/>
  <c r="CA134" i="13"/>
  <c r="CE134" i="13" s="1"/>
  <c r="BZ134" i="13"/>
  <c r="CD134" i="13" s="1"/>
  <c r="BX134" i="13"/>
  <c r="CB134" i="13" s="1"/>
  <c r="BY134" i="13"/>
  <c r="CC134" i="13" s="1"/>
  <c r="CA69" i="13"/>
  <c r="CE69" i="13" s="1"/>
  <c r="BZ150" i="13"/>
  <c r="CD150" i="13" s="1"/>
  <c r="CF150" i="13" s="1"/>
  <c r="AG150" i="16" s="1"/>
  <c r="CA150" i="13"/>
  <c r="CE150" i="13" s="1"/>
  <c r="BX150" i="13"/>
  <c r="CB150" i="13" s="1"/>
  <c r="BY150" i="13"/>
  <c r="CC150" i="13" s="1"/>
  <c r="BZ255" i="13"/>
  <c r="CD255" i="13" s="1"/>
  <c r="CF255" i="13" s="1"/>
  <c r="AG255" i="16" s="1"/>
  <c r="BX255" i="13"/>
  <c r="CB255" i="13" s="1"/>
  <c r="BY255" i="13"/>
  <c r="CC255" i="13" s="1"/>
  <c r="CA255" i="13"/>
  <c r="CE255" i="13" s="1"/>
  <c r="BX123" i="13"/>
  <c r="CB123" i="13" s="1"/>
  <c r="BY123" i="13"/>
  <c r="CC123" i="13" s="1"/>
  <c r="BZ123" i="13"/>
  <c r="CD123" i="13" s="1"/>
  <c r="CF123" i="13" s="1"/>
  <c r="AG123" i="16" s="1"/>
  <c r="CA123" i="13"/>
  <c r="CE123" i="13" s="1"/>
  <c r="BX129" i="13"/>
  <c r="CB129" i="13" s="1"/>
  <c r="BY129" i="13"/>
  <c r="CC129" i="13" s="1"/>
  <c r="BZ129" i="13"/>
  <c r="CD129" i="13" s="1"/>
  <c r="CF129" i="13" s="1"/>
  <c r="AG129" i="16" s="1"/>
  <c r="CA129" i="13"/>
  <c r="CE129" i="13" s="1"/>
  <c r="CA118" i="13"/>
  <c r="CE118" i="13" s="1"/>
  <c r="BZ118" i="13"/>
  <c r="CD118" i="13" s="1"/>
  <c r="BY118" i="13"/>
  <c r="CC118" i="13" s="1"/>
  <c r="CF118" i="13" s="1"/>
  <c r="AG118" i="16" s="1"/>
  <c r="BX118" i="13"/>
  <c r="CB118" i="13" s="1"/>
  <c r="BX99" i="13"/>
  <c r="CB99" i="13" s="1"/>
  <c r="BY99" i="13"/>
  <c r="CC99" i="13" s="1"/>
  <c r="CF99" i="13" s="1"/>
  <c r="AG99" i="16" s="1"/>
  <c r="BZ99" i="13"/>
  <c r="CD99" i="13" s="1"/>
  <c r="CA99" i="13"/>
  <c r="CE99" i="13" s="1"/>
  <c r="BX175" i="13"/>
  <c r="CB175" i="13" s="1"/>
  <c r="BY175" i="13"/>
  <c r="CC175" i="13" s="1"/>
  <c r="BZ175" i="13"/>
  <c r="CD175" i="13" s="1"/>
  <c r="CF175" i="13" s="1"/>
  <c r="AG175" i="16" s="1"/>
  <c r="CA175" i="13"/>
  <c r="CE175" i="13" s="1"/>
  <c r="CA92" i="13"/>
  <c r="CE92" i="13" s="1"/>
  <c r="BY92" i="13"/>
  <c r="CC92" i="13" s="1"/>
  <c r="BZ92" i="13"/>
  <c r="CD92" i="13" s="1"/>
  <c r="CF92" i="13" s="1"/>
  <c r="AG92" i="16" s="1"/>
  <c r="BX92" i="13"/>
  <c r="CB92" i="13" s="1"/>
  <c r="BX77" i="13"/>
  <c r="CB77" i="13" s="1"/>
  <c r="BY77" i="13"/>
  <c r="CC77" i="13" s="1"/>
  <c r="BZ77" i="13"/>
  <c r="CD77" i="13" s="1"/>
  <c r="CF77" i="13" s="1"/>
  <c r="AG77" i="16" s="1"/>
  <c r="CA77" i="13"/>
  <c r="CE77" i="13" s="1"/>
  <c r="BX127" i="13"/>
  <c r="CB127" i="13" s="1"/>
  <c r="BY127" i="13"/>
  <c r="CC127" i="13" s="1"/>
  <c r="BZ127" i="13"/>
  <c r="CD127" i="13" s="1"/>
  <c r="CF127" i="13" s="1"/>
  <c r="AG127" i="16" s="1"/>
  <c r="CA127" i="13"/>
  <c r="CE127" i="13" s="1"/>
  <c r="CA64" i="13"/>
  <c r="CE64" i="13" s="1"/>
  <c r="BX64" i="13"/>
  <c r="CB64" i="13" s="1"/>
  <c r="BY64" i="13"/>
  <c r="CC64" i="13" s="1"/>
  <c r="BZ64" i="13"/>
  <c r="CD64" i="13" s="1"/>
  <c r="CF64" i="13" s="1"/>
  <c r="AG64" i="16" s="1"/>
  <c r="BZ210" i="13"/>
  <c r="CD210" i="13" s="1"/>
  <c r="CF210" i="13" s="1"/>
  <c r="AG210" i="16" s="1"/>
  <c r="CA210" i="13"/>
  <c r="CE210" i="13" s="1"/>
  <c r="BX210" i="13"/>
  <c r="CB210" i="13" s="1"/>
  <c r="BY210" i="13"/>
  <c r="CC210" i="13" s="1"/>
  <c r="BX151" i="13"/>
  <c r="CB151" i="13" s="1"/>
  <c r="BY151" i="13"/>
  <c r="CC151" i="13" s="1"/>
  <c r="BZ151" i="13"/>
  <c r="CD151" i="13" s="1"/>
  <c r="CA151" i="13"/>
  <c r="CE151" i="13" s="1"/>
  <c r="BX119" i="13"/>
  <c r="CB119" i="13" s="1"/>
  <c r="BY119" i="13"/>
  <c r="CC119" i="13" s="1"/>
  <c r="BZ119" i="13"/>
  <c r="CD119" i="13" s="1"/>
  <c r="CA119" i="13"/>
  <c r="CE119" i="13" s="1"/>
  <c r="BX91" i="13"/>
  <c r="CB91" i="13" s="1"/>
  <c r="BY91" i="13"/>
  <c r="CC91" i="13" s="1"/>
  <c r="BZ91" i="13"/>
  <c r="CD91" i="13" s="1"/>
  <c r="CA91" i="13"/>
  <c r="CE91" i="13" s="1"/>
  <c r="BX71" i="13"/>
  <c r="CB71" i="13" s="1"/>
  <c r="BY71" i="13"/>
  <c r="CC71" i="13" s="1"/>
  <c r="BZ71" i="13"/>
  <c r="CD71" i="13" s="1"/>
  <c r="CA71" i="13"/>
  <c r="CE71" i="13" s="1"/>
  <c r="CA130" i="13"/>
  <c r="CE130" i="13" s="1"/>
  <c r="BX130" i="13"/>
  <c r="CB130" i="13" s="1"/>
  <c r="BY130" i="13"/>
  <c r="CC130" i="13" s="1"/>
  <c r="BZ130" i="13"/>
  <c r="CD130" i="13" s="1"/>
  <c r="CF130" i="13" s="1"/>
  <c r="AG130" i="16" s="1"/>
  <c r="BX113" i="13"/>
  <c r="CB113" i="13" s="1"/>
  <c r="BY113" i="13"/>
  <c r="CC113" i="13" s="1"/>
  <c r="BZ113" i="13"/>
  <c r="CD113" i="13" s="1"/>
  <c r="CF113" i="13" s="1"/>
  <c r="AG113" i="16" s="1"/>
  <c r="CA113" i="13"/>
  <c r="CE113" i="13" s="1"/>
  <c r="AT150" i="13"/>
  <c r="AX150" i="13" s="1"/>
  <c r="BX146" i="13"/>
  <c r="CB146" i="13" s="1"/>
  <c r="BZ146" i="13"/>
  <c r="CD146" i="13" s="1"/>
  <c r="CF146" i="13" s="1"/>
  <c r="AG146" i="16" s="1"/>
  <c r="CA146" i="13"/>
  <c r="CE146" i="13" s="1"/>
  <c r="BY146" i="13"/>
  <c r="CC146" i="13" s="1"/>
  <c r="CA149" i="13"/>
  <c r="CE149" i="13" s="1"/>
  <c r="BY149" i="13"/>
  <c r="CC149" i="13" s="1"/>
  <c r="BZ149" i="13"/>
  <c r="CD149" i="13" s="1"/>
  <c r="CF149" i="13" s="1"/>
  <c r="AG149" i="16" s="1"/>
  <c r="BX149" i="13"/>
  <c r="CB149" i="13" s="1"/>
  <c r="CA138" i="13"/>
  <c r="CE138" i="13" s="1"/>
  <c r="BX138" i="13"/>
  <c r="CB138" i="13" s="1"/>
  <c r="BY138" i="13"/>
  <c r="CC138" i="13" s="1"/>
  <c r="BZ138" i="13"/>
  <c r="CD138" i="13" s="1"/>
  <c r="CF138" i="13" s="1"/>
  <c r="AG138" i="16" s="1"/>
  <c r="BX145" i="13"/>
  <c r="CB145" i="13" s="1"/>
  <c r="BY145" i="13"/>
  <c r="CC145" i="13" s="1"/>
  <c r="BZ145" i="13"/>
  <c r="CD145" i="13" s="1"/>
  <c r="CF145" i="13" s="1"/>
  <c r="AG145" i="16" s="1"/>
  <c r="CA145" i="13"/>
  <c r="CE145" i="13" s="1"/>
  <c r="BZ236" i="13"/>
  <c r="CD236" i="13" s="1"/>
  <c r="CF236" i="13" s="1"/>
  <c r="AG236" i="16" s="1"/>
  <c r="CA236" i="13"/>
  <c r="CE236" i="13" s="1"/>
  <c r="BY236" i="13"/>
  <c r="CC236" i="13" s="1"/>
  <c r="BX236" i="13"/>
  <c r="CB236" i="13" s="1"/>
  <c r="CA34" i="13"/>
  <c r="CE34" i="13" s="1"/>
  <c r="BX34" i="13"/>
  <c r="CB34" i="13" s="1"/>
  <c r="BY34" i="13"/>
  <c r="CC34" i="13" s="1"/>
  <c r="BZ34" i="13"/>
  <c r="CB20" i="13"/>
  <c r="BX47" i="13"/>
  <c r="CB47" i="13" s="1"/>
  <c r="BY47" i="13"/>
  <c r="CC47" i="13" s="1"/>
  <c r="BZ47" i="13"/>
  <c r="CD47" i="13" s="1"/>
  <c r="CF47" i="13" s="1"/>
  <c r="AG47" i="16" s="1"/>
  <c r="CA47" i="13"/>
  <c r="CE47" i="13" s="1"/>
  <c r="BX33" i="13"/>
  <c r="CB33" i="13" s="1"/>
  <c r="BY33" i="13"/>
  <c r="CC33" i="13" s="1"/>
  <c r="BZ33" i="13"/>
  <c r="CD33" i="13" s="1"/>
  <c r="CF33" i="13" s="1"/>
  <c r="AG33" i="16" s="1"/>
  <c r="CA33" i="13"/>
  <c r="CE33" i="13" s="1"/>
  <c r="BX95" i="13"/>
  <c r="CB95" i="13" s="1"/>
  <c r="BY95" i="13"/>
  <c r="CC95" i="13" s="1"/>
  <c r="BZ95" i="13"/>
  <c r="CD95" i="13" s="1"/>
  <c r="CF95" i="13" s="1"/>
  <c r="AG95" i="16" s="1"/>
  <c r="CA95" i="13"/>
  <c r="CE95" i="13" s="1"/>
  <c r="BZ184" i="13"/>
  <c r="CD184" i="13" s="1"/>
  <c r="CF184" i="13" s="1"/>
  <c r="AG184" i="16" s="1"/>
  <c r="CA184" i="13"/>
  <c r="CE184" i="13" s="1"/>
  <c r="BY184" i="13"/>
  <c r="CC184" i="13" s="1"/>
  <c r="BX184" i="13"/>
  <c r="CB184" i="13" s="1"/>
  <c r="BX256" i="13"/>
  <c r="CB256" i="13" s="1"/>
  <c r="BY256" i="13"/>
  <c r="CC256" i="13" s="1"/>
  <c r="BZ256" i="13"/>
  <c r="CD256" i="13" s="1"/>
  <c r="CF256" i="13" s="1"/>
  <c r="AG256" i="16" s="1"/>
  <c r="CA256" i="13"/>
  <c r="CE256" i="13" s="1"/>
  <c r="CE20" i="13"/>
  <c r="BX16" i="13"/>
  <c r="CB16" i="13" s="1"/>
  <c r="BY16" i="13"/>
  <c r="CC16" i="13" s="1"/>
  <c r="BZ16" i="13"/>
  <c r="CD16" i="13" s="1"/>
  <c r="CF16" i="13" s="1"/>
  <c r="AG16" i="16" s="1"/>
  <c r="CA16" i="13"/>
  <c r="CE16" i="13" s="1"/>
  <c r="BZ240" i="13"/>
  <c r="CD240" i="13" s="1"/>
  <c r="CF240" i="13" s="1"/>
  <c r="AG240" i="16" s="1"/>
  <c r="CA240" i="13"/>
  <c r="CE240" i="13" s="1"/>
  <c r="BY240" i="13"/>
  <c r="CC240" i="13" s="1"/>
  <c r="BX240" i="13"/>
  <c r="CB240" i="13" s="1"/>
  <c r="BX101" i="13"/>
  <c r="CB101" i="13" s="1"/>
  <c r="BY101" i="13"/>
  <c r="CC101" i="13" s="1"/>
  <c r="CF101" i="13" s="1"/>
  <c r="AG101" i="16" s="1"/>
  <c r="BZ101" i="13"/>
  <c r="CD101" i="13" s="1"/>
  <c r="CA101" i="13"/>
  <c r="CE101" i="13" s="1"/>
  <c r="BX78" i="13"/>
  <c r="CB78" i="13" s="1"/>
  <c r="BX183" i="13"/>
  <c r="CB183" i="13" s="1"/>
  <c r="BY183" i="13"/>
  <c r="CC183" i="13" s="1"/>
  <c r="BZ183" i="13"/>
  <c r="CD183" i="13" s="1"/>
  <c r="CF183" i="13" s="1"/>
  <c r="AG183" i="16" s="1"/>
  <c r="CA183" i="13"/>
  <c r="CE183" i="13" s="1"/>
  <c r="BY76" i="13"/>
  <c r="CC76" i="13" s="1"/>
  <c r="BX111" i="13"/>
  <c r="CB111" i="13" s="1"/>
  <c r="BY111" i="13"/>
  <c r="CC111" i="13" s="1"/>
  <c r="BZ111" i="13"/>
  <c r="CD111" i="13" s="1"/>
  <c r="CF111" i="13" s="1"/>
  <c r="AG111" i="16" s="1"/>
  <c r="CA111" i="13"/>
  <c r="CE111" i="13" s="1"/>
  <c r="BX85" i="13"/>
  <c r="CB85" i="13" s="1"/>
  <c r="BY85" i="13"/>
  <c r="CC85" i="13" s="1"/>
  <c r="BZ85" i="13"/>
  <c r="CD85" i="13" s="1"/>
  <c r="CF85" i="13" s="1"/>
  <c r="AG85" i="16" s="1"/>
  <c r="CA85" i="13"/>
  <c r="CE85" i="13" s="1"/>
  <c r="CA132" i="13"/>
  <c r="CE132" i="13" s="1"/>
  <c r="BY132" i="13"/>
  <c r="CC132" i="13" s="1"/>
  <c r="BZ132" i="13"/>
  <c r="CD132" i="13" s="1"/>
  <c r="CF132" i="13" s="1"/>
  <c r="AG132" i="16" s="1"/>
  <c r="BX132" i="13"/>
  <c r="CB132" i="13" s="1"/>
  <c r="CA237" i="13"/>
  <c r="CE237" i="13" s="1"/>
  <c r="BX237" i="13"/>
  <c r="CB237" i="13" s="1"/>
  <c r="BY237" i="13"/>
  <c r="CC237" i="13" s="1"/>
  <c r="BZ237" i="13"/>
  <c r="CD237" i="13" s="1"/>
  <c r="CF237" i="13" s="1"/>
  <c r="AG237" i="16" s="1"/>
  <c r="CA128" i="13"/>
  <c r="CE128" i="13" s="1"/>
  <c r="BX128" i="13"/>
  <c r="CB128" i="13" s="1"/>
  <c r="BY128" i="13"/>
  <c r="CC128" i="13" s="1"/>
  <c r="BZ128" i="13"/>
  <c r="CD128" i="13" s="1"/>
  <c r="CF128" i="13" s="1"/>
  <c r="AG128" i="16" s="1"/>
  <c r="BX147" i="13"/>
  <c r="CB147" i="13" s="1"/>
  <c r="BY147" i="13"/>
  <c r="CC147" i="13" s="1"/>
  <c r="BZ147" i="13"/>
  <c r="CD147" i="13" s="1"/>
  <c r="CF147" i="13" s="1"/>
  <c r="AG147" i="16" s="1"/>
  <c r="CA147" i="13"/>
  <c r="CE147" i="13" s="1"/>
  <c r="BZ198" i="13"/>
  <c r="CD198" i="13" s="1"/>
  <c r="CF198" i="13" s="1"/>
  <c r="AG198" i="16" s="1"/>
  <c r="CA198" i="13"/>
  <c r="CE198" i="13" s="1"/>
  <c r="BX198" i="13"/>
  <c r="CB198" i="13" s="1"/>
  <c r="BY198" i="13"/>
  <c r="CC198" i="13" s="1"/>
  <c r="BX93" i="13"/>
  <c r="CB93" i="13" s="1"/>
  <c r="BY93" i="13"/>
  <c r="CC93" i="13" s="1"/>
  <c r="BZ93" i="13"/>
  <c r="CD93" i="13" s="1"/>
  <c r="CF93" i="13" s="1"/>
  <c r="AG93" i="16" s="1"/>
  <c r="CA93" i="13"/>
  <c r="CE93" i="13" s="1"/>
  <c r="BX131" i="13"/>
  <c r="CB131" i="13" s="1"/>
  <c r="BY131" i="13"/>
  <c r="CC131" i="13" s="1"/>
  <c r="BZ131" i="13"/>
  <c r="CD131" i="13" s="1"/>
  <c r="CF131" i="13" s="1"/>
  <c r="AG131" i="16" s="1"/>
  <c r="CA131" i="13"/>
  <c r="CE131" i="13" s="1"/>
  <c r="BX61" i="13"/>
  <c r="CB61" i="13" s="1"/>
  <c r="BY61" i="13"/>
  <c r="CC61" i="13" s="1"/>
  <c r="BZ61" i="13"/>
  <c r="CD61" i="13" s="1"/>
  <c r="CF61" i="13" s="1"/>
  <c r="AG61" i="16" s="1"/>
  <c r="CA61" i="13"/>
  <c r="CE61" i="13" s="1"/>
  <c r="CD17" i="13"/>
  <c r="CF17" i="13" s="1"/>
  <c r="AG17" i="16" s="1"/>
  <c r="BX181" i="13"/>
  <c r="CB181" i="13" s="1"/>
  <c r="BZ181" i="13"/>
  <c r="CD181" i="13" s="1"/>
  <c r="CF181" i="13" s="1"/>
  <c r="AG181" i="16" s="1"/>
  <c r="CA181" i="13"/>
  <c r="CE181" i="13" s="1"/>
  <c r="BY181" i="13"/>
  <c r="CC181" i="13" s="1"/>
  <c r="CA60" i="13"/>
  <c r="CE60" i="13" s="1"/>
  <c r="BY60" i="13"/>
  <c r="CC60" i="13" s="1"/>
  <c r="CF60" i="13" s="1"/>
  <c r="AG60" i="16" s="1"/>
  <c r="BZ60" i="13"/>
  <c r="CD60" i="13" s="1"/>
  <c r="BX60" i="13"/>
  <c r="CB60" i="13" s="1"/>
  <c r="AD150" i="13"/>
  <c r="AN150" i="13" s="1"/>
  <c r="CK150" i="13" s="1"/>
  <c r="CA124" i="13"/>
  <c r="CE124" i="13" s="1"/>
  <c r="BY124" i="13"/>
  <c r="CC124" i="13" s="1"/>
  <c r="BZ124" i="13"/>
  <c r="CD124" i="13" s="1"/>
  <c r="CF124" i="13" s="1"/>
  <c r="AG124" i="16" s="1"/>
  <c r="BX124" i="13"/>
  <c r="CB124" i="13" s="1"/>
  <c r="CA58" i="13"/>
  <c r="CE58" i="13" s="1"/>
  <c r="BZ58" i="13"/>
  <c r="CD58" i="13" s="1"/>
  <c r="CF58" i="13" s="1"/>
  <c r="AG58" i="16" s="1"/>
  <c r="BX58" i="13"/>
  <c r="CB58" i="13" s="1"/>
  <c r="BY58" i="13"/>
  <c r="CC58" i="13" s="1"/>
  <c r="CA48" i="13"/>
  <c r="CE48" i="13" s="1"/>
  <c r="BX48" i="13"/>
  <c r="CB48" i="13" s="1"/>
  <c r="BY48" i="13"/>
  <c r="CC48" i="13" s="1"/>
  <c r="BZ48" i="13"/>
  <c r="CD48" i="13" s="1"/>
  <c r="CF48" i="13" s="1"/>
  <c r="AG48" i="16" s="1"/>
  <c r="CC17" i="13"/>
  <c r="CA126" i="13"/>
  <c r="CE126" i="13" s="1"/>
  <c r="BX126" i="13"/>
  <c r="CB126" i="13" s="1"/>
  <c r="BY126" i="13"/>
  <c r="CC126" i="13" s="1"/>
  <c r="BZ126" i="13"/>
  <c r="CD126" i="13" s="1"/>
  <c r="CF126" i="13" s="1"/>
  <c r="AG126" i="16" s="1"/>
  <c r="CA51" i="13"/>
  <c r="CE51" i="13" s="1"/>
  <c r="CA32" i="13"/>
  <c r="CE32" i="13" s="1"/>
  <c r="BZ32" i="13"/>
  <c r="CD32" i="13" s="1"/>
  <c r="BX32" i="13"/>
  <c r="CB32" i="13" s="1"/>
  <c r="BY32" i="13"/>
  <c r="CC32" i="13" s="1"/>
  <c r="CA66" i="13"/>
  <c r="CE66" i="13" s="1"/>
  <c r="AC150" i="13"/>
  <c r="AM150" i="13" s="1"/>
  <c r="AO150" i="13" s="1"/>
  <c r="S150" i="16" s="1"/>
  <c r="CA44" i="13"/>
  <c r="CE44" i="13" s="1"/>
  <c r="BY44" i="13"/>
  <c r="CC44" i="13" s="1"/>
  <c r="BZ44" i="13"/>
  <c r="CD44" i="13" s="1"/>
  <c r="CF44" i="13" s="1"/>
  <c r="AG44" i="16" s="1"/>
  <c r="BX44" i="13"/>
  <c r="CB44" i="13" s="1"/>
  <c r="BX199" i="13"/>
  <c r="CB199" i="13" s="1"/>
  <c r="BY199" i="13"/>
  <c r="CC199" i="13" s="1"/>
  <c r="BZ199" i="13"/>
  <c r="CD199" i="13" s="1"/>
  <c r="CF199" i="13" s="1"/>
  <c r="AG199" i="16" s="1"/>
  <c r="CA199" i="13"/>
  <c r="CE199" i="13" s="1"/>
  <c r="CA98" i="13"/>
  <c r="CE98" i="13" s="1"/>
  <c r="BX98" i="13"/>
  <c r="CB98" i="13" s="1"/>
  <c r="BY98" i="13"/>
  <c r="CC98" i="13" s="1"/>
  <c r="BZ98" i="13"/>
  <c r="CD98" i="13" s="1"/>
  <c r="BX259" i="13"/>
  <c r="CB259" i="13" s="1"/>
  <c r="BY259" i="13"/>
  <c r="CC259" i="13" s="1"/>
  <c r="BZ259" i="13"/>
  <c r="CD259" i="13" s="1"/>
  <c r="CF259" i="13" s="1"/>
  <c r="AG259" i="16" s="1"/>
  <c r="CA259" i="13"/>
  <c r="CE259" i="13" s="1"/>
  <c r="BX157" i="13"/>
  <c r="CB157" i="13" s="1"/>
  <c r="BZ157" i="13"/>
  <c r="CD157" i="13" s="1"/>
  <c r="CF157" i="13" s="1"/>
  <c r="AG157" i="16" s="1"/>
  <c r="CA157" i="13"/>
  <c r="CE157" i="13" s="1"/>
  <c r="BY157" i="13"/>
  <c r="CC157" i="13" s="1"/>
  <c r="CA46" i="13"/>
  <c r="CE46" i="13" s="1"/>
  <c r="BX46" i="13"/>
  <c r="CB46" i="13" s="1"/>
  <c r="BZ46" i="13"/>
  <c r="CD46" i="13" s="1"/>
  <c r="CF46" i="13" s="1"/>
  <c r="AG46" i="16" s="1"/>
  <c r="BY46" i="13"/>
  <c r="CC46" i="13" s="1"/>
  <c r="BX55" i="13"/>
  <c r="CB55" i="13" s="1"/>
  <c r="BY55" i="13"/>
  <c r="CC55" i="13" s="1"/>
  <c r="BZ55" i="13"/>
  <c r="CD55" i="13" s="1"/>
  <c r="CF55" i="13" s="1"/>
  <c r="AG55" i="16" s="1"/>
  <c r="CA55" i="13"/>
  <c r="CE55" i="13" s="1"/>
  <c r="CB17" i="13"/>
  <c r="BY90" i="13"/>
  <c r="CC90" i="13" s="1"/>
  <c r="BY144" i="13"/>
  <c r="CC144" i="13" s="1"/>
  <c r="BZ144" i="13"/>
  <c r="CD144" i="13" s="1"/>
  <c r="CF144" i="13" s="1"/>
  <c r="AG144" i="16" s="1"/>
  <c r="CA144" i="13"/>
  <c r="CE144" i="13" s="1"/>
  <c r="BX144" i="13"/>
  <c r="CB144" i="13" s="1"/>
  <c r="CA231" i="13"/>
  <c r="CE231" i="13" s="1"/>
  <c r="BZ180" i="13"/>
  <c r="CD180" i="13" s="1"/>
  <c r="CF180" i="13" s="1"/>
  <c r="AG180" i="16" s="1"/>
  <c r="CA180" i="13"/>
  <c r="CE180" i="13" s="1"/>
  <c r="BX180" i="13"/>
  <c r="CB180" i="13" s="1"/>
  <c r="BY180" i="13"/>
  <c r="CC180" i="13" s="1"/>
  <c r="BK220" i="13"/>
  <c r="BO220" i="13" s="1"/>
  <c r="BZ204" i="13"/>
  <c r="CD204" i="13" s="1"/>
  <c r="CF204" i="13" s="1"/>
  <c r="AG204" i="16" s="1"/>
  <c r="CA204" i="13"/>
  <c r="CE204" i="13" s="1"/>
  <c r="BY204" i="13"/>
  <c r="CC204" i="13" s="1"/>
  <c r="BX204" i="13"/>
  <c r="CB204" i="13" s="1"/>
  <c r="BX217" i="13"/>
  <c r="CB217" i="13" s="1"/>
  <c r="BY217" i="13"/>
  <c r="CC217" i="13" s="1"/>
  <c r="CA217" i="13"/>
  <c r="CE217" i="13" s="1"/>
  <c r="BZ217" i="13"/>
  <c r="CD217" i="13" s="1"/>
  <c r="CF217" i="13" s="1"/>
  <c r="AG217" i="16" s="1"/>
  <c r="AU150" i="13"/>
  <c r="AY150" i="13" s="1"/>
  <c r="BX35" i="13"/>
  <c r="CB35" i="13" s="1"/>
  <c r="BY35" i="13"/>
  <c r="CC35" i="13" s="1"/>
  <c r="BZ35" i="13"/>
  <c r="CD35" i="13" s="1"/>
  <c r="CF35" i="13" s="1"/>
  <c r="AG35" i="16" s="1"/>
  <c r="CA35" i="13"/>
  <c r="CE35" i="13" s="1"/>
  <c r="CA120" i="13"/>
  <c r="CE120" i="13" s="1"/>
  <c r="BX120" i="13"/>
  <c r="CB120" i="13" s="1"/>
  <c r="BY120" i="13"/>
  <c r="CC120" i="13" s="1"/>
  <c r="BZ120" i="13"/>
  <c r="CD120" i="13" s="1"/>
  <c r="CF120" i="13" s="1"/>
  <c r="AG120" i="16" s="1"/>
  <c r="CA94" i="13"/>
  <c r="CE94" i="13" s="1"/>
  <c r="BX94" i="13"/>
  <c r="CB94" i="13" s="1"/>
  <c r="BY94" i="13"/>
  <c r="CC94" i="13" s="1"/>
  <c r="BZ94" i="13"/>
  <c r="CD94" i="13" s="1"/>
  <c r="CF94" i="13" s="1"/>
  <c r="AG94" i="16" s="1"/>
  <c r="BX139" i="13"/>
  <c r="CB139" i="13" s="1"/>
  <c r="BY139" i="13"/>
  <c r="CC139" i="13" s="1"/>
  <c r="BZ139" i="13"/>
  <c r="CD139" i="13" s="1"/>
  <c r="CF139" i="13" s="1"/>
  <c r="AG139" i="16" s="1"/>
  <c r="CA139" i="13"/>
  <c r="CE139" i="13" s="1"/>
  <c r="BX43" i="13"/>
  <c r="CB43" i="13" s="1"/>
  <c r="BY43" i="13"/>
  <c r="CC43" i="13" s="1"/>
  <c r="BZ43" i="13"/>
  <c r="CD43" i="13" s="1"/>
  <c r="CF43" i="13" s="1"/>
  <c r="AG43" i="16" s="1"/>
  <c r="CA43" i="13"/>
  <c r="CE43" i="13" s="1"/>
  <c r="BX45" i="13"/>
  <c r="CB45" i="13" s="1"/>
  <c r="BY45" i="13"/>
  <c r="CC45" i="13" s="1"/>
  <c r="BZ45" i="13"/>
  <c r="CD45" i="13" s="1"/>
  <c r="CF45" i="13" s="1"/>
  <c r="AG45" i="16" s="1"/>
  <c r="CA45" i="13"/>
  <c r="CE45" i="13" s="1"/>
  <c r="CE17" i="13"/>
  <c r="BN28" i="13"/>
  <c r="BR28" i="13" s="1"/>
  <c r="BM28" i="13"/>
  <c r="BQ28" i="13" s="1"/>
  <c r="BS28" i="13" s="1"/>
  <c r="AC28" i="16" s="1"/>
  <c r="BN117" i="13"/>
  <c r="BR117" i="13" s="1"/>
  <c r="BM117" i="13"/>
  <c r="BQ117" i="13" s="1"/>
  <c r="BS117" i="13" s="1"/>
  <c r="AC117" i="16" s="1"/>
  <c r="BN45" i="13"/>
  <c r="BR45" i="13" s="1"/>
  <c r="BM45" i="13"/>
  <c r="BQ45" i="13" s="1"/>
  <c r="BS45" i="13" s="1"/>
  <c r="AC45" i="16" s="1"/>
  <c r="BM256" i="13"/>
  <c r="BQ256" i="13" s="1"/>
  <c r="BS256" i="13" s="1"/>
  <c r="AC256" i="16" s="1"/>
  <c r="BN256" i="13"/>
  <c r="BR256" i="13" s="1"/>
  <c r="BK16" i="13"/>
  <c r="BO16" i="13" s="1"/>
  <c r="BL16" i="13"/>
  <c r="BP16" i="13" s="1"/>
  <c r="AD35" i="13"/>
  <c r="AN35" i="13" s="1"/>
  <c r="CK35" i="13" s="1"/>
  <c r="BN35" i="13"/>
  <c r="BR35" i="13" s="1"/>
  <c r="BM35" i="13"/>
  <c r="BQ35" i="13" s="1"/>
  <c r="BS35" i="13" s="1"/>
  <c r="AC35" i="16" s="1"/>
  <c r="BN120" i="13"/>
  <c r="BR120" i="13" s="1"/>
  <c r="BM120" i="13"/>
  <c r="BQ120" i="13" s="1"/>
  <c r="BS120" i="13" s="1"/>
  <c r="AC120" i="16" s="1"/>
  <c r="BK144" i="13"/>
  <c r="BO144" i="13" s="1"/>
  <c r="BL144" i="13"/>
  <c r="BP144" i="13" s="1"/>
  <c r="BN94" i="13"/>
  <c r="BR94" i="13" s="1"/>
  <c r="BM94" i="13"/>
  <c r="BQ94" i="13" s="1"/>
  <c r="BS94" i="13" s="1"/>
  <c r="AC94" i="16" s="1"/>
  <c r="BK150" i="13"/>
  <c r="BO150" i="13" s="1"/>
  <c r="BL150" i="13"/>
  <c r="BP150" i="13" s="1"/>
  <c r="AK139" i="13"/>
  <c r="BN139" i="13"/>
  <c r="BR139" i="13" s="1"/>
  <c r="BM139" i="13"/>
  <c r="BQ139" i="13" s="1"/>
  <c r="BS139" i="13" s="1"/>
  <c r="AC139" i="16" s="1"/>
  <c r="BL240" i="13"/>
  <c r="BP240" i="13" s="1"/>
  <c r="BK240" i="13"/>
  <c r="BO240" i="13" s="1"/>
  <c r="BL255" i="13"/>
  <c r="BP255" i="13" s="1"/>
  <c r="BK255" i="13"/>
  <c r="BO255" i="13" s="1"/>
  <c r="BN169" i="13"/>
  <c r="BR169" i="13" s="1"/>
  <c r="BM169" i="13"/>
  <c r="BQ169" i="13" s="1"/>
  <c r="BS169" i="13" s="1"/>
  <c r="AC169" i="16" s="1"/>
  <c r="BK32" i="13"/>
  <c r="BO32" i="13" s="1"/>
  <c r="BL32" i="13"/>
  <c r="BP32" i="13" s="1"/>
  <c r="BK66" i="13"/>
  <c r="BO66" i="13" s="1"/>
  <c r="BN41" i="13"/>
  <c r="BR41" i="13" s="1"/>
  <c r="BM41" i="13"/>
  <c r="BQ41" i="13" s="1"/>
  <c r="BN125" i="13"/>
  <c r="BR125" i="13" s="1"/>
  <c r="BM125" i="13"/>
  <c r="BQ125" i="13" s="1"/>
  <c r="BS125" i="13" s="1"/>
  <c r="AC125" i="16" s="1"/>
  <c r="BN95" i="13"/>
  <c r="BR95" i="13" s="1"/>
  <c r="BM95" i="13"/>
  <c r="BQ95" i="13" s="1"/>
  <c r="BS95" i="13" s="1"/>
  <c r="AC95" i="16" s="1"/>
  <c r="BM236" i="13"/>
  <c r="BQ236" i="13" s="1"/>
  <c r="BS236" i="13" s="1"/>
  <c r="AC236" i="16" s="1"/>
  <c r="BN236" i="13"/>
  <c r="BR236" i="13" s="1"/>
  <c r="BN16" i="13"/>
  <c r="BR16" i="13" s="1"/>
  <c r="BM16" i="13"/>
  <c r="BQ16" i="13" s="1"/>
  <c r="BS16" i="13" s="1"/>
  <c r="AC16" i="16" s="1"/>
  <c r="BL175" i="13"/>
  <c r="BP175" i="13" s="1"/>
  <c r="BK175" i="13"/>
  <c r="BO175" i="13" s="1"/>
  <c r="BK92" i="13"/>
  <c r="BO92" i="13" s="1"/>
  <c r="BL92" i="13"/>
  <c r="BP92" i="13" s="1"/>
  <c r="BN144" i="13"/>
  <c r="BR144" i="13" s="1"/>
  <c r="BM144" i="13"/>
  <c r="BQ144" i="13" s="1"/>
  <c r="BS144" i="13" s="1"/>
  <c r="AC144" i="16" s="1"/>
  <c r="BL77" i="13"/>
  <c r="BP77" i="13" s="1"/>
  <c r="BK77" i="13"/>
  <c r="BO77" i="13" s="1"/>
  <c r="BN150" i="13"/>
  <c r="BR150" i="13" s="1"/>
  <c r="BM150" i="13"/>
  <c r="BQ150" i="13" s="1"/>
  <c r="BS150" i="13" s="1"/>
  <c r="AC150" i="16" s="1"/>
  <c r="BL127" i="13"/>
  <c r="BP127" i="13" s="1"/>
  <c r="BK127" i="13"/>
  <c r="BO127" i="13" s="1"/>
  <c r="BN240" i="13"/>
  <c r="BR240" i="13" s="1"/>
  <c r="BM240" i="13"/>
  <c r="BQ240" i="13" s="1"/>
  <c r="BS240" i="13" s="1"/>
  <c r="AC240" i="16" s="1"/>
  <c r="BK64" i="13"/>
  <c r="BO64" i="13" s="1"/>
  <c r="BL64" i="13"/>
  <c r="BP64" i="13" s="1"/>
  <c r="BO20" i="13"/>
  <c r="BL217" i="13"/>
  <c r="BP217" i="13" s="1"/>
  <c r="BK217" i="13"/>
  <c r="BO217" i="13" s="1"/>
  <c r="BN19" i="13"/>
  <c r="BR19" i="13" s="1"/>
  <c r="BM19" i="13"/>
  <c r="BQ19" i="13" s="1"/>
  <c r="BS19" i="13" s="1"/>
  <c r="AC19" i="16" s="1"/>
  <c r="BN148" i="13"/>
  <c r="BR148" i="13" s="1"/>
  <c r="BM148" i="13"/>
  <c r="BQ148" i="13" s="1"/>
  <c r="BS148" i="13" s="1"/>
  <c r="AC148" i="16" s="1"/>
  <c r="BN58" i="13"/>
  <c r="BR58" i="13" s="1"/>
  <c r="BM58" i="13"/>
  <c r="BQ58" i="13" s="1"/>
  <c r="BS58" i="13" s="1"/>
  <c r="AC58" i="16" s="1"/>
  <c r="BN44" i="13"/>
  <c r="BR44" i="13" s="1"/>
  <c r="BM44" i="13"/>
  <c r="BQ44" i="13" s="1"/>
  <c r="BS44" i="13" s="1"/>
  <c r="AC44" i="16" s="1"/>
  <c r="BN184" i="13"/>
  <c r="BR184" i="13" s="1"/>
  <c r="BM184" i="13"/>
  <c r="BQ184" i="13" s="1"/>
  <c r="BS184" i="13" s="1"/>
  <c r="AC184" i="16" s="1"/>
  <c r="BK146" i="13"/>
  <c r="BO146" i="13" s="1"/>
  <c r="BL146" i="13"/>
  <c r="BP146" i="13" s="1"/>
  <c r="BK149" i="13"/>
  <c r="BO149" i="13" s="1"/>
  <c r="BL149" i="13"/>
  <c r="BP149" i="13" s="1"/>
  <c r="AA92" i="13"/>
  <c r="AK92" i="13" s="1"/>
  <c r="BN92" i="13"/>
  <c r="BR92" i="13" s="1"/>
  <c r="BM92" i="13"/>
  <c r="BQ92" i="13" s="1"/>
  <c r="BS92" i="13" s="1"/>
  <c r="AC92" i="16" s="1"/>
  <c r="BK138" i="13"/>
  <c r="BO138" i="13" s="1"/>
  <c r="BL138" i="13"/>
  <c r="BP138" i="13" s="1"/>
  <c r="AW77" i="13"/>
  <c r="BA77" i="13" s="1"/>
  <c r="CN77" i="13" s="1"/>
  <c r="BN77" i="13"/>
  <c r="BR77" i="13" s="1"/>
  <c r="BM77" i="13"/>
  <c r="BQ77" i="13" s="1"/>
  <c r="BS77" i="13" s="1"/>
  <c r="AC77" i="16" s="1"/>
  <c r="BK145" i="13"/>
  <c r="BO145" i="13" s="1"/>
  <c r="BL145" i="13"/>
  <c r="BP145" i="13" s="1"/>
  <c r="AK127" i="13"/>
  <c r="BN127" i="13"/>
  <c r="BR127" i="13" s="1"/>
  <c r="BM127" i="13"/>
  <c r="BQ127" i="13" s="1"/>
  <c r="BS127" i="13" s="1"/>
  <c r="AC127" i="16" s="1"/>
  <c r="BL236" i="13"/>
  <c r="BP236" i="13" s="1"/>
  <c r="BK236" i="13"/>
  <c r="BO236" i="13" s="1"/>
  <c r="BK34" i="13"/>
  <c r="BO34" i="13" s="1"/>
  <c r="BN171" i="13"/>
  <c r="BR171" i="13" s="1"/>
  <c r="BM171" i="13"/>
  <c r="BQ171" i="13" s="1"/>
  <c r="BS171" i="13" s="1"/>
  <c r="AC171" i="16" s="1"/>
  <c r="BK126" i="13"/>
  <c r="BO126" i="13" s="1"/>
  <c r="BL126" i="13"/>
  <c r="BP126" i="13" s="1"/>
  <c r="BK134" i="13"/>
  <c r="BO134" i="13" s="1"/>
  <c r="BL134" i="13"/>
  <c r="BP134" i="13" s="1"/>
  <c r="AW92" i="13"/>
  <c r="BA92" i="13" s="1"/>
  <c r="CN92" i="13" s="1"/>
  <c r="AT127" i="13"/>
  <c r="AX127" i="13" s="1"/>
  <c r="BN135" i="13"/>
  <c r="BR135" i="13" s="1"/>
  <c r="BM135" i="13"/>
  <c r="BQ135" i="13" s="1"/>
  <c r="BS135" i="13" s="1"/>
  <c r="AC135" i="16" s="1"/>
  <c r="BN55" i="13"/>
  <c r="BR55" i="13" s="1"/>
  <c r="BM55" i="13"/>
  <c r="BQ55" i="13" s="1"/>
  <c r="BS55" i="13" s="1"/>
  <c r="AC55" i="16" s="1"/>
  <c r="BN157" i="13"/>
  <c r="BR157" i="13" s="1"/>
  <c r="BM157" i="13"/>
  <c r="BQ157" i="13" s="1"/>
  <c r="BS157" i="13" s="1"/>
  <c r="AC157" i="16" s="1"/>
  <c r="BN131" i="13"/>
  <c r="BR131" i="13" s="1"/>
  <c r="BM131" i="13"/>
  <c r="BQ131" i="13" s="1"/>
  <c r="BS131" i="13" s="1"/>
  <c r="AC131" i="16" s="1"/>
  <c r="BN146" i="13"/>
  <c r="BR146" i="13" s="1"/>
  <c r="BM146" i="13"/>
  <c r="BQ146" i="13" s="1"/>
  <c r="BS146" i="13" s="1"/>
  <c r="AC146" i="16" s="1"/>
  <c r="BN149" i="13"/>
  <c r="BR149" i="13" s="1"/>
  <c r="BM149" i="13"/>
  <c r="BQ149" i="13" s="1"/>
  <c r="BS149" i="13" s="1"/>
  <c r="AC149" i="16" s="1"/>
  <c r="BL47" i="13"/>
  <c r="BP47" i="13" s="1"/>
  <c r="BK47" i="13"/>
  <c r="BO47" i="13" s="1"/>
  <c r="BN138" i="13"/>
  <c r="BR138" i="13" s="1"/>
  <c r="BM138" i="13"/>
  <c r="BQ138" i="13" s="1"/>
  <c r="BS138" i="13" s="1"/>
  <c r="AC138" i="16" s="1"/>
  <c r="BK33" i="13"/>
  <c r="BO33" i="13" s="1"/>
  <c r="BL33" i="13"/>
  <c r="BP33" i="13" s="1"/>
  <c r="BN145" i="13"/>
  <c r="BR145" i="13" s="1"/>
  <c r="BM145" i="13"/>
  <c r="BQ145" i="13" s="1"/>
  <c r="BS145" i="13" s="1"/>
  <c r="AC145" i="16" s="1"/>
  <c r="BL95" i="13"/>
  <c r="BP95" i="13" s="1"/>
  <c r="BK95" i="13"/>
  <c r="BO95" i="13" s="1"/>
  <c r="BL184" i="13"/>
  <c r="BP184" i="13" s="1"/>
  <c r="BK184" i="13"/>
  <c r="BO184" i="13" s="1"/>
  <c r="BL256" i="13"/>
  <c r="BP256" i="13" s="1"/>
  <c r="BK256" i="13"/>
  <c r="BO256" i="13" s="1"/>
  <c r="BL131" i="13"/>
  <c r="BP131" i="13" s="1"/>
  <c r="BK131" i="13"/>
  <c r="BO131" i="13" s="1"/>
  <c r="BL61" i="13"/>
  <c r="BP61" i="13" s="1"/>
  <c r="BK61" i="13"/>
  <c r="BO61" i="13" s="1"/>
  <c r="BP17" i="13"/>
  <c r="BL99" i="13"/>
  <c r="BP99" i="13" s="1"/>
  <c r="BK99" i="13"/>
  <c r="BO99" i="13" s="1"/>
  <c r="BN11" i="13"/>
  <c r="BR11" i="13" s="1"/>
  <c r="BM11" i="13"/>
  <c r="BQ11" i="13" s="1"/>
  <c r="BS11" i="13" s="1"/>
  <c r="AC11" i="16" s="1"/>
  <c r="BN175" i="13"/>
  <c r="BR175" i="13" s="1"/>
  <c r="BM175" i="13"/>
  <c r="BQ175" i="13" s="1"/>
  <c r="BS175" i="13" s="1"/>
  <c r="AC175" i="16" s="1"/>
  <c r="BN46" i="13"/>
  <c r="BR46" i="13" s="1"/>
  <c r="BM46" i="13"/>
  <c r="BQ46" i="13" s="1"/>
  <c r="BS46" i="13" s="1"/>
  <c r="AC46" i="16" s="1"/>
  <c r="BL237" i="13"/>
  <c r="BP237" i="13" s="1"/>
  <c r="BK237" i="13"/>
  <c r="BO237" i="13" s="1"/>
  <c r="BL147" i="13"/>
  <c r="BP147" i="13" s="1"/>
  <c r="BK147" i="13"/>
  <c r="BO147" i="13" s="1"/>
  <c r="BL93" i="13"/>
  <c r="BP93" i="13" s="1"/>
  <c r="BK93" i="13"/>
  <c r="BO93" i="13" s="1"/>
  <c r="BK210" i="13"/>
  <c r="BO210" i="13" s="1"/>
  <c r="BL210" i="13"/>
  <c r="BP210" i="13" s="1"/>
  <c r="BL151" i="13"/>
  <c r="BP151" i="13" s="1"/>
  <c r="BK151" i="13"/>
  <c r="BO151" i="13" s="1"/>
  <c r="BN170" i="13"/>
  <c r="BR170" i="13" s="1"/>
  <c r="BM170" i="13"/>
  <c r="BQ170" i="13" s="1"/>
  <c r="BS170" i="13" s="1"/>
  <c r="AC170" i="16" s="1"/>
  <c r="BL119" i="13"/>
  <c r="BP119" i="13" s="1"/>
  <c r="BK119" i="13"/>
  <c r="BO119" i="13" s="1"/>
  <c r="BL91" i="13"/>
  <c r="BP91" i="13" s="1"/>
  <c r="BK91" i="13"/>
  <c r="BO91" i="13" s="1"/>
  <c r="BL71" i="13"/>
  <c r="BP71" i="13" s="1"/>
  <c r="BK71" i="13"/>
  <c r="BO71" i="13" s="1"/>
  <c r="BK130" i="13"/>
  <c r="BO130" i="13" s="1"/>
  <c r="BL130" i="13"/>
  <c r="BP130" i="13" s="1"/>
  <c r="BN13" i="13"/>
  <c r="BR13" i="13" s="1"/>
  <c r="BM13" i="13"/>
  <c r="BQ13" i="13" s="1"/>
  <c r="BS13" i="13" s="1"/>
  <c r="AC13" i="16" s="1"/>
  <c r="BK113" i="13"/>
  <c r="BO113" i="13" s="1"/>
  <c r="BL113" i="13"/>
  <c r="BP113" i="13" s="1"/>
  <c r="BN10" i="13"/>
  <c r="BR10" i="13" s="1"/>
  <c r="BM10" i="13"/>
  <c r="BQ10" i="13" s="1"/>
  <c r="BS10" i="13" s="1"/>
  <c r="AC10" i="16" s="1"/>
  <c r="AW127" i="13"/>
  <c r="BA127" i="13" s="1"/>
  <c r="CN127" i="13" s="1"/>
  <c r="AB92" i="13"/>
  <c r="AL92" i="13" s="1"/>
  <c r="AD127" i="13"/>
  <c r="AN127" i="13" s="1"/>
  <c r="CK127" i="13" s="1"/>
  <c r="BN67" i="13"/>
  <c r="BR67" i="13" s="1"/>
  <c r="BM67" i="13"/>
  <c r="BQ67" i="13" s="1"/>
  <c r="BS67" i="13" s="1"/>
  <c r="AC67" i="16" s="1"/>
  <c r="BN98" i="13"/>
  <c r="BR98" i="13" s="1"/>
  <c r="BM98" i="13"/>
  <c r="BQ98" i="13" s="1"/>
  <c r="BN132" i="13"/>
  <c r="BR132" i="13" s="1"/>
  <c r="BM132" i="13"/>
  <c r="BQ132" i="13" s="1"/>
  <c r="BS132" i="13" s="1"/>
  <c r="AC132" i="16" s="1"/>
  <c r="BN43" i="13"/>
  <c r="BR43" i="13" s="1"/>
  <c r="BM43" i="13"/>
  <c r="BQ43" i="13" s="1"/>
  <c r="BS43" i="13" s="1"/>
  <c r="AC43" i="16" s="1"/>
  <c r="BN85" i="13"/>
  <c r="BR85" i="13" s="1"/>
  <c r="BM85" i="13"/>
  <c r="BQ85" i="13" s="1"/>
  <c r="BS85" i="13" s="1"/>
  <c r="AC85" i="16" s="1"/>
  <c r="BK124" i="13"/>
  <c r="BO124" i="13" s="1"/>
  <c r="BL124" i="13"/>
  <c r="BP124" i="13" s="1"/>
  <c r="BM237" i="13"/>
  <c r="BQ237" i="13" s="1"/>
  <c r="BS237" i="13" s="1"/>
  <c r="AC237" i="16" s="1"/>
  <c r="BN237" i="13"/>
  <c r="BR237" i="13" s="1"/>
  <c r="BN128" i="13"/>
  <c r="BR128" i="13" s="1"/>
  <c r="BM128" i="13"/>
  <c r="BQ128" i="13" s="1"/>
  <c r="BS128" i="13" s="1"/>
  <c r="AC128" i="16" s="1"/>
  <c r="AB147" i="13"/>
  <c r="AL147" i="13" s="1"/>
  <c r="BN147" i="13"/>
  <c r="BR147" i="13" s="1"/>
  <c r="BM147" i="13"/>
  <c r="BQ147" i="13" s="1"/>
  <c r="BS147" i="13" s="1"/>
  <c r="AC147" i="16" s="1"/>
  <c r="BN198" i="13"/>
  <c r="BR198" i="13" s="1"/>
  <c r="BM198" i="13"/>
  <c r="BQ198" i="13" s="1"/>
  <c r="BS198" i="13" s="1"/>
  <c r="AC198" i="16" s="1"/>
  <c r="AC93" i="13"/>
  <c r="AM93" i="13" s="1"/>
  <c r="AO93" i="13" s="1"/>
  <c r="S93" i="16" s="1"/>
  <c r="BN93" i="13"/>
  <c r="BR93" i="13" s="1"/>
  <c r="BM93" i="13"/>
  <c r="BQ93" i="13" s="1"/>
  <c r="BS93" i="13" s="1"/>
  <c r="AC93" i="16" s="1"/>
  <c r="BK58" i="13"/>
  <c r="BO58" i="13" s="1"/>
  <c r="BL58" i="13"/>
  <c r="BP58" i="13" s="1"/>
  <c r="BK48" i="13"/>
  <c r="BO48" i="13" s="1"/>
  <c r="BL48" i="13"/>
  <c r="BP48" i="13" s="1"/>
  <c r="BO17" i="13"/>
  <c r="BK181" i="13"/>
  <c r="BO181" i="13" s="1"/>
  <c r="BL181" i="13"/>
  <c r="BP181" i="13" s="1"/>
  <c r="BK60" i="13"/>
  <c r="BO60" i="13" s="1"/>
  <c r="BL60" i="13"/>
  <c r="BP60" i="13" s="1"/>
  <c r="BN136" i="13"/>
  <c r="BR136" i="13" s="1"/>
  <c r="BM136" i="13"/>
  <c r="BQ136" i="13" s="1"/>
  <c r="BS136" i="13" s="1"/>
  <c r="AC136" i="16" s="1"/>
  <c r="BK204" i="13"/>
  <c r="BO204" i="13" s="1"/>
  <c r="BL204" i="13"/>
  <c r="BP204" i="13" s="1"/>
  <c r="BL123" i="13"/>
  <c r="BP123" i="13" s="1"/>
  <c r="BK123" i="13"/>
  <c r="BO123" i="13" s="1"/>
  <c r="BN218" i="13"/>
  <c r="BR218" i="13" s="1"/>
  <c r="BM218" i="13"/>
  <c r="BQ218" i="13" s="1"/>
  <c r="BN27" i="13"/>
  <c r="BR27" i="13" s="1"/>
  <c r="BM27" i="13"/>
  <c r="BQ27" i="13" s="1"/>
  <c r="BS27" i="13" s="1"/>
  <c r="AC27" i="16" s="1"/>
  <c r="BN197" i="13"/>
  <c r="BR197" i="13" s="1"/>
  <c r="BM197" i="13"/>
  <c r="BQ197" i="13" s="1"/>
  <c r="BS197" i="13" s="1"/>
  <c r="AC197" i="16" s="1"/>
  <c r="BN34" i="13"/>
  <c r="BR34" i="13" s="1"/>
  <c r="BM34" i="13"/>
  <c r="BL85" i="13"/>
  <c r="BP85" i="13" s="1"/>
  <c r="BK85" i="13"/>
  <c r="BO85" i="13" s="1"/>
  <c r="BK132" i="13"/>
  <c r="BO132" i="13" s="1"/>
  <c r="BL132" i="13"/>
  <c r="BP132" i="13" s="1"/>
  <c r="BK128" i="13"/>
  <c r="BO128" i="13" s="1"/>
  <c r="BL128" i="13"/>
  <c r="BP128" i="13" s="1"/>
  <c r="BK198" i="13"/>
  <c r="BO198" i="13" s="1"/>
  <c r="BL198" i="13"/>
  <c r="BP198" i="13" s="1"/>
  <c r="BL101" i="13"/>
  <c r="BP101" i="13" s="1"/>
  <c r="BK101" i="13"/>
  <c r="BO101" i="13" s="1"/>
  <c r="BN14" i="13"/>
  <c r="BR14" i="13" s="1"/>
  <c r="BM14" i="13"/>
  <c r="BQ14" i="13" s="1"/>
  <c r="BS14" i="13" s="1"/>
  <c r="AC14" i="16" s="1"/>
  <c r="BK180" i="13"/>
  <c r="BO180" i="13" s="1"/>
  <c r="BL180" i="13"/>
  <c r="BP180" i="13" s="1"/>
  <c r="BN20" i="13"/>
  <c r="BR20" i="13" s="1"/>
  <c r="BM20" i="13"/>
  <c r="BQ20" i="13" s="1"/>
  <c r="BS20" i="13" s="1"/>
  <c r="AC20" i="16" s="1"/>
  <c r="AV127" i="13"/>
  <c r="AZ127" i="13" s="1"/>
  <c r="BB127" i="13" s="1"/>
  <c r="AW120" i="13"/>
  <c r="BA120" i="13" s="1"/>
  <c r="CN120" i="13" s="1"/>
  <c r="BN30" i="13"/>
  <c r="BR30" i="13" s="1"/>
  <c r="BM30" i="13"/>
  <c r="BQ30" i="13" s="1"/>
  <c r="BS30" i="13" s="1"/>
  <c r="AC30" i="16" s="1"/>
  <c r="AU61" i="13"/>
  <c r="AY61" i="13" s="1"/>
  <c r="BN61" i="13"/>
  <c r="BR61" i="13" s="1"/>
  <c r="BM61" i="13"/>
  <c r="BQ61" i="13" s="1"/>
  <c r="BS61" i="13" s="1"/>
  <c r="AC61" i="16" s="1"/>
  <c r="AB255" i="13"/>
  <c r="AL255" i="13" s="1"/>
  <c r="BN255" i="13"/>
  <c r="BR255" i="13" s="1"/>
  <c r="BM255" i="13"/>
  <c r="BQ255" i="13" s="1"/>
  <c r="BS255" i="13" s="1"/>
  <c r="AC255" i="16" s="1"/>
  <c r="BN64" i="13"/>
  <c r="BR64" i="13" s="1"/>
  <c r="BM64" i="13"/>
  <c r="BQ64" i="13" s="1"/>
  <c r="BS64" i="13" s="1"/>
  <c r="AC64" i="16" s="1"/>
  <c r="BK44" i="13"/>
  <c r="BO44" i="13" s="1"/>
  <c r="BL44" i="13"/>
  <c r="BP44" i="13" s="1"/>
  <c r="AC124" i="13"/>
  <c r="AM124" i="13" s="1"/>
  <c r="AO124" i="13" s="1"/>
  <c r="S124" i="16" s="1"/>
  <c r="BN124" i="13"/>
  <c r="BR124" i="13" s="1"/>
  <c r="BM124" i="13"/>
  <c r="BQ124" i="13" s="1"/>
  <c r="BS124" i="13" s="1"/>
  <c r="AC124" i="16" s="1"/>
  <c r="BL199" i="13"/>
  <c r="BP199" i="13" s="1"/>
  <c r="BK199" i="13"/>
  <c r="BO199" i="13" s="1"/>
  <c r="BK98" i="13"/>
  <c r="BO98" i="13" s="1"/>
  <c r="BL98" i="13"/>
  <c r="BP98" i="13" s="1"/>
  <c r="BS98" i="13" s="1"/>
  <c r="AC98" i="16" s="1"/>
  <c r="BL259" i="13"/>
  <c r="BP259" i="13" s="1"/>
  <c r="BK259" i="13"/>
  <c r="BO259" i="13" s="1"/>
  <c r="BK157" i="13"/>
  <c r="BO157" i="13" s="1"/>
  <c r="BL157" i="13"/>
  <c r="BP157" i="13" s="1"/>
  <c r="BK46" i="13"/>
  <c r="BO46" i="13" s="1"/>
  <c r="BL46" i="13"/>
  <c r="BP46" i="13" s="1"/>
  <c r="BL55" i="13"/>
  <c r="BP55" i="13" s="1"/>
  <c r="BK55" i="13"/>
  <c r="BO55" i="13" s="1"/>
  <c r="BN12" i="13"/>
  <c r="BR12" i="13" s="1"/>
  <c r="BM12" i="13"/>
  <c r="BQ12" i="13" s="1"/>
  <c r="BS12" i="13" s="1"/>
  <c r="AC12" i="16" s="1"/>
  <c r="BN17" i="13"/>
  <c r="BR17" i="13" s="1"/>
  <c r="BM17" i="13"/>
  <c r="BQ17" i="13" s="1"/>
  <c r="BS17" i="13" s="1"/>
  <c r="AC17" i="16" s="1"/>
  <c r="BN168" i="13"/>
  <c r="BR168" i="13" s="1"/>
  <c r="BM168" i="13"/>
  <c r="BQ168" i="13" s="1"/>
  <c r="BS168" i="13" s="1"/>
  <c r="AC168" i="16" s="1"/>
  <c r="BK129" i="13"/>
  <c r="BO129" i="13" s="1"/>
  <c r="BL129" i="13"/>
  <c r="BP129" i="13" s="1"/>
  <c r="BK118" i="13"/>
  <c r="BO118" i="13" s="1"/>
  <c r="BL118" i="13"/>
  <c r="BP118" i="13" s="1"/>
  <c r="BL183" i="13"/>
  <c r="BP183" i="13" s="1"/>
  <c r="BK183" i="13"/>
  <c r="BO183" i="13" s="1"/>
  <c r="BL111" i="13"/>
  <c r="BP111" i="13" s="1"/>
  <c r="BK111" i="13"/>
  <c r="BO111" i="13" s="1"/>
  <c r="AV77" i="13"/>
  <c r="AZ77" i="13" s="1"/>
  <c r="BB77" i="13" s="1"/>
  <c r="AV94" i="13"/>
  <c r="AZ94" i="13" s="1"/>
  <c r="BB94" i="13" s="1"/>
  <c r="AD139" i="13"/>
  <c r="AN139" i="13" s="1"/>
  <c r="CK139" i="13" s="1"/>
  <c r="BN121" i="13"/>
  <c r="BR121" i="13" s="1"/>
  <c r="BM121" i="13"/>
  <c r="BQ121" i="13" s="1"/>
  <c r="BS121" i="13" s="1"/>
  <c r="AC121" i="16" s="1"/>
  <c r="AD47" i="13"/>
  <c r="AN47" i="13" s="1"/>
  <c r="CK47" i="13" s="1"/>
  <c r="BN47" i="13"/>
  <c r="BR47" i="13" s="1"/>
  <c r="BM47" i="13"/>
  <c r="BQ47" i="13" s="1"/>
  <c r="BS47" i="13" s="1"/>
  <c r="AC47" i="16" s="1"/>
  <c r="AT33" i="13"/>
  <c r="AX33" i="13" s="1"/>
  <c r="BN33" i="13"/>
  <c r="BR33" i="13" s="1"/>
  <c r="BM33" i="13"/>
  <c r="BQ33" i="13" s="1"/>
  <c r="BS33" i="13" s="1"/>
  <c r="AC33" i="16" s="1"/>
  <c r="AA48" i="13"/>
  <c r="AK48" i="13" s="1"/>
  <c r="BN48" i="13"/>
  <c r="BR48" i="13" s="1"/>
  <c r="BM48" i="13"/>
  <c r="BQ48" i="13" s="1"/>
  <c r="BS48" i="13" s="1"/>
  <c r="AC48" i="16" s="1"/>
  <c r="BL35" i="13"/>
  <c r="BP35" i="13" s="1"/>
  <c r="BK35" i="13"/>
  <c r="BO35" i="13" s="1"/>
  <c r="BK120" i="13"/>
  <c r="BO120" i="13" s="1"/>
  <c r="BL120" i="13"/>
  <c r="BP120" i="13" s="1"/>
  <c r="AD199" i="13"/>
  <c r="AN199" i="13" s="1"/>
  <c r="CK199" i="13" s="1"/>
  <c r="BN199" i="13"/>
  <c r="BR199" i="13" s="1"/>
  <c r="BM199" i="13"/>
  <c r="BQ199" i="13" s="1"/>
  <c r="BS199" i="13" s="1"/>
  <c r="AC199" i="16" s="1"/>
  <c r="BK94" i="13"/>
  <c r="BO94" i="13" s="1"/>
  <c r="BL94" i="13"/>
  <c r="BP94" i="13" s="1"/>
  <c r="AV259" i="13"/>
  <c r="AZ259" i="13" s="1"/>
  <c r="BB259" i="13" s="1"/>
  <c r="BN259" i="13"/>
  <c r="BR259" i="13" s="1"/>
  <c r="BM259" i="13"/>
  <c r="BQ259" i="13" s="1"/>
  <c r="BS259" i="13" s="1"/>
  <c r="AC259" i="16" s="1"/>
  <c r="BL139" i="13"/>
  <c r="BP139" i="13" s="1"/>
  <c r="BK139" i="13"/>
  <c r="BO139" i="13" s="1"/>
  <c r="BL43" i="13"/>
  <c r="BP43" i="13" s="1"/>
  <c r="BK43" i="13"/>
  <c r="BO43" i="13" s="1"/>
  <c r="BL45" i="13"/>
  <c r="BP45" i="13" s="1"/>
  <c r="BK45" i="13"/>
  <c r="BO45" i="13" s="1"/>
  <c r="AT139" i="13"/>
  <c r="AX139" i="13" s="1"/>
  <c r="AB139" i="13"/>
  <c r="AL139" i="13" s="1"/>
  <c r="AW61" i="13"/>
  <c r="BA61" i="13" s="1"/>
  <c r="CN61" i="13" s="1"/>
  <c r="AU124" i="13"/>
  <c r="AY124" i="13" s="1"/>
  <c r="AC47" i="13"/>
  <c r="AM47" i="13" s="1"/>
  <c r="AO47" i="13" s="1"/>
  <c r="S47" i="16" s="1"/>
  <c r="AW124" i="13"/>
  <c r="BA124" i="13" s="1"/>
  <c r="CN124" i="13" s="1"/>
  <c r="AK124" i="13"/>
  <c r="AW35" i="13"/>
  <c r="BA35" i="13" s="1"/>
  <c r="CN35" i="13" s="1"/>
  <c r="AB77" i="13"/>
  <c r="AL77" i="13" s="1"/>
  <c r="AC77" i="13"/>
  <c r="AM77" i="13" s="1"/>
  <c r="AO77" i="13" s="1"/>
  <c r="S77" i="16" s="1"/>
  <c r="AT255" i="13"/>
  <c r="AX255" i="13" s="1"/>
  <c r="AW33" i="13"/>
  <c r="BA33" i="13" s="1"/>
  <c r="CN33" i="13" s="1"/>
  <c r="AV124" i="13"/>
  <c r="AZ124" i="13" s="1"/>
  <c r="BB124" i="13" s="1"/>
  <c r="AA77" i="13"/>
  <c r="AK77" i="13" s="1"/>
  <c r="AV48" i="13"/>
  <c r="AZ48" i="13" s="1"/>
  <c r="BB48" i="13" s="1"/>
  <c r="AV199" i="13"/>
  <c r="AZ199" i="13" s="1"/>
  <c r="BB199" i="13" s="1"/>
  <c r="AD77" i="13"/>
  <c r="AN77" i="13" s="1"/>
  <c r="CK77" i="13" s="1"/>
  <c r="AW48" i="13"/>
  <c r="BA48" i="13" s="1"/>
  <c r="CN48" i="13" s="1"/>
  <c r="AW199" i="13"/>
  <c r="BA199" i="13" s="1"/>
  <c r="CN199" i="13" s="1"/>
  <c r="AD48" i="13"/>
  <c r="AN48" i="13" s="1"/>
  <c r="CK48" i="13" s="1"/>
  <c r="AV47" i="13"/>
  <c r="AZ47" i="13" s="1"/>
  <c r="BB47" i="13" s="1"/>
  <c r="AT48" i="13"/>
  <c r="AX48" i="13" s="1"/>
  <c r="AT199" i="13"/>
  <c r="AX199" i="13" s="1"/>
  <c r="AD92" i="13"/>
  <c r="AN92" i="13" s="1"/>
  <c r="CK92" i="13" s="1"/>
  <c r="AB48" i="13"/>
  <c r="AL48" i="13" s="1"/>
  <c r="AC127" i="13"/>
  <c r="AM127" i="13" s="1"/>
  <c r="AO127" i="13" s="1"/>
  <c r="S127" i="16" s="1"/>
  <c r="AC199" i="13"/>
  <c r="AM199" i="13" s="1"/>
  <c r="AO199" i="13" s="1"/>
  <c r="S199" i="16" s="1"/>
  <c r="AW47" i="13"/>
  <c r="BA47" i="13" s="1"/>
  <c r="CN47" i="13" s="1"/>
  <c r="AU48" i="13"/>
  <c r="AY48" i="13" s="1"/>
  <c r="AU199" i="13"/>
  <c r="AY199" i="13" s="1"/>
  <c r="AC92" i="13"/>
  <c r="AM92" i="13" s="1"/>
  <c r="AO92" i="13" s="1"/>
  <c r="S92" i="16" s="1"/>
  <c r="AB127" i="13"/>
  <c r="AL127" i="13" s="1"/>
  <c r="AC259" i="13"/>
  <c r="AM259" i="13" s="1"/>
  <c r="AO259" i="13" s="1"/>
  <c r="S259" i="16" s="1"/>
  <c r="AT47" i="13"/>
  <c r="AX47" i="13" s="1"/>
  <c r="AV33" i="13"/>
  <c r="AZ33" i="13" s="1"/>
  <c r="BB33" i="13" s="1"/>
  <c r="AU47" i="13"/>
  <c r="AY47" i="13" s="1"/>
  <c r="AU95" i="13"/>
  <c r="AY95" i="13" s="1"/>
  <c r="AT35" i="13"/>
  <c r="AX35" i="13" s="1"/>
  <c r="AB58" i="13"/>
  <c r="AL58" i="13" s="1"/>
  <c r="AB184" i="13"/>
  <c r="AL184" i="13" s="1"/>
  <c r="AU144" i="13"/>
  <c r="AY144" i="13" s="1"/>
  <c r="AU35" i="13"/>
  <c r="AY35" i="13" s="1"/>
  <c r="AU139" i="13"/>
  <c r="AY139" i="13" s="1"/>
  <c r="AU259" i="13"/>
  <c r="AY259" i="13" s="1"/>
  <c r="AC144" i="13"/>
  <c r="AM144" i="13" s="1"/>
  <c r="AO144" i="13" s="1"/>
  <c r="S144" i="16" s="1"/>
  <c r="AC48" i="13"/>
  <c r="AM48" i="13" s="1"/>
  <c r="AO48" i="13" s="1"/>
  <c r="S48" i="16" s="1"/>
  <c r="AK259" i="13"/>
  <c r="AW135" i="13"/>
  <c r="BA135" i="13" s="1"/>
  <c r="CN135" i="13" s="1"/>
  <c r="AA55" i="13"/>
  <c r="AK55" i="13" s="1"/>
  <c r="AB157" i="13"/>
  <c r="AL157" i="13" s="1"/>
  <c r="AK131" i="13"/>
  <c r="AT240" i="13"/>
  <c r="AX240" i="13" s="1"/>
  <c r="AB236" i="13"/>
  <c r="AL236" i="13" s="1"/>
  <c r="AW259" i="13"/>
  <c r="BA259" i="13" s="1"/>
  <c r="CN259" i="13" s="1"/>
  <c r="AB259" i="13"/>
  <c r="AL259" i="13" s="1"/>
  <c r="AV148" i="13"/>
  <c r="AZ148" i="13" s="1"/>
  <c r="AU44" i="13"/>
  <c r="AY44" i="13" s="1"/>
  <c r="AV144" i="13"/>
  <c r="AZ144" i="13" s="1"/>
  <c r="BB144" i="13" s="1"/>
  <c r="AW139" i="13"/>
  <c r="BA139" i="13" s="1"/>
  <c r="CN139" i="13" s="1"/>
  <c r="AT124" i="13"/>
  <c r="AX124" i="13" s="1"/>
  <c r="AK144" i="13"/>
  <c r="AD120" i="13"/>
  <c r="AN120" i="13" s="1"/>
  <c r="CK120" i="13" s="1"/>
  <c r="AD124" i="13"/>
  <c r="AN124" i="13" s="1"/>
  <c r="CK124" i="13" s="1"/>
  <c r="AK199" i="13"/>
  <c r="AC147" i="13"/>
  <c r="AM147" i="13" s="1"/>
  <c r="AO147" i="13" s="1"/>
  <c r="S147" i="16" s="1"/>
  <c r="AB94" i="13"/>
  <c r="AL94" i="13" s="1"/>
  <c r="AK197" i="13"/>
  <c r="AK175" i="13"/>
  <c r="AB34" i="13"/>
  <c r="AL34" i="13" s="1"/>
  <c r="AA46" i="13"/>
  <c r="AK46" i="13" s="1"/>
  <c r="AC125" i="13"/>
  <c r="AM125" i="13" s="1"/>
  <c r="AO125" i="13" s="1"/>
  <c r="S125" i="16" s="1"/>
  <c r="AT144" i="13"/>
  <c r="AX144" i="13" s="1"/>
  <c r="AV139" i="13"/>
  <c r="AZ139" i="13" s="1"/>
  <c r="BB139" i="13" s="1"/>
  <c r="AT259" i="13"/>
  <c r="AX259" i="13" s="1"/>
  <c r="AC35" i="13"/>
  <c r="AM35" i="13" s="1"/>
  <c r="AO35" i="13" s="1"/>
  <c r="S35" i="16" s="1"/>
  <c r="AB120" i="13"/>
  <c r="AL120" i="13" s="1"/>
  <c r="AB124" i="13"/>
  <c r="AL124" i="13" s="1"/>
  <c r="AB199" i="13"/>
  <c r="AL199" i="13" s="1"/>
  <c r="AD147" i="13"/>
  <c r="AN147" i="13" s="1"/>
  <c r="CK147" i="13" s="1"/>
  <c r="AD94" i="13"/>
  <c r="AN94" i="13" s="1"/>
  <c r="CK94" i="13" s="1"/>
  <c r="AK67" i="13"/>
  <c r="AD98" i="13"/>
  <c r="AN98" i="13" s="1"/>
  <c r="CK98" i="13" s="1"/>
  <c r="AK132" i="13"/>
  <c r="AD43" i="13"/>
  <c r="AN43" i="13" s="1"/>
  <c r="CK43" i="13" s="1"/>
  <c r="AD145" i="13"/>
  <c r="AN145" i="13" s="1"/>
  <c r="CK145" i="13" s="1"/>
  <c r="AW144" i="13"/>
  <c r="BA144" i="13" s="1"/>
  <c r="CN144" i="13" s="1"/>
  <c r="AT120" i="13"/>
  <c r="AX120" i="13" s="1"/>
  <c r="AW94" i="13"/>
  <c r="BA94" i="13" s="1"/>
  <c r="CN94" i="13" s="1"/>
  <c r="AC120" i="13"/>
  <c r="AM120" i="13" s="1"/>
  <c r="AO120" i="13" s="1"/>
  <c r="S120" i="16" s="1"/>
  <c r="AC94" i="13"/>
  <c r="AM94" i="13" s="1"/>
  <c r="AO94" i="13" s="1"/>
  <c r="S94" i="16" s="1"/>
  <c r="AC30" i="13"/>
  <c r="AM30" i="13" s="1"/>
  <c r="AB61" i="13"/>
  <c r="AL61" i="13" s="1"/>
  <c r="AC255" i="13"/>
  <c r="AM255" i="13" s="1"/>
  <c r="AO255" i="13" s="1"/>
  <c r="S255" i="16" s="1"/>
  <c r="AB64" i="13"/>
  <c r="AL64" i="13" s="1"/>
  <c r="AD237" i="13"/>
  <c r="AN237" i="13" s="1"/>
  <c r="CK237" i="13" s="1"/>
  <c r="AK128" i="13"/>
  <c r="AU120" i="13"/>
  <c r="AY120" i="13" s="1"/>
  <c r="AT94" i="13"/>
  <c r="AX94" i="13" s="1"/>
  <c r="AB35" i="13"/>
  <c r="AL35" i="13" s="1"/>
  <c r="AK120" i="13"/>
  <c r="AA94" i="13"/>
  <c r="AK94" i="13" s="1"/>
  <c r="AW121" i="13"/>
  <c r="BA121" i="13" s="1"/>
  <c r="CN121" i="13" s="1"/>
  <c r="AA47" i="13"/>
  <c r="AK47" i="13" s="1"/>
  <c r="AB33" i="13"/>
  <c r="AL33" i="13" s="1"/>
  <c r="AC41" i="13"/>
  <c r="AM41" i="13" s="1"/>
  <c r="AD16" i="13"/>
  <c r="AN16" i="13" s="1"/>
  <c r="CK16" i="13" s="1"/>
  <c r="AV35" i="13"/>
  <c r="AZ35" i="13" s="1"/>
  <c r="BB35" i="13" s="1"/>
  <c r="AV120" i="13"/>
  <c r="AZ120" i="13" s="1"/>
  <c r="BB120" i="13" s="1"/>
  <c r="AU94" i="13"/>
  <c r="AY94" i="13" s="1"/>
  <c r="AA35" i="13"/>
  <c r="AK35" i="13" s="1"/>
  <c r="AD259" i="13"/>
  <c r="AN259" i="13" s="1"/>
  <c r="CK259" i="13" s="1"/>
  <c r="AC139" i="13"/>
  <c r="AM139" i="13" s="1"/>
  <c r="AO139" i="13" s="1"/>
  <c r="S139" i="16" s="1"/>
  <c r="AW28" i="13"/>
  <c r="BA28" i="13" s="1"/>
  <c r="CN28" i="13" s="1"/>
  <c r="AK117" i="13"/>
  <c r="AD45" i="13"/>
  <c r="AN45" i="13" s="1"/>
  <c r="CK45" i="13" s="1"/>
  <c r="AK256" i="13"/>
  <c r="AV38" i="13"/>
  <c r="AZ38" i="13" s="1"/>
  <c r="BB38" i="13" s="1"/>
  <c r="AD57" i="13"/>
  <c r="AN57" i="13" s="1"/>
  <c r="CK57" i="13" s="1"/>
  <c r="AD239" i="13"/>
  <c r="AN239" i="13" s="1"/>
  <c r="CK239" i="13" s="1"/>
  <c r="AC31" i="13"/>
  <c r="AM31" i="13" s="1"/>
  <c r="AO31" i="13" s="1"/>
  <c r="S31" i="16" s="1"/>
  <c r="AD25" i="13"/>
  <c r="AN25" i="13" s="1"/>
  <c r="CK25" i="13" s="1"/>
  <c r="AK207" i="13"/>
  <c r="AU110" i="13"/>
  <c r="AY110" i="13" s="1"/>
  <c r="AT128" i="13"/>
  <c r="AX128" i="13" s="1"/>
  <c r="AU240" i="13"/>
  <c r="AY240" i="13" s="1"/>
  <c r="AB237" i="13"/>
  <c r="AL237" i="13" s="1"/>
  <c r="AK145" i="13"/>
  <c r="AC242" i="13"/>
  <c r="AB244" i="13"/>
  <c r="AL244" i="13" s="1"/>
  <c r="AV230" i="13"/>
  <c r="AZ230" i="13" s="1"/>
  <c r="BB230" i="13" s="1"/>
  <c r="AD160" i="13"/>
  <c r="AN160" i="13" s="1"/>
  <c r="CK160" i="13" s="1"/>
  <c r="AT82" i="13"/>
  <c r="AX82" i="13" s="1"/>
  <c r="AC26" i="13"/>
  <c r="AM26" i="13" s="1"/>
  <c r="AO26" i="13" s="1"/>
  <c r="S26" i="16" s="1"/>
  <c r="AK205" i="13"/>
  <c r="AU4" i="13"/>
  <c r="AY4" i="13" s="1"/>
  <c r="U4" i="13"/>
  <c r="AT37" i="13"/>
  <c r="AX37" i="13" s="1"/>
  <c r="AU176" i="13"/>
  <c r="AY176" i="13" s="1"/>
  <c r="AB108" i="13"/>
  <c r="AL108" i="13" s="1"/>
  <c r="AA9" i="13"/>
  <c r="AK9" i="13" s="1"/>
  <c r="U9" i="13"/>
  <c r="AV128" i="13"/>
  <c r="AZ128" i="13" s="1"/>
  <c r="BB128" i="13" s="1"/>
  <c r="AV240" i="13"/>
  <c r="AZ240" i="13" s="1"/>
  <c r="BB240" i="13" s="1"/>
  <c r="AK237" i="13"/>
  <c r="AB145" i="13"/>
  <c r="AL145" i="13" s="1"/>
  <c r="AD202" i="13"/>
  <c r="AN202" i="13" s="1"/>
  <c r="CK202" i="13" s="1"/>
  <c r="AT16" i="13"/>
  <c r="AX16" i="13" s="1"/>
  <c r="AT237" i="13"/>
  <c r="AX237" i="13" s="1"/>
  <c r="AT145" i="13"/>
  <c r="AX145" i="13" s="1"/>
  <c r="AC16" i="13"/>
  <c r="AM16" i="13" s="1"/>
  <c r="AO16" i="13" s="1"/>
  <c r="S16" i="16" s="1"/>
  <c r="AC240" i="13"/>
  <c r="AM240" i="13" s="1"/>
  <c r="AO240" i="13" s="1"/>
  <c r="S240" i="16" s="1"/>
  <c r="AC80" i="13"/>
  <c r="AM80" i="13" s="1"/>
  <c r="AO80" i="13" s="1"/>
  <c r="S80" i="16" s="1"/>
  <c r="AW65" i="13"/>
  <c r="BA65" i="13" s="1"/>
  <c r="CN65" i="13" s="1"/>
  <c r="AA59" i="13"/>
  <c r="AK59" i="13" s="1"/>
  <c r="AT235" i="13"/>
  <c r="AX235" i="13" s="1"/>
  <c r="AA49" i="13"/>
  <c r="AK49" i="13" s="1"/>
  <c r="U8" i="13"/>
  <c r="AU221" i="13"/>
  <c r="AY221" i="13" s="1"/>
  <c r="AD22" i="13"/>
  <c r="AN22" i="13" s="1"/>
  <c r="CK22" i="13" s="1"/>
  <c r="AV251" i="13"/>
  <c r="AZ251" i="13" s="1"/>
  <c r="BB251" i="13" s="1"/>
  <c r="AU16" i="13"/>
  <c r="AY16" i="13" s="1"/>
  <c r="AU237" i="13"/>
  <c r="AY237" i="13" s="1"/>
  <c r="AU145" i="13"/>
  <c r="AY145" i="13" s="1"/>
  <c r="AB16" i="13"/>
  <c r="AL16" i="13" s="1"/>
  <c r="AD128" i="13"/>
  <c r="AN128" i="13" s="1"/>
  <c r="CK128" i="13" s="1"/>
  <c r="AD240" i="13"/>
  <c r="AN240" i="13" s="1"/>
  <c r="CK240" i="13" s="1"/>
  <c r="AB229" i="13"/>
  <c r="AL229" i="13" s="1"/>
  <c r="AT249" i="13"/>
  <c r="AX249" i="13" s="1"/>
  <c r="AK178" i="13"/>
  <c r="AV122" i="13"/>
  <c r="AZ122" i="13" s="1"/>
  <c r="BB122" i="13" s="1"/>
  <c r="AB214" i="13"/>
  <c r="AL214" i="13" s="1"/>
  <c r="U6" i="13"/>
  <c r="AW253" i="13"/>
  <c r="BA253" i="13" s="1"/>
  <c r="CN253" i="13" s="1"/>
  <c r="AK185" i="13"/>
  <c r="AA24" i="13"/>
  <c r="AK24" i="13" s="1"/>
  <c r="AV16" i="13"/>
  <c r="AZ16" i="13" s="1"/>
  <c r="BB16" i="13" s="1"/>
  <c r="AV237" i="13"/>
  <c r="AZ237" i="13" s="1"/>
  <c r="BB237" i="13" s="1"/>
  <c r="AV145" i="13"/>
  <c r="AZ145" i="13" s="1"/>
  <c r="BB145" i="13" s="1"/>
  <c r="AA16" i="13"/>
  <c r="AK16" i="13" s="1"/>
  <c r="AB128" i="13"/>
  <c r="AL128" i="13" s="1"/>
  <c r="AB240" i="13"/>
  <c r="AL240" i="13" s="1"/>
  <c r="AA21" i="13"/>
  <c r="AK21" i="13" s="1"/>
  <c r="U21" i="13"/>
  <c r="AV215" i="13"/>
  <c r="AZ215" i="13" s="1"/>
  <c r="BB215" i="13" s="1"/>
  <c r="U3" i="13"/>
  <c r="AT247" i="13"/>
  <c r="AX247" i="13" s="1"/>
  <c r="U5" i="13"/>
  <c r="AU39" i="13"/>
  <c r="AY39" i="13" s="1"/>
  <c r="AC81" i="13"/>
  <c r="AM81" i="13" s="1"/>
  <c r="AO81" i="13" s="1"/>
  <c r="S81" i="16" s="1"/>
  <c r="AT53" i="13"/>
  <c r="AX53" i="13" s="1"/>
  <c r="AK201" i="13"/>
  <c r="AW16" i="13"/>
  <c r="BA16" i="13" s="1"/>
  <c r="CN16" i="13" s="1"/>
  <c r="AW237" i="13"/>
  <c r="BA237" i="13" s="1"/>
  <c r="CN237" i="13" s="1"/>
  <c r="AW145" i="13"/>
  <c r="BA145" i="13" s="1"/>
  <c r="CN145" i="13" s="1"/>
  <c r="AC128" i="13"/>
  <c r="AM128" i="13" s="1"/>
  <c r="AO128" i="13" s="1"/>
  <c r="S128" i="16" s="1"/>
  <c r="AK240" i="13"/>
  <c r="AK222" i="13"/>
  <c r="AW159" i="13"/>
  <c r="BA159" i="13" s="1"/>
  <c r="CN159" i="13" s="1"/>
  <c r="AD166" i="13"/>
  <c r="AN166" i="13" s="1"/>
  <c r="CK166" i="13" s="1"/>
  <c r="AW245" i="13"/>
  <c r="BA245" i="13" s="1"/>
  <c r="CN245" i="13" s="1"/>
  <c r="AA29" i="13"/>
  <c r="AK29" i="13" s="1"/>
  <c r="AD254" i="13"/>
  <c r="AN254" i="13" s="1"/>
  <c r="CK254" i="13" s="1"/>
  <c r="AC84" i="13"/>
  <c r="AM84" i="13" s="1"/>
  <c r="AO84" i="13" s="1"/>
  <c r="S84" i="16" s="1"/>
  <c r="AK162" i="13"/>
  <c r="AK100" i="13"/>
  <c r="AW194" i="13"/>
  <c r="BA194" i="13" s="1"/>
  <c r="CN194" i="13" s="1"/>
  <c r="U7" i="13"/>
  <c r="AU128" i="13"/>
  <c r="AY128" i="13" s="1"/>
  <c r="AT43" i="13"/>
  <c r="AX43" i="13" s="1"/>
  <c r="AU43" i="13"/>
  <c r="AY43" i="13" s="1"/>
  <c r="AU67" i="13"/>
  <c r="AY67" i="13" s="1"/>
  <c r="AV43" i="13"/>
  <c r="AZ43" i="13" s="1"/>
  <c r="BB43" i="13" s="1"/>
  <c r="AT67" i="13"/>
  <c r="AX67" i="13" s="1"/>
  <c r="AW43" i="13"/>
  <c r="BA43" i="13" s="1"/>
  <c r="CN43" i="13" s="1"/>
  <c r="AV67" i="13"/>
  <c r="AZ67" i="13" s="1"/>
  <c r="AU64" i="13"/>
  <c r="AY64" i="13" s="1"/>
  <c r="AC67" i="13"/>
  <c r="AM67" i="13" s="1"/>
  <c r="AC43" i="13"/>
  <c r="AM43" i="13" s="1"/>
  <c r="AO43" i="13" s="1"/>
  <c r="S43" i="16" s="1"/>
  <c r="AW67" i="13"/>
  <c r="BA67" i="13" s="1"/>
  <c r="CN67" i="13" s="1"/>
  <c r="AW197" i="13"/>
  <c r="BA197" i="13" s="1"/>
  <c r="CN197" i="13" s="1"/>
  <c r="AW64" i="13"/>
  <c r="BA64" i="13" s="1"/>
  <c r="CN64" i="13" s="1"/>
  <c r="AD67" i="13"/>
  <c r="AN67" i="13" s="1"/>
  <c r="CK67" i="13" s="1"/>
  <c r="AB43" i="13"/>
  <c r="AL43" i="13" s="1"/>
  <c r="AB132" i="13"/>
  <c r="AL132" i="13" s="1"/>
  <c r="AC64" i="13"/>
  <c r="AM64" i="13" s="1"/>
  <c r="AO64" i="13" s="1"/>
  <c r="S64" i="16" s="1"/>
  <c r="AV64" i="13"/>
  <c r="AZ64" i="13" s="1"/>
  <c r="BB64" i="13" s="1"/>
  <c r="AC132" i="13"/>
  <c r="AM132" i="13" s="1"/>
  <c r="AO132" i="13" s="1"/>
  <c r="S132" i="16" s="1"/>
  <c r="AK255" i="13"/>
  <c r="AW255" i="13"/>
  <c r="BA255" i="13" s="1"/>
  <c r="CN255" i="13" s="1"/>
  <c r="AU255" i="13"/>
  <c r="AY255" i="13" s="1"/>
  <c r="AA61" i="13"/>
  <c r="AK61" i="13" s="1"/>
  <c r="AB98" i="13"/>
  <c r="AL98" i="13" s="1"/>
  <c r="AT61" i="13"/>
  <c r="AX61" i="13" s="1"/>
  <c r="AV255" i="13"/>
  <c r="AZ255" i="13" s="1"/>
  <c r="BB255" i="13" s="1"/>
  <c r="W255" i="16" s="1"/>
  <c r="AC61" i="13"/>
  <c r="AM61" i="13" s="1"/>
  <c r="AO61" i="13" s="1"/>
  <c r="S61" i="16" s="1"/>
  <c r="AV61" i="13"/>
  <c r="AZ61" i="13" s="1"/>
  <c r="BB61" i="13" s="1"/>
  <c r="AT64" i="13"/>
  <c r="AX64" i="13" s="1"/>
  <c r="AD255" i="13"/>
  <c r="AN255" i="13" s="1"/>
  <c r="CK255" i="13" s="1"/>
  <c r="AA64" i="13"/>
  <c r="AK64" i="13" s="1"/>
  <c r="AD61" i="13"/>
  <c r="AN61" i="13" s="1"/>
  <c r="CK61" i="13" s="1"/>
  <c r="AA58" i="13"/>
  <c r="AK58" i="13" s="1"/>
  <c r="AB47" i="13"/>
  <c r="AL47" i="13" s="1"/>
  <c r="AU46" i="13"/>
  <c r="AY46" i="13" s="1"/>
  <c r="AV197" i="13"/>
  <c r="AZ197" i="13" s="1"/>
  <c r="AD175" i="13"/>
  <c r="AN175" i="13" s="1"/>
  <c r="CK175" i="13" s="1"/>
  <c r="AU175" i="13"/>
  <c r="AY175" i="13" s="1"/>
  <c r="AW34" i="13"/>
  <c r="BA34" i="13" s="1"/>
  <c r="CN34" i="13" s="1"/>
  <c r="AT34" i="13"/>
  <c r="AX34" i="13" s="1"/>
  <c r="AB46" i="13"/>
  <c r="AL46" i="13" s="1"/>
  <c r="AT58" i="13"/>
  <c r="AX58" i="13" s="1"/>
  <c r="AC44" i="13"/>
  <c r="AM44" i="13" s="1"/>
  <c r="AO44" i="13" s="1"/>
  <c r="S44" i="16" s="1"/>
  <c r="AV44" i="13"/>
  <c r="AZ44" i="13" s="1"/>
  <c r="BB44" i="13" s="1"/>
  <c r="AT184" i="13"/>
  <c r="AX184" i="13" s="1"/>
  <c r="AU55" i="13"/>
  <c r="AY55" i="13" s="1"/>
  <c r="AU157" i="13"/>
  <c r="AY157" i="13" s="1"/>
  <c r="AB67" i="13"/>
  <c r="AL67" i="13" s="1"/>
  <c r="AO67" i="13" s="1"/>
  <c r="S67" i="16" s="1"/>
  <c r="AK157" i="13"/>
  <c r="AW55" i="13"/>
  <c r="BA55" i="13" s="1"/>
  <c r="CN55" i="13" s="1"/>
  <c r="AV157" i="13"/>
  <c r="AZ157" i="13" s="1"/>
  <c r="BB157" i="13" s="1"/>
  <c r="AB197" i="13"/>
  <c r="AL197" i="13" s="1"/>
  <c r="AA43" i="13"/>
  <c r="AK43" i="13" s="1"/>
  <c r="AB55" i="13"/>
  <c r="AL55" i="13" s="1"/>
  <c r="AT131" i="13"/>
  <c r="AX131" i="13" s="1"/>
  <c r="AW131" i="13"/>
  <c r="BA131" i="13" s="1"/>
  <c r="CN131" i="13" s="1"/>
  <c r="AD44" i="13"/>
  <c r="AN44" i="13" s="1"/>
  <c r="CK44" i="13" s="1"/>
  <c r="AD58" i="13"/>
  <c r="AN58" i="13" s="1"/>
  <c r="CK58" i="13" s="1"/>
  <c r="AB44" i="13"/>
  <c r="AL44" i="13" s="1"/>
  <c r="AC58" i="13"/>
  <c r="AM58" i="13" s="1"/>
  <c r="AO58" i="13" s="1"/>
  <c r="S58" i="16" s="1"/>
  <c r="AC184" i="13"/>
  <c r="AM184" i="13" s="1"/>
  <c r="AO184" i="13" s="1"/>
  <c r="S184" i="16" s="1"/>
  <c r="AU184" i="13"/>
  <c r="AY184" i="13" s="1"/>
  <c r="AA44" i="13"/>
  <c r="AK44" i="13" s="1"/>
  <c r="AD64" i="13"/>
  <c r="AN64" i="13" s="1"/>
  <c r="CK64" i="13" s="1"/>
  <c r="AK184" i="13"/>
  <c r="AW44" i="13"/>
  <c r="BA44" i="13" s="1"/>
  <c r="CN44" i="13" s="1"/>
  <c r="AU58" i="13"/>
  <c r="AY58" i="13" s="1"/>
  <c r="AT44" i="13"/>
  <c r="AX44" i="13" s="1"/>
  <c r="AV58" i="13"/>
  <c r="AZ58" i="13" s="1"/>
  <c r="BB58" i="13" s="1"/>
  <c r="AV184" i="13"/>
  <c r="AZ184" i="13" s="1"/>
  <c r="BB184" i="13" s="1"/>
  <c r="W184" i="16" s="1"/>
  <c r="AD33" i="13"/>
  <c r="AN33" i="13" s="1"/>
  <c r="CK33" i="13" s="1"/>
  <c r="AW58" i="13"/>
  <c r="BA58" i="13" s="1"/>
  <c r="CN58" i="13" s="1"/>
  <c r="AW184" i="13"/>
  <c r="BA184" i="13" s="1"/>
  <c r="CN184" i="13" s="1"/>
  <c r="AD148" i="13"/>
  <c r="AN148" i="13" s="1"/>
  <c r="CK148" i="13" s="1"/>
  <c r="AT197" i="13"/>
  <c r="AX197" i="13" s="1"/>
  <c r="AV95" i="13"/>
  <c r="AZ95" i="13" s="1"/>
  <c r="BB95" i="13" s="1"/>
  <c r="AU34" i="13"/>
  <c r="AY34" i="13" s="1"/>
  <c r="AC175" i="13"/>
  <c r="AM175" i="13" s="1"/>
  <c r="AO175" i="13" s="1"/>
  <c r="S175" i="16" s="1"/>
  <c r="AT175" i="13"/>
  <c r="AX175" i="13" s="1"/>
  <c r="AU197" i="13"/>
  <c r="AY197" i="13" s="1"/>
  <c r="BB197" i="13" s="1"/>
  <c r="AV34" i="13"/>
  <c r="AZ34" i="13" s="1"/>
  <c r="BB34" i="13" s="1"/>
  <c r="AB175" i="13"/>
  <c r="AL175" i="13" s="1"/>
  <c r="AV175" i="13"/>
  <c r="AZ175" i="13" s="1"/>
  <c r="BB175" i="13" s="1"/>
  <c r="W175" i="16" s="1"/>
  <c r="AT125" i="13"/>
  <c r="AX125" i="13" s="1"/>
  <c r="AV46" i="13"/>
  <c r="AZ46" i="13" s="1"/>
  <c r="BB46" i="13" s="1"/>
  <c r="AD184" i="13"/>
  <c r="AN184" i="13" s="1"/>
  <c r="CK184" i="13" s="1"/>
  <c r="AD46" i="13"/>
  <c r="AN46" i="13" s="1"/>
  <c r="CK46" i="13" s="1"/>
  <c r="AW175" i="13"/>
  <c r="BA175" i="13" s="1"/>
  <c r="CN175" i="13" s="1"/>
  <c r="AW46" i="13"/>
  <c r="BA46" i="13" s="1"/>
  <c r="CN46" i="13" s="1"/>
  <c r="AD197" i="13"/>
  <c r="AN197" i="13" s="1"/>
  <c r="CK197" i="13" s="1"/>
  <c r="AC46" i="13"/>
  <c r="AM46" i="13" s="1"/>
  <c r="AO46" i="13" s="1"/>
  <c r="S46" i="16" s="1"/>
  <c r="AT46" i="13"/>
  <c r="AX46" i="13" s="1"/>
  <c r="AC197" i="13"/>
  <c r="AM197" i="13" s="1"/>
  <c r="AC34" i="13"/>
  <c r="AM34" i="13" s="1"/>
  <c r="AO34" i="13" s="1"/>
  <c r="S34" i="16" s="1"/>
  <c r="AT236" i="13"/>
  <c r="AX236" i="13" s="1"/>
  <c r="AD157" i="13"/>
  <c r="AN157" i="13" s="1"/>
  <c r="CK157" i="13" s="1"/>
  <c r="AV236" i="13"/>
  <c r="AZ236" i="13" s="1"/>
  <c r="BB236" i="13" s="1"/>
  <c r="AV256" i="13"/>
  <c r="AZ256" i="13" s="1"/>
  <c r="BB256" i="13" s="1"/>
  <c r="AT256" i="13"/>
  <c r="AX256" i="13" s="1"/>
  <c r="AU131" i="13"/>
  <c r="AY131" i="13" s="1"/>
  <c r="AU125" i="13"/>
  <c r="AY125" i="13" s="1"/>
  <c r="AV55" i="13"/>
  <c r="AZ55" i="13" s="1"/>
  <c r="BB55" i="13" s="1"/>
  <c r="AU236" i="13"/>
  <c r="AY236" i="13" s="1"/>
  <c r="AC157" i="13"/>
  <c r="AM157" i="13" s="1"/>
  <c r="AO157" i="13" s="1"/>
  <c r="S157" i="16" s="1"/>
  <c r="AV131" i="13"/>
  <c r="AZ131" i="13" s="1"/>
  <c r="BB131" i="13" s="1"/>
  <c r="AW236" i="13"/>
  <c r="BA236" i="13" s="1"/>
  <c r="CN236" i="13" s="1"/>
  <c r="AC131" i="13"/>
  <c r="AM131" i="13" s="1"/>
  <c r="AO131" i="13" s="1"/>
  <c r="S131" i="16" s="1"/>
  <c r="AC236" i="13"/>
  <c r="AM236" i="13" s="1"/>
  <c r="AO236" i="13" s="1"/>
  <c r="S236" i="16" s="1"/>
  <c r="AC33" i="13"/>
  <c r="AM33" i="13" s="1"/>
  <c r="AO33" i="13" s="1"/>
  <c r="S33" i="16" s="1"/>
  <c r="AD131" i="13"/>
  <c r="AN131" i="13" s="1"/>
  <c r="CK131" i="13" s="1"/>
  <c r="AD236" i="13"/>
  <c r="AN236" i="13" s="1"/>
  <c r="CK236" i="13" s="1"/>
  <c r="AD256" i="13"/>
  <c r="AN256" i="13" s="1"/>
  <c r="CK256" i="13" s="1"/>
  <c r="AW95" i="13"/>
  <c r="BA95" i="13" s="1"/>
  <c r="CN95" i="13" s="1"/>
  <c r="AW256" i="13"/>
  <c r="BA256" i="13" s="1"/>
  <c r="CN256" i="13" s="1"/>
  <c r="AB131" i="13"/>
  <c r="AL131" i="13" s="1"/>
  <c r="AD55" i="13"/>
  <c r="AN55" i="13" s="1"/>
  <c r="CK55" i="13" s="1"/>
  <c r="AK236" i="13"/>
  <c r="AC256" i="13"/>
  <c r="AM256" i="13" s="1"/>
  <c r="AO256" i="13" s="1"/>
  <c r="S256" i="16" s="1"/>
  <c r="AT55" i="13"/>
  <c r="AX55" i="13" s="1"/>
  <c r="AW157" i="13"/>
  <c r="BA157" i="13" s="1"/>
  <c r="CN157" i="13" s="1"/>
  <c r="AU256" i="13"/>
  <c r="AY256" i="13" s="1"/>
  <c r="AC55" i="13"/>
  <c r="AM55" i="13" s="1"/>
  <c r="AO55" i="13" s="1"/>
  <c r="S55" i="16" s="1"/>
  <c r="AC95" i="13"/>
  <c r="AM95" i="13" s="1"/>
  <c r="AO95" i="13" s="1"/>
  <c r="S95" i="16" s="1"/>
  <c r="AB256" i="13"/>
  <c r="AL256" i="13" s="1"/>
  <c r="AT157" i="13"/>
  <c r="AX157" i="13" s="1"/>
  <c r="AA33" i="13"/>
  <c r="AK33" i="13" s="1"/>
  <c r="AC45" i="13"/>
  <c r="AM45" i="13" s="1"/>
  <c r="AO45" i="13" s="1"/>
  <c r="S45" i="16" s="1"/>
  <c r="AW125" i="13"/>
  <c r="BA125" i="13" s="1"/>
  <c r="CN125" i="13" s="1"/>
  <c r="AV45" i="13"/>
  <c r="AZ45" i="13" s="1"/>
  <c r="BB45" i="13" s="1"/>
  <c r="AD95" i="13"/>
  <c r="AN95" i="13" s="1"/>
  <c r="CK95" i="13" s="1"/>
  <c r="AV125" i="13"/>
  <c r="AZ125" i="13" s="1"/>
  <c r="BB125" i="13" s="1"/>
  <c r="AW45" i="13"/>
  <c r="BA45" i="13" s="1"/>
  <c r="CN45" i="13" s="1"/>
  <c r="AT41" i="13"/>
  <c r="AX41" i="13" s="1"/>
  <c r="AB125" i="13"/>
  <c r="AL125" i="13" s="1"/>
  <c r="AB95" i="13"/>
  <c r="AL95" i="13" s="1"/>
  <c r="AT45" i="13"/>
  <c r="AX45" i="13" s="1"/>
  <c r="AU41" i="13"/>
  <c r="AY41" i="13" s="1"/>
  <c r="BB41" i="13" s="1"/>
  <c r="AK125" i="13"/>
  <c r="AA95" i="13"/>
  <c r="AK95" i="13" s="1"/>
  <c r="AU45" i="13"/>
  <c r="AY45" i="13" s="1"/>
  <c r="AV41" i="13"/>
  <c r="AZ41" i="13" s="1"/>
  <c r="AD125" i="13"/>
  <c r="AN125" i="13" s="1"/>
  <c r="CK125" i="13" s="1"/>
  <c r="AA45" i="13"/>
  <c r="AK45" i="13" s="1"/>
  <c r="AB41" i="13"/>
  <c r="AL41" i="13" s="1"/>
  <c r="AO41" i="13" s="1"/>
  <c r="S41" i="16" s="1"/>
  <c r="AT95" i="13"/>
  <c r="AX95" i="13" s="1"/>
  <c r="AW41" i="13"/>
  <c r="BA41" i="13" s="1"/>
  <c r="CN41" i="13" s="1"/>
  <c r="AB45" i="13"/>
  <c r="AL45" i="13" s="1"/>
  <c r="AA34" i="13"/>
  <c r="AK34" i="13" s="1"/>
  <c r="AV30" i="13"/>
  <c r="AZ30" i="13" s="1"/>
  <c r="AC98" i="13"/>
  <c r="AM98" i="13" s="1"/>
  <c r="AD30" i="13"/>
  <c r="AN30" i="13" s="1"/>
  <c r="CK30" i="13" s="1"/>
  <c r="AT30" i="13"/>
  <c r="AX30" i="13" s="1"/>
  <c r="AK98" i="13"/>
  <c r="AD117" i="13"/>
  <c r="AN117" i="13" s="1"/>
  <c r="CK117" i="13" s="1"/>
  <c r="AT98" i="13"/>
  <c r="AX98" i="13" s="1"/>
  <c r="AW30" i="13"/>
  <c r="BA30" i="13" s="1"/>
  <c r="CN30" i="13" s="1"/>
  <c r="AU98" i="13"/>
  <c r="AY98" i="13" s="1"/>
  <c r="BB98" i="13" s="1"/>
  <c r="AD34" i="13"/>
  <c r="AN34" i="13" s="1"/>
  <c r="CK34" i="13" s="1"/>
  <c r="AU30" i="13"/>
  <c r="AY30" i="13" s="1"/>
  <c r="BB30" i="13" s="1"/>
  <c r="AW98" i="13"/>
  <c r="BA98" i="13" s="1"/>
  <c r="CN98" i="13" s="1"/>
  <c r="AT117" i="13"/>
  <c r="AX117" i="13" s="1"/>
  <c r="AC117" i="13"/>
  <c r="AM117" i="13" s="1"/>
  <c r="AU117" i="13"/>
  <c r="AY117" i="13" s="1"/>
  <c r="BB117" i="13" s="1"/>
  <c r="AB28" i="13"/>
  <c r="AL28" i="13" s="1"/>
  <c r="AO28" i="13" s="1"/>
  <c r="S28" i="16" s="1"/>
  <c r="AV117" i="13"/>
  <c r="AZ117" i="13" s="1"/>
  <c r="AD28" i="13"/>
  <c r="AN28" i="13" s="1"/>
  <c r="CK28" i="13" s="1"/>
  <c r="AV28" i="13"/>
  <c r="AZ28" i="13" s="1"/>
  <c r="AW117" i="13"/>
  <c r="BA117" i="13" s="1"/>
  <c r="CN117" i="13" s="1"/>
  <c r="AC28" i="13"/>
  <c r="AM28" i="13" s="1"/>
  <c r="AT28" i="13"/>
  <c r="AX28" i="13" s="1"/>
  <c r="AA28" i="13"/>
  <c r="AK28" i="13" s="1"/>
  <c r="AU28" i="13"/>
  <c r="AY28" i="13" s="1"/>
  <c r="AB117" i="13"/>
  <c r="AL117" i="13" s="1"/>
  <c r="AB148" i="13"/>
  <c r="AL148" i="13" s="1"/>
  <c r="AC148" i="13"/>
  <c r="AM148" i="13" s="1"/>
  <c r="AW148" i="13"/>
  <c r="BA148" i="13" s="1"/>
  <c r="CN148" i="13" s="1"/>
  <c r="AT148" i="13"/>
  <c r="AX148" i="13" s="1"/>
  <c r="AK148" i="13"/>
  <c r="AU148" i="13"/>
  <c r="AY148" i="13" s="1"/>
  <c r="BB148" i="13" s="1"/>
  <c r="AA41" i="13"/>
  <c r="AK41" i="13" s="1"/>
  <c r="AD41" i="13"/>
  <c r="AN41" i="13" s="1"/>
  <c r="CK41" i="13" s="1"/>
  <c r="AA30" i="13"/>
  <c r="AK30" i="13" s="1"/>
  <c r="AK135" i="13"/>
  <c r="AV71" i="13"/>
  <c r="AZ71" i="13" s="1"/>
  <c r="AT130" i="13"/>
  <c r="AX130" i="13" s="1"/>
  <c r="AD135" i="13"/>
  <c r="AN135" i="13" s="1"/>
  <c r="CK135" i="13" s="1"/>
  <c r="AC121" i="13"/>
  <c r="AM121" i="13" s="1"/>
  <c r="AO121" i="13" s="1"/>
  <c r="S121" i="16" s="1"/>
  <c r="AD121" i="13"/>
  <c r="AN121" i="13" s="1"/>
  <c r="CK121" i="13" s="1"/>
  <c r="AC135" i="13"/>
  <c r="AM135" i="13" s="1"/>
  <c r="AV126" i="13"/>
  <c r="AZ126" i="13" s="1"/>
  <c r="BB126" i="13" s="1"/>
  <c r="AB121" i="13"/>
  <c r="AL121" i="13" s="1"/>
  <c r="AB135" i="13"/>
  <c r="AL135" i="13" s="1"/>
  <c r="AO135" i="13" s="1"/>
  <c r="S135" i="16" s="1"/>
  <c r="AU135" i="13"/>
  <c r="AY135" i="13" s="1"/>
  <c r="AT121" i="13"/>
  <c r="AX121" i="13" s="1"/>
  <c r="AB30" i="13"/>
  <c r="AL30" i="13" s="1"/>
  <c r="AO30" i="13" s="1"/>
  <c r="S30" i="16" s="1"/>
  <c r="AU151" i="13"/>
  <c r="AY151" i="13" s="1"/>
  <c r="AV135" i="13"/>
  <c r="AZ135" i="13" s="1"/>
  <c r="AU121" i="13"/>
  <c r="AY121" i="13" s="1"/>
  <c r="AU60" i="13"/>
  <c r="AY60" i="13" s="1"/>
  <c r="AT135" i="13"/>
  <c r="AX135" i="13" s="1"/>
  <c r="AV121" i="13"/>
  <c r="AZ121" i="13" s="1"/>
  <c r="BB121" i="13" s="1"/>
  <c r="AA14" i="13"/>
  <c r="AK14" i="13" s="1"/>
  <c r="AC14" i="13"/>
  <c r="AM14" i="13" s="1"/>
  <c r="AO14" i="13" s="1"/>
  <c r="S14" i="16" s="1"/>
  <c r="AB14" i="13"/>
  <c r="AL14" i="13" s="1"/>
  <c r="AD14" i="13"/>
  <c r="AN14" i="13" s="1"/>
  <c r="CK14" i="13" s="1"/>
  <c r="AA12" i="13"/>
  <c r="AK12" i="13" s="1"/>
  <c r="AC12" i="13"/>
  <c r="AM12" i="13" s="1"/>
  <c r="AO12" i="13" s="1"/>
  <c r="S12" i="16" s="1"/>
  <c r="AD12" i="13"/>
  <c r="AN12" i="13" s="1"/>
  <c r="CK12" i="13" s="1"/>
  <c r="AB12" i="13"/>
  <c r="AL12" i="13" s="1"/>
  <c r="AD11" i="13"/>
  <c r="AN11" i="13" s="1"/>
  <c r="CK11" i="13" s="1"/>
  <c r="AA11" i="13"/>
  <c r="AK11" i="13" s="1"/>
  <c r="AC11" i="13"/>
  <c r="AM11" i="13" s="1"/>
  <c r="AO11" i="13" s="1"/>
  <c r="S11" i="16" s="1"/>
  <c r="AB11" i="13"/>
  <c r="AL11" i="13" s="1"/>
  <c r="AK168" i="13"/>
  <c r="AC168" i="13"/>
  <c r="AM168" i="13" s="1"/>
  <c r="AO168" i="13" s="1"/>
  <c r="S168" i="16" s="1"/>
  <c r="AB168" i="13"/>
  <c r="AL168" i="13" s="1"/>
  <c r="AD168" i="13"/>
  <c r="AN168" i="13" s="1"/>
  <c r="CK168" i="13" s="1"/>
  <c r="AK17" i="13"/>
  <c r="AM17" i="13"/>
  <c r="AO17" i="13" s="1"/>
  <c r="S17" i="16" s="1"/>
  <c r="AL17" i="13"/>
  <c r="AN17" i="13"/>
  <c r="CK17" i="13" s="1"/>
  <c r="AA10" i="13"/>
  <c r="AK10" i="13" s="1"/>
  <c r="AC10" i="13"/>
  <c r="AM10" i="13" s="1"/>
  <c r="AO10" i="13" s="1"/>
  <c r="S10" i="16" s="1"/>
  <c r="AD10" i="13"/>
  <c r="AN10" i="13" s="1"/>
  <c r="CK10" i="13" s="1"/>
  <c r="AB10" i="13"/>
  <c r="AL10" i="13" s="1"/>
  <c r="AA19" i="13"/>
  <c r="AK19" i="13" s="1"/>
  <c r="AB19" i="13"/>
  <c r="AL19" i="13" s="1"/>
  <c r="AD19" i="13"/>
  <c r="AN19" i="13" s="1"/>
  <c r="CK19" i="13" s="1"/>
  <c r="AC19" i="13"/>
  <c r="AM19" i="13" s="1"/>
  <c r="AO19" i="13" s="1"/>
  <c r="S19" i="16" s="1"/>
  <c r="AK171" i="13"/>
  <c r="AB171" i="13"/>
  <c r="AL171" i="13" s="1"/>
  <c r="AD171" i="13"/>
  <c r="AN171" i="13" s="1"/>
  <c r="CK171" i="13" s="1"/>
  <c r="AC171" i="13"/>
  <c r="AM171" i="13" s="1"/>
  <c r="AO171" i="13" s="1"/>
  <c r="S171" i="16" s="1"/>
  <c r="AK136" i="13"/>
  <c r="AC136" i="13"/>
  <c r="AM136" i="13" s="1"/>
  <c r="AO136" i="13" s="1"/>
  <c r="S136" i="16" s="1"/>
  <c r="AB136" i="13"/>
  <c r="AL136" i="13" s="1"/>
  <c r="AD136" i="13"/>
  <c r="AN136" i="13" s="1"/>
  <c r="CK136" i="13" s="1"/>
  <c r="AK218" i="13"/>
  <c r="AB218" i="13"/>
  <c r="AL218" i="13" s="1"/>
  <c r="AO218" i="13" s="1"/>
  <c r="S218" i="16" s="1"/>
  <c r="AD218" i="13"/>
  <c r="AN218" i="13" s="1"/>
  <c r="CK218" i="13" s="1"/>
  <c r="AC218" i="13"/>
  <c r="AM218" i="13" s="1"/>
  <c r="AB169" i="13"/>
  <c r="AL169" i="13" s="1"/>
  <c r="AC169" i="13"/>
  <c r="AM169" i="13" s="1"/>
  <c r="AO169" i="13" s="1"/>
  <c r="S169" i="16" s="1"/>
  <c r="AD169" i="13"/>
  <c r="AN169" i="13" s="1"/>
  <c r="CK169" i="13" s="1"/>
  <c r="AK169" i="13"/>
  <c r="AD13" i="13"/>
  <c r="AN13" i="13" s="1"/>
  <c r="CK13" i="13" s="1"/>
  <c r="AC13" i="13"/>
  <c r="AM13" i="13" s="1"/>
  <c r="AO13" i="13" s="1"/>
  <c r="S13" i="16" s="1"/>
  <c r="AA13" i="13"/>
  <c r="AK13" i="13" s="1"/>
  <c r="AB13" i="13"/>
  <c r="AL13" i="13" s="1"/>
  <c r="AA27" i="13"/>
  <c r="AK27" i="13" s="1"/>
  <c r="AD27" i="13"/>
  <c r="AN27" i="13" s="1"/>
  <c r="CK27" i="13" s="1"/>
  <c r="AC27" i="13"/>
  <c r="AM27" i="13" s="1"/>
  <c r="AO27" i="13" s="1"/>
  <c r="S27" i="16" s="1"/>
  <c r="AK170" i="13"/>
  <c r="AC170" i="13"/>
  <c r="AM170" i="13" s="1"/>
  <c r="AO170" i="13" s="1"/>
  <c r="S170" i="16" s="1"/>
  <c r="AB170" i="13"/>
  <c r="AL170" i="13" s="1"/>
  <c r="AD170" i="13"/>
  <c r="AN170" i="13" s="1"/>
  <c r="CK170" i="13" s="1"/>
  <c r="AA20" i="13"/>
  <c r="AK20" i="13" s="1"/>
  <c r="AC20" i="13"/>
  <c r="AM20" i="13" s="1"/>
  <c r="AO20" i="13" s="1"/>
  <c r="S20" i="16" s="1"/>
  <c r="AB20" i="13"/>
  <c r="AL20" i="13" s="1"/>
  <c r="AD20" i="13"/>
  <c r="AN20" i="13" s="1"/>
  <c r="CK20" i="13" s="1"/>
  <c r="AT171" i="13"/>
  <c r="AX171" i="13" s="1"/>
  <c r="AW171" i="13"/>
  <c r="BA171" i="13" s="1"/>
  <c r="CN171" i="13" s="1"/>
  <c r="AV171" i="13"/>
  <c r="AZ171" i="13" s="1"/>
  <c r="BB171" i="13" s="1"/>
  <c r="AU171" i="13"/>
  <c r="AY171" i="13" s="1"/>
  <c r="AV168" i="13"/>
  <c r="AZ168" i="13" s="1"/>
  <c r="BB168" i="13" s="1"/>
  <c r="AU168" i="13"/>
  <c r="AY168" i="13" s="1"/>
  <c r="AW168" i="13"/>
  <c r="BA168" i="13" s="1"/>
  <c r="CN168" i="13" s="1"/>
  <c r="AT168" i="13"/>
  <c r="AX168" i="13" s="1"/>
  <c r="AU20" i="13"/>
  <c r="AY20" i="13" s="1"/>
  <c r="AV20" i="13"/>
  <c r="AZ20" i="13" s="1"/>
  <c r="BB20" i="13" s="1"/>
  <c r="AW20" i="13"/>
  <c r="BA20" i="13" s="1"/>
  <c r="CN20" i="13" s="1"/>
  <c r="AT20" i="13"/>
  <c r="AX20" i="13" s="1"/>
  <c r="AW169" i="13"/>
  <c r="BA169" i="13" s="1"/>
  <c r="CN169" i="13" s="1"/>
  <c r="AT169" i="13"/>
  <c r="AX169" i="13" s="1"/>
  <c r="AU169" i="13"/>
  <c r="AY169" i="13" s="1"/>
  <c r="AV169" i="13"/>
  <c r="AZ169" i="13" s="1"/>
  <c r="BB169" i="13" s="1"/>
  <c r="AW136" i="13"/>
  <c r="BA136" i="13" s="1"/>
  <c r="CN136" i="13" s="1"/>
  <c r="AT136" i="13"/>
  <c r="AX136" i="13" s="1"/>
  <c r="AV136" i="13"/>
  <c r="AZ136" i="13" s="1"/>
  <c r="BB136" i="13" s="1"/>
  <c r="AU136" i="13"/>
  <c r="AY136" i="13" s="1"/>
  <c r="AV170" i="13"/>
  <c r="AZ170" i="13" s="1"/>
  <c r="BB170" i="13" s="1"/>
  <c r="AU170" i="13"/>
  <c r="AY170" i="13" s="1"/>
  <c r="AT170" i="13"/>
  <c r="AX170" i="13" s="1"/>
  <c r="AW170" i="13"/>
  <c r="BA170" i="13" s="1"/>
  <c r="CN170" i="13" s="1"/>
  <c r="AT12" i="13"/>
  <c r="AX12" i="13" s="1"/>
  <c r="AU12" i="13"/>
  <c r="AY12" i="13" s="1"/>
  <c r="AW12" i="13"/>
  <c r="BA12" i="13" s="1"/>
  <c r="CN12" i="13" s="1"/>
  <c r="AV12" i="13"/>
  <c r="AZ12" i="13" s="1"/>
  <c r="BB12" i="13" s="1"/>
  <c r="AW11" i="13"/>
  <c r="BA11" i="13" s="1"/>
  <c r="CN11" i="13" s="1"/>
  <c r="AV11" i="13"/>
  <c r="AZ11" i="13" s="1"/>
  <c r="BB11" i="13" s="1"/>
  <c r="AU11" i="13"/>
  <c r="AY11" i="13" s="1"/>
  <c r="AT11" i="13"/>
  <c r="AX11" i="13" s="1"/>
  <c r="AW17" i="13"/>
  <c r="BA17" i="13" s="1"/>
  <c r="CN17" i="13" s="1"/>
  <c r="AV17" i="13"/>
  <c r="AZ17" i="13" s="1"/>
  <c r="BB17" i="13" s="1"/>
  <c r="W17" i="16" s="1"/>
  <c r="AT17" i="13"/>
  <c r="AX17" i="13" s="1"/>
  <c r="AU17" i="13"/>
  <c r="AY17" i="13" s="1"/>
  <c r="AU10" i="13"/>
  <c r="AY10" i="13" s="1"/>
  <c r="AT10" i="13"/>
  <c r="AX10" i="13" s="1"/>
  <c r="AV10" i="13"/>
  <c r="AZ10" i="13" s="1"/>
  <c r="BB10" i="13" s="1"/>
  <c r="AW10" i="13"/>
  <c r="BA10" i="13" s="1"/>
  <c r="CN10" i="13" s="1"/>
  <c r="AW19" i="13"/>
  <c r="BA19" i="13" s="1"/>
  <c r="CN19" i="13" s="1"/>
  <c r="AT19" i="13"/>
  <c r="AX19" i="13" s="1"/>
  <c r="AV19" i="13"/>
  <c r="AZ19" i="13" s="1"/>
  <c r="BB19" i="13" s="1"/>
  <c r="AU19" i="13"/>
  <c r="AY19" i="13" s="1"/>
  <c r="AW218" i="13"/>
  <c r="BA218" i="13" s="1"/>
  <c r="CN218" i="13" s="1"/>
  <c r="AV218" i="13"/>
  <c r="AZ218" i="13" s="1"/>
  <c r="AU218" i="13"/>
  <c r="AY218" i="13" s="1"/>
  <c r="BB218" i="13" s="1"/>
  <c r="AT218" i="13"/>
  <c r="AX218" i="13" s="1"/>
  <c r="AU14" i="13"/>
  <c r="AY14" i="13" s="1"/>
  <c r="AT14" i="13"/>
  <c r="AX14" i="13" s="1"/>
  <c r="AW14" i="13"/>
  <c r="BA14" i="13" s="1"/>
  <c r="CN14" i="13" s="1"/>
  <c r="AV14" i="13"/>
  <c r="AZ14" i="13" s="1"/>
  <c r="BB14" i="13" s="1"/>
  <c r="AV13" i="13"/>
  <c r="AZ13" i="13" s="1"/>
  <c r="BB13" i="13" s="1"/>
  <c r="AW13" i="13"/>
  <c r="BA13" i="13" s="1"/>
  <c r="CN13" i="13" s="1"/>
  <c r="AU13" i="13"/>
  <c r="AY13" i="13" s="1"/>
  <c r="AT13" i="13"/>
  <c r="AX13" i="13" s="1"/>
  <c r="AV27" i="13"/>
  <c r="AZ27" i="13" s="1"/>
  <c r="BB27" i="13" s="1"/>
  <c r="AU27" i="13"/>
  <c r="AY27" i="13" s="1"/>
  <c r="AW27" i="13"/>
  <c r="BA27" i="13" s="1"/>
  <c r="CN27" i="13" s="1"/>
  <c r="AT27" i="13"/>
  <c r="AX27" i="13" s="1"/>
  <c r="CD34" i="13" l="1"/>
  <c r="CF34" i="13" s="1"/>
  <c r="AG34" i="16" s="1"/>
  <c r="BQ34" i="13"/>
  <c r="BS34" i="13" s="1"/>
  <c r="AC34" i="16" s="1"/>
  <c r="W27" i="16"/>
  <c r="BE27" i="13"/>
  <c r="W170" i="16"/>
  <c r="BE170" i="13"/>
  <c r="W41" i="16"/>
  <c r="BE41" i="13"/>
  <c r="Z41" i="16" s="1"/>
  <c r="W237" i="16"/>
  <c r="BE237" i="13"/>
  <c r="Z237" i="16" s="1"/>
  <c r="W38" i="16"/>
  <c r="BE38" i="13"/>
  <c r="Z38" i="16" s="1"/>
  <c r="W47" i="16"/>
  <c r="BE47" i="13"/>
  <c r="Z47" i="16" s="1"/>
  <c r="W150" i="16"/>
  <c r="BE150" i="13"/>
  <c r="W93" i="16"/>
  <c r="BE93" i="13"/>
  <c r="W92" i="16"/>
  <c r="BE92" i="13"/>
  <c r="W95" i="16"/>
  <c r="BE95" i="13"/>
  <c r="Z95" i="16" s="1"/>
  <c r="W61" i="16"/>
  <c r="BE61" i="13"/>
  <c r="Z61" i="16" s="1"/>
  <c r="W43" i="16"/>
  <c r="BE43" i="13"/>
  <c r="Z43" i="16" s="1"/>
  <c r="W16" i="16"/>
  <c r="BE16" i="13"/>
  <c r="W19" i="16"/>
  <c r="BE19" i="13"/>
  <c r="W136" i="16"/>
  <c r="BE136" i="13"/>
  <c r="Z136" i="16" s="1"/>
  <c r="W30" i="16"/>
  <c r="BE30" i="13"/>
  <c r="Z30" i="16" s="1"/>
  <c r="W157" i="16"/>
  <c r="BE157" i="13"/>
  <c r="Z157" i="16" s="1"/>
  <c r="W256" i="16"/>
  <c r="BE256" i="13"/>
  <c r="Z256" i="16" s="1"/>
  <c r="W94" i="16"/>
  <c r="BE94" i="13"/>
  <c r="W85" i="16"/>
  <c r="BE85" i="13"/>
  <c r="W168" i="16"/>
  <c r="BE168" i="13"/>
  <c r="W98" i="16"/>
  <c r="BE98" i="13"/>
  <c r="Z98" i="16" s="1"/>
  <c r="W236" i="16"/>
  <c r="BE236" i="13"/>
  <c r="Z236" i="16" s="1"/>
  <c r="W46" i="16"/>
  <c r="BE46" i="13"/>
  <c r="Z46" i="16" s="1"/>
  <c r="W77" i="16"/>
  <c r="BE77" i="13"/>
  <c r="W12" i="16"/>
  <c r="BE12" i="13"/>
  <c r="W169" i="16"/>
  <c r="BE169" i="13"/>
  <c r="Z169" i="16" s="1"/>
  <c r="W215" i="16"/>
  <c r="BE215" i="13"/>
  <c r="Z215" i="16" s="1"/>
  <c r="W251" i="16"/>
  <c r="BE251" i="13"/>
  <c r="Z251" i="16" s="1"/>
  <c r="W199" i="16"/>
  <c r="BE199" i="13"/>
  <c r="Z199" i="16" s="1"/>
  <c r="W259" i="16"/>
  <c r="BE259" i="13"/>
  <c r="W171" i="16"/>
  <c r="BE171" i="13"/>
  <c r="W148" i="16"/>
  <c r="BE148" i="13"/>
  <c r="Z148" i="16" s="1"/>
  <c r="W125" i="16"/>
  <c r="BE125" i="13"/>
  <c r="Z125" i="16" s="1"/>
  <c r="W48" i="16"/>
  <c r="BE48" i="13"/>
  <c r="Z48" i="16" s="1"/>
  <c r="W147" i="16"/>
  <c r="BE147" i="13"/>
  <c r="Z147" i="16" s="1"/>
  <c r="AA99" i="13"/>
  <c r="AT99" i="13"/>
  <c r="AX99" i="13" s="1"/>
  <c r="C153" i="20"/>
  <c r="M153" i="23"/>
  <c r="W10" i="16"/>
  <c r="BE10" i="13"/>
  <c r="Z10" i="16" s="1"/>
  <c r="W126" i="16"/>
  <c r="BE126" i="13"/>
  <c r="Z126" i="16" s="1"/>
  <c r="W122" i="16"/>
  <c r="BE122" i="13"/>
  <c r="Z122" i="16" s="1"/>
  <c r="W13" i="16"/>
  <c r="BE13" i="13"/>
  <c r="Z13" i="16" s="1"/>
  <c r="W121" i="16"/>
  <c r="BE121" i="13"/>
  <c r="W45" i="16"/>
  <c r="BE45" i="13"/>
  <c r="W131" i="16"/>
  <c r="BE131" i="13"/>
  <c r="Z131" i="16" s="1"/>
  <c r="W34" i="16"/>
  <c r="BE34" i="13"/>
  <c r="Z34" i="16" s="1"/>
  <c r="W58" i="16"/>
  <c r="BE58" i="13"/>
  <c r="Z58" i="16" s="1"/>
  <c r="W139" i="16"/>
  <c r="BE139" i="13"/>
  <c r="Z139" i="16" s="1"/>
  <c r="W124" i="16"/>
  <c r="BE124" i="13"/>
  <c r="W146" i="16"/>
  <c r="BE146" i="13"/>
  <c r="W132" i="16"/>
  <c r="BE132" i="13"/>
  <c r="Z132" i="16" s="1"/>
  <c r="C152" i="20"/>
  <c r="M152" i="23"/>
  <c r="W14" i="16"/>
  <c r="BE14" i="13"/>
  <c r="Z14" i="16" s="1"/>
  <c r="W197" i="16"/>
  <c r="BE197" i="13"/>
  <c r="Z197" i="16" s="1"/>
  <c r="W44" i="16"/>
  <c r="BE44" i="13"/>
  <c r="W120" i="16"/>
  <c r="BE120" i="13"/>
  <c r="Z120" i="16" s="1"/>
  <c r="W198" i="16"/>
  <c r="BE198" i="13"/>
  <c r="Z198" i="16" s="1"/>
  <c r="W149" i="16"/>
  <c r="BE149" i="13"/>
  <c r="W83" i="16"/>
  <c r="BE83" i="13"/>
  <c r="Z83" i="16" s="1"/>
  <c r="W218" i="16"/>
  <c r="BE218" i="13"/>
  <c r="Z218" i="16" s="1"/>
  <c r="W117" i="16"/>
  <c r="BE117" i="13"/>
  <c r="W240" i="16"/>
  <c r="BE240" i="13"/>
  <c r="Z240" i="16" s="1"/>
  <c r="W35" i="16"/>
  <c r="BE35" i="13"/>
  <c r="Z35" i="16" s="1"/>
  <c r="W33" i="16"/>
  <c r="BE33" i="13"/>
  <c r="Z33" i="16" s="1"/>
  <c r="W154" i="16"/>
  <c r="BE154" i="13"/>
  <c r="C138" i="20"/>
  <c r="M138" i="23"/>
  <c r="W11" i="16"/>
  <c r="BE11" i="13"/>
  <c r="Z11" i="16" s="1"/>
  <c r="W20" i="16"/>
  <c r="BE20" i="13"/>
  <c r="Z20" i="16" s="1"/>
  <c r="W55" i="16"/>
  <c r="BE55" i="13"/>
  <c r="Z55" i="16" s="1"/>
  <c r="W64" i="16"/>
  <c r="BE64" i="13"/>
  <c r="Z64" i="16" s="1"/>
  <c r="W145" i="16"/>
  <c r="BE145" i="13"/>
  <c r="Z145" i="16" s="1"/>
  <c r="W128" i="16"/>
  <c r="BE128" i="13"/>
  <c r="Z128" i="16" s="1"/>
  <c r="W230" i="16"/>
  <c r="BE230" i="13"/>
  <c r="Z230" i="16" s="1"/>
  <c r="W144" i="16"/>
  <c r="BE144" i="13"/>
  <c r="W127" i="16"/>
  <c r="BE127" i="13"/>
  <c r="Z127" i="16" s="1"/>
  <c r="AA153" i="16"/>
  <c r="D153" i="20"/>
  <c r="BH154" i="13"/>
  <c r="BI154" i="13" s="1"/>
  <c r="BH145" i="13"/>
  <c r="BI145" i="13" s="1"/>
  <c r="BH237" i="13"/>
  <c r="BI237" i="13" s="1"/>
  <c r="BH198" i="13"/>
  <c r="BI198" i="13" s="1"/>
  <c r="BH149" i="13"/>
  <c r="BI149" i="13" s="1"/>
  <c r="AR237" i="13"/>
  <c r="V237" i="16" s="1"/>
  <c r="BF152" i="13"/>
  <c r="AR154" i="13"/>
  <c r="V154" i="16" s="1"/>
  <c r="AQ13" i="13"/>
  <c r="U13" i="16" s="1"/>
  <c r="AQ136" i="13"/>
  <c r="AQ10" i="13"/>
  <c r="U10" i="16" s="1"/>
  <c r="AQ45" i="13"/>
  <c r="U45" i="16" s="1"/>
  <c r="AQ132" i="13"/>
  <c r="U132" i="16" s="1"/>
  <c r="AQ84" i="13"/>
  <c r="U84" i="16" s="1"/>
  <c r="AQ125" i="13"/>
  <c r="U125" i="16" s="1"/>
  <c r="AQ152" i="13"/>
  <c r="U152" i="16" s="1"/>
  <c r="Z17" i="16"/>
  <c r="AQ20" i="13"/>
  <c r="AO148" i="13"/>
  <c r="S148" i="16" s="1"/>
  <c r="CF71" i="13"/>
  <c r="AG71" i="16" s="1"/>
  <c r="CF151" i="13"/>
  <c r="AG151" i="16" s="1"/>
  <c r="Z27" i="16"/>
  <c r="Z170" i="16"/>
  <c r="AQ171" i="13"/>
  <c r="AO117" i="13"/>
  <c r="S117" i="16" s="1"/>
  <c r="AQ64" i="13"/>
  <c r="U64" i="16" s="1"/>
  <c r="AQ81" i="13"/>
  <c r="U81" i="16" s="1"/>
  <c r="AQ259" i="13"/>
  <c r="U259" i="16" s="1"/>
  <c r="Z92" i="16"/>
  <c r="AQ153" i="13"/>
  <c r="U153" i="16" s="1"/>
  <c r="BB28" i="13"/>
  <c r="AO197" i="13"/>
  <c r="S197" i="16" s="1"/>
  <c r="AQ80" i="13"/>
  <c r="U80" i="16" s="1"/>
  <c r="AR149" i="13"/>
  <c r="V149" i="16" s="1"/>
  <c r="AQ157" i="13"/>
  <c r="U157" i="16" s="1"/>
  <c r="Z19" i="16"/>
  <c r="AQ169" i="13"/>
  <c r="U169" i="16" s="1"/>
  <c r="AQ12" i="13"/>
  <c r="U12" i="16" s="1"/>
  <c r="AQ30" i="13"/>
  <c r="AQ61" i="13"/>
  <c r="BB67" i="13"/>
  <c r="AR145" i="13"/>
  <c r="V145" i="16" s="1"/>
  <c r="CF134" i="13"/>
  <c r="AG134" i="16" s="1"/>
  <c r="AQ170" i="13"/>
  <c r="U170" i="16" s="1"/>
  <c r="AQ16" i="13"/>
  <c r="U16" i="16" s="1"/>
  <c r="AQ94" i="13"/>
  <c r="U94" i="16" s="1"/>
  <c r="Z85" i="16"/>
  <c r="AQ31" i="13"/>
  <c r="U31" i="16" s="1"/>
  <c r="Z168" i="16"/>
  <c r="AQ19" i="13"/>
  <c r="U19" i="16" s="1"/>
  <c r="BB135" i="13"/>
  <c r="AQ120" i="13"/>
  <c r="U120" i="16" s="1"/>
  <c r="Z77" i="16"/>
  <c r="Z12" i="16"/>
  <c r="AQ27" i="13"/>
  <c r="U27" i="16" s="1"/>
  <c r="AQ236" i="13"/>
  <c r="U236" i="16" s="1"/>
  <c r="AQ67" i="13"/>
  <c r="U67" i="16" s="1"/>
  <c r="AO98" i="13"/>
  <c r="S98" i="16" s="1"/>
  <c r="AQ139" i="13"/>
  <c r="U139" i="16" s="1"/>
  <c r="Z259" i="16"/>
  <c r="Z171" i="16"/>
  <c r="AQ218" i="13"/>
  <c r="AQ168" i="13"/>
  <c r="U168" i="16" s="1"/>
  <c r="AQ14" i="13"/>
  <c r="U14" i="16" s="1"/>
  <c r="AQ35" i="13"/>
  <c r="U35" i="16" s="1"/>
  <c r="BS60" i="13"/>
  <c r="AC60" i="16" s="1"/>
  <c r="AQ150" i="13"/>
  <c r="U150" i="16" s="1"/>
  <c r="AQ256" i="13"/>
  <c r="U256" i="16" s="1"/>
  <c r="AQ34" i="13"/>
  <c r="U34" i="16" s="1"/>
  <c r="AQ127" i="13"/>
  <c r="U127" i="16" s="1"/>
  <c r="CF98" i="13"/>
  <c r="AG98" i="16" s="1"/>
  <c r="CF119" i="13"/>
  <c r="AG119" i="16" s="1"/>
  <c r="AQ11" i="13"/>
  <c r="U11" i="16" s="1"/>
  <c r="Z121" i="16"/>
  <c r="Z45" i="16"/>
  <c r="AQ26" i="13"/>
  <c r="U26" i="16" s="1"/>
  <c r="Z124" i="16"/>
  <c r="CF32" i="13"/>
  <c r="AG32" i="16" s="1"/>
  <c r="Z146" i="16"/>
  <c r="BF138" i="13"/>
  <c r="AV223" i="13"/>
  <c r="AZ223" i="13" s="1"/>
  <c r="BB223" i="13" s="1"/>
  <c r="AD174" i="13"/>
  <c r="AN174" i="13" s="1"/>
  <c r="CK174" i="13" s="1"/>
  <c r="AW186" i="13"/>
  <c r="BA186" i="13" s="1"/>
  <c r="CN186" i="13" s="1"/>
  <c r="AA186" i="13"/>
  <c r="AK186" i="13" s="1"/>
  <c r="AW192" i="13"/>
  <c r="BA192" i="13" s="1"/>
  <c r="CN192" i="13" s="1"/>
  <c r="AA192" i="13"/>
  <c r="AK192" i="13" s="1"/>
  <c r="AW213" i="13"/>
  <c r="BA213" i="13" s="1"/>
  <c r="CN213" i="13" s="1"/>
  <c r="AA213" i="13"/>
  <c r="AK213" i="13" s="1"/>
  <c r="AT158" i="13"/>
  <c r="AX158" i="13" s="1"/>
  <c r="AB208" i="13"/>
  <c r="AL208" i="13" s="1"/>
  <c r="BK69" i="13"/>
  <c r="BO69" i="13" s="1"/>
  <c r="BK51" i="13"/>
  <c r="BO51" i="13" s="1"/>
  <c r="BL90" i="13"/>
  <c r="BP90" i="13" s="1"/>
  <c r="BX90" i="13"/>
  <c r="CB90" i="13" s="1"/>
  <c r="BZ51" i="13"/>
  <c r="CD51" i="13" s="1"/>
  <c r="CF51" i="13" s="1"/>
  <c r="AG51" i="16" s="1"/>
  <c r="BZ69" i="13"/>
  <c r="CD69" i="13" s="1"/>
  <c r="CF69" i="13" s="1"/>
  <c r="AG69" i="16" s="1"/>
  <c r="BL69" i="13"/>
  <c r="BP69" i="13" s="1"/>
  <c r="BL51" i="13"/>
  <c r="BP51" i="13" s="1"/>
  <c r="BK90" i="13"/>
  <c r="BO90" i="13" s="1"/>
  <c r="CA90" i="13"/>
  <c r="CE90" i="13" s="1"/>
  <c r="BY51" i="13"/>
  <c r="CC51" i="13" s="1"/>
  <c r="BY69" i="13"/>
  <c r="CC69" i="13" s="1"/>
  <c r="BL76" i="13"/>
  <c r="BP76" i="13" s="1"/>
  <c r="BZ231" i="13"/>
  <c r="CD231" i="13" s="1"/>
  <c r="BZ66" i="13"/>
  <c r="CD66" i="13" s="1"/>
  <c r="CF66" i="13" s="1"/>
  <c r="AG66" i="16" s="1"/>
  <c r="CA76" i="13"/>
  <c r="CE76" i="13" s="1"/>
  <c r="CA78" i="13"/>
  <c r="CE78" i="13" s="1"/>
  <c r="BK76" i="13"/>
  <c r="BO76" i="13" s="1"/>
  <c r="BL78" i="13"/>
  <c r="BP78" i="13" s="1"/>
  <c r="BK231" i="13"/>
  <c r="BO231" i="13" s="1"/>
  <c r="BY231" i="13"/>
  <c r="CC231" i="13" s="1"/>
  <c r="BY66" i="13"/>
  <c r="CC66" i="13" s="1"/>
  <c r="BX76" i="13"/>
  <c r="CB76" i="13" s="1"/>
  <c r="BZ78" i="13"/>
  <c r="CD78" i="13" s="1"/>
  <c r="CF78" i="13" s="1"/>
  <c r="AG78" i="16" s="1"/>
  <c r="BK78" i="13"/>
  <c r="BO78" i="13" s="1"/>
  <c r="BL231" i="13"/>
  <c r="BP231" i="13" s="1"/>
  <c r="BL66" i="13"/>
  <c r="BP66" i="13" s="1"/>
  <c r="AC3" i="13"/>
  <c r="AM3" i="13" s="1"/>
  <c r="AO3" i="13" s="1"/>
  <c r="S3" i="16" s="1"/>
  <c r="BM3" i="13"/>
  <c r="BQ3" i="13" s="1"/>
  <c r="BS3" i="13" s="1"/>
  <c r="AC3" i="16" s="1"/>
  <c r="Z44" i="16"/>
  <c r="Z16" i="16"/>
  <c r="Z117" i="16"/>
  <c r="Z94" i="16"/>
  <c r="Z93" i="16"/>
  <c r="AB3" i="13"/>
  <c r="AL3" i="13" s="1"/>
  <c r="AK244" i="13"/>
  <c r="AT229" i="13"/>
  <c r="AX229" i="13" s="1"/>
  <c r="AC110" i="13"/>
  <c r="AM110" i="13" s="1"/>
  <c r="AO110" i="13" s="1"/>
  <c r="S110" i="16" s="1"/>
  <c r="AU21" i="13"/>
  <c r="AY21" i="13" s="1"/>
  <c r="AQ128" i="13"/>
  <c r="U128" i="16" s="1"/>
  <c r="AQ240" i="13"/>
  <c r="U240" i="16" s="1"/>
  <c r="AQ48" i="13"/>
  <c r="U48" i="16" s="1"/>
  <c r="AQ47" i="13"/>
  <c r="U47" i="16" s="1"/>
  <c r="AQ85" i="13"/>
  <c r="U85" i="16" s="1"/>
  <c r="AQ138" i="13"/>
  <c r="U138" i="16" s="1"/>
  <c r="AQ135" i="13"/>
  <c r="U135" i="16" s="1"/>
  <c r="AD159" i="13"/>
  <c r="AN159" i="13" s="1"/>
  <c r="CK159" i="13" s="1"/>
  <c r="AK110" i="13"/>
  <c r="AQ95" i="13"/>
  <c r="U95" i="16" s="1"/>
  <c r="AQ147" i="13"/>
  <c r="U147" i="16" s="1"/>
  <c r="AQ144" i="13"/>
  <c r="U144" i="16" s="1"/>
  <c r="AQ146" i="13"/>
  <c r="U146" i="16" s="1"/>
  <c r="AR198" i="13"/>
  <c r="V198" i="16" s="1"/>
  <c r="AQ41" i="13"/>
  <c r="U41" i="16" s="1"/>
  <c r="AQ55" i="13"/>
  <c r="U55" i="16" s="1"/>
  <c r="AQ58" i="13"/>
  <c r="U58" i="16" s="1"/>
  <c r="AQ28" i="13"/>
  <c r="U28" i="16" s="1"/>
  <c r="AQ43" i="13"/>
  <c r="U43" i="16" s="1"/>
  <c r="AQ92" i="13"/>
  <c r="U92" i="16" s="1"/>
  <c r="AB221" i="13"/>
  <c r="AL221" i="13" s="1"/>
  <c r="AQ121" i="13"/>
  <c r="U121" i="16" s="1"/>
  <c r="AQ33" i="13"/>
  <c r="U33" i="16" s="1"/>
  <c r="AQ46" i="13"/>
  <c r="U46" i="16" s="1"/>
  <c r="AQ44" i="13"/>
  <c r="U44" i="16" s="1"/>
  <c r="AQ77" i="13"/>
  <c r="U77" i="16" s="1"/>
  <c r="AQ124" i="13"/>
  <c r="U124" i="16" s="1"/>
  <c r="AQ93" i="13"/>
  <c r="U93" i="16" s="1"/>
  <c r="AT244" i="13"/>
  <c r="AX244" i="13" s="1"/>
  <c r="AT80" i="13"/>
  <c r="AX80" i="13" s="1"/>
  <c r="AW3" i="13"/>
  <c r="BA3" i="13" s="1"/>
  <c r="CN3" i="13" s="1"/>
  <c r="AW9" i="13"/>
  <c r="BA9" i="13" s="1"/>
  <c r="CN9" i="13" s="1"/>
  <c r="AD207" i="13"/>
  <c r="AN207" i="13" s="1"/>
  <c r="CK207" i="13" s="1"/>
  <c r="AC229" i="13"/>
  <c r="AM229" i="13" s="1"/>
  <c r="AO229" i="13" s="1"/>
  <c r="S229" i="16" s="1"/>
  <c r="AU207" i="13"/>
  <c r="AY207" i="13" s="1"/>
  <c r="AB31" i="13"/>
  <c r="AL31" i="13" s="1"/>
  <c r="AV82" i="13"/>
  <c r="AZ82" i="13" s="1"/>
  <c r="BB82" i="13" s="1"/>
  <c r="AU178" i="13"/>
  <c r="AY178" i="13" s="1"/>
  <c r="AW31" i="13"/>
  <c r="BA31" i="13" s="1"/>
  <c r="CN31" i="13" s="1"/>
  <c r="AD9" i="13"/>
  <c r="AN9" i="13" s="1"/>
  <c r="CK9" i="13" s="1"/>
  <c r="AC194" i="13"/>
  <c r="AM194" i="13" s="1"/>
  <c r="AO194" i="13" s="1"/>
  <c r="S194" i="16" s="1"/>
  <c r="AA80" i="13"/>
  <c r="AK80" i="13" s="1"/>
  <c r="AU80" i="13"/>
  <c r="AY80" i="13" s="1"/>
  <c r="AV178" i="13"/>
  <c r="AZ178" i="13" s="1"/>
  <c r="BB178" i="13" s="1"/>
  <c r="AW21" i="13"/>
  <c r="BA21" i="13" s="1"/>
  <c r="CN21" i="13" s="1"/>
  <c r="AT9" i="13"/>
  <c r="AX9" i="13" s="1"/>
  <c r="AT3" i="13"/>
  <c r="AX3" i="13" s="1"/>
  <c r="AU31" i="13"/>
  <c r="AY31" i="13" s="1"/>
  <c r="AA3" i="13"/>
  <c r="AK3" i="13" s="1"/>
  <c r="AC9" i="13"/>
  <c r="AM9" i="13" s="1"/>
  <c r="AO9" i="13" s="1"/>
  <c r="S9" i="16" s="1"/>
  <c r="AD244" i="13"/>
  <c r="AN244" i="13" s="1"/>
  <c r="CK244" i="13" s="1"/>
  <c r="AB21" i="13"/>
  <c r="AL21" i="13" s="1"/>
  <c r="AC207" i="13"/>
  <c r="AM207" i="13" s="1"/>
  <c r="AO207" i="13" s="1"/>
  <c r="S207" i="16" s="1"/>
  <c r="AK229" i="13"/>
  <c r="AA31" i="13"/>
  <c r="AK31" i="13" s="1"/>
  <c r="AV207" i="13"/>
  <c r="AZ207" i="13" s="1"/>
  <c r="BB207" i="13" s="1"/>
  <c r="AV229" i="13"/>
  <c r="AZ229" i="13" s="1"/>
  <c r="BB229" i="13" s="1"/>
  <c r="AU244" i="13"/>
  <c r="AY244" i="13" s="1"/>
  <c r="AW207" i="13"/>
  <c r="BA207" i="13" s="1"/>
  <c r="CN207" i="13" s="1"/>
  <c r="AU229" i="13"/>
  <c r="AY229" i="13" s="1"/>
  <c r="AW244" i="13"/>
  <c r="BA244" i="13" s="1"/>
  <c r="CN244" i="13" s="1"/>
  <c r="AV80" i="13"/>
  <c r="AZ80" i="13" s="1"/>
  <c r="BB80" i="13" s="1"/>
  <c r="AW178" i="13"/>
  <c r="BA178" i="13" s="1"/>
  <c r="CN178" i="13" s="1"/>
  <c r="AV21" i="13"/>
  <c r="AZ21" i="13" s="1"/>
  <c r="BB21" i="13" s="1"/>
  <c r="AU9" i="13"/>
  <c r="AY9" i="13" s="1"/>
  <c r="AU3" i="13"/>
  <c r="AY3" i="13" s="1"/>
  <c r="AV31" i="13"/>
  <c r="AZ31" i="13" s="1"/>
  <c r="BB31" i="13" s="1"/>
  <c r="AD3" i="13"/>
  <c r="AN3" i="13" s="1"/>
  <c r="CK3" i="13" s="1"/>
  <c r="AB9" i="13"/>
  <c r="AL9" i="13" s="1"/>
  <c r="AC244" i="13"/>
  <c r="AM244" i="13" s="1"/>
  <c r="AO244" i="13" s="1"/>
  <c r="S244" i="16" s="1"/>
  <c r="AD21" i="13"/>
  <c r="AN21" i="13" s="1"/>
  <c r="CK21" i="13" s="1"/>
  <c r="AB207" i="13"/>
  <c r="AL207" i="13" s="1"/>
  <c r="AD31" i="13"/>
  <c r="AN31" i="13" s="1"/>
  <c r="CK31" i="13" s="1"/>
  <c r="AD80" i="13"/>
  <c r="AN80" i="13" s="1"/>
  <c r="CK80" i="13" s="1"/>
  <c r="AT207" i="13"/>
  <c r="AX207" i="13" s="1"/>
  <c r="AW229" i="13"/>
  <c r="BA229" i="13" s="1"/>
  <c r="CN229" i="13" s="1"/>
  <c r="AV244" i="13"/>
  <c r="AZ244" i="13" s="1"/>
  <c r="BB244" i="13" s="1"/>
  <c r="AW80" i="13"/>
  <c r="BA80" i="13" s="1"/>
  <c r="CN80" i="13" s="1"/>
  <c r="AT178" i="13"/>
  <c r="AX178" i="13" s="1"/>
  <c r="AT21" i="13"/>
  <c r="AX21" i="13" s="1"/>
  <c r="AV9" i="13"/>
  <c r="AZ9" i="13" s="1"/>
  <c r="BB9" i="13" s="1"/>
  <c r="AV3" i="13"/>
  <c r="AZ3" i="13" s="1"/>
  <c r="BB3" i="13" s="1"/>
  <c r="AT31" i="13"/>
  <c r="AX31" i="13" s="1"/>
  <c r="AC21" i="13"/>
  <c r="AM21" i="13" s="1"/>
  <c r="AO21" i="13" s="1"/>
  <c r="S21" i="16" s="1"/>
  <c r="AD229" i="13"/>
  <c r="AN229" i="13" s="1"/>
  <c r="CK229" i="13" s="1"/>
  <c r="AB80" i="13"/>
  <c r="AL80" i="13" s="1"/>
  <c r="AD178" i="13"/>
  <c r="AN178" i="13" s="1"/>
  <c r="CK178" i="13" s="1"/>
  <c r="AW97" i="13"/>
  <c r="BA97" i="13" s="1"/>
  <c r="CN97" i="13" s="1"/>
  <c r="AW4" i="13"/>
  <c r="BA4" i="13" s="1"/>
  <c r="CN4" i="13" s="1"/>
  <c r="AW83" i="13"/>
  <c r="BA83" i="13" s="1"/>
  <c r="CN83" i="13" s="1"/>
  <c r="AD82" i="13"/>
  <c r="AN82" i="13" s="1"/>
  <c r="CK82" i="13" s="1"/>
  <c r="AD194" i="13"/>
  <c r="AN194" i="13" s="1"/>
  <c r="CK194" i="13" s="1"/>
  <c r="AT4" i="13"/>
  <c r="AX4" i="13" s="1"/>
  <c r="AC29" i="13"/>
  <c r="AM29" i="13" s="1"/>
  <c r="AO29" i="13" s="1"/>
  <c r="S29" i="16" s="1"/>
  <c r="AK194" i="13"/>
  <c r="AK214" i="13"/>
  <c r="AW174" i="13"/>
  <c r="BA174" i="13" s="1"/>
  <c r="CN174" i="13" s="1"/>
  <c r="AD4" i="13"/>
  <c r="AN4" i="13" s="1"/>
  <c r="CK4" i="13" s="1"/>
  <c r="AB245" i="13"/>
  <c r="AL245" i="13" s="1"/>
  <c r="AB4" i="13"/>
  <c r="AL4" i="13" s="1"/>
  <c r="AT194" i="13"/>
  <c r="AX194" i="13" s="1"/>
  <c r="AV194" i="13"/>
  <c r="AZ194" i="13" s="1"/>
  <c r="BB194" i="13" s="1"/>
  <c r="AT245" i="13"/>
  <c r="AX245" i="13" s="1"/>
  <c r="AU29" i="13"/>
  <c r="AY29" i="13" s="1"/>
  <c r="AW214" i="13"/>
  <c r="BA214" i="13" s="1"/>
  <c r="CN214" i="13" s="1"/>
  <c r="AA82" i="13"/>
  <c r="AK82" i="13" s="1"/>
  <c r="AU194" i="13"/>
  <c r="AY194" i="13" s="1"/>
  <c r="AV245" i="13"/>
  <c r="AZ245" i="13" s="1"/>
  <c r="BB245" i="13" s="1"/>
  <c r="AV29" i="13"/>
  <c r="AZ29" i="13" s="1"/>
  <c r="BB29" i="13" s="1"/>
  <c r="AV214" i="13"/>
  <c r="AZ214" i="13" s="1"/>
  <c r="BB214" i="13" s="1"/>
  <c r="AV39" i="13"/>
  <c r="AZ39" i="13" s="1"/>
  <c r="BB39" i="13" s="1"/>
  <c r="AD24" i="13"/>
  <c r="AN24" i="13" s="1"/>
  <c r="CK24" i="13" s="1"/>
  <c r="AC22" i="13"/>
  <c r="AM22" i="13" s="1"/>
  <c r="AO22" i="13" s="1"/>
  <c r="S22" i="16" s="1"/>
  <c r="AA4" i="13"/>
  <c r="AK4" i="13" s="1"/>
  <c r="AU22" i="13"/>
  <c r="AY22" i="13" s="1"/>
  <c r="AW38" i="13"/>
  <c r="BA38" i="13" s="1"/>
  <c r="CN38" i="13" s="1"/>
  <c r="AV53" i="13"/>
  <c r="AZ53" i="13" s="1"/>
  <c r="BB53" i="13" s="1"/>
  <c r="AW39" i="13"/>
  <c r="BA39" i="13" s="1"/>
  <c r="CN39" i="13" s="1"/>
  <c r="AA22" i="13"/>
  <c r="AK22" i="13" s="1"/>
  <c r="AB39" i="13"/>
  <c r="AL39" i="13" s="1"/>
  <c r="AB82" i="13"/>
  <c r="AL82" i="13" s="1"/>
  <c r="AB38" i="13"/>
  <c r="AL38" i="13" s="1"/>
  <c r="AW221" i="13"/>
  <c r="BA221" i="13" s="1"/>
  <c r="CN221" i="13" s="1"/>
  <c r="AT24" i="13"/>
  <c r="AX24" i="13" s="1"/>
  <c r="AU82" i="13"/>
  <c r="AY82" i="13" s="1"/>
  <c r="AV221" i="13"/>
  <c r="AZ221" i="13" s="1"/>
  <c r="BB221" i="13" s="1"/>
  <c r="AW24" i="13"/>
  <c r="BA24" i="13" s="1"/>
  <c r="CN24" i="13" s="1"/>
  <c r="AC38" i="13"/>
  <c r="AM38" i="13" s="1"/>
  <c r="AO38" i="13" s="1"/>
  <c r="S38" i="16" s="1"/>
  <c r="AD221" i="13"/>
  <c r="AN221" i="13" s="1"/>
  <c r="CK221" i="13" s="1"/>
  <c r="AB159" i="13"/>
  <c r="AL159" i="13" s="1"/>
  <c r="AA25" i="13"/>
  <c r="AK25" i="13" s="1"/>
  <c r="AU84" i="13"/>
  <c r="AY84" i="13" s="1"/>
  <c r="AC160" i="13"/>
  <c r="AM160" i="13" s="1"/>
  <c r="AO160" i="13" s="1"/>
  <c r="S160" i="16" s="1"/>
  <c r="BK52" i="13"/>
  <c r="BO52" i="13" s="1"/>
  <c r="BL220" i="13"/>
  <c r="BP220" i="13" s="1"/>
  <c r="AU81" i="13"/>
  <c r="AY81" i="13" s="1"/>
  <c r="AA81" i="13"/>
  <c r="AK81" i="13" s="1"/>
  <c r="AT81" i="13"/>
  <c r="AX81" i="13" s="1"/>
  <c r="AV37" i="13"/>
  <c r="AZ37" i="13" s="1"/>
  <c r="BB37" i="13" s="1"/>
  <c r="AB202" i="13"/>
  <c r="AL202" i="13" s="1"/>
  <c r="AC254" i="13"/>
  <c r="AM254" i="13" s="1"/>
  <c r="AO254" i="13" s="1"/>
  <c r="S254" i="16" s="1"/>
  <c r="AW162" i="13"/>
  <c r="BA162" i="13" s="1"/>
  <c r="CN162" i="13" s="1"/>
  <c r="AW37" i="13"/>
  <c r="BA37" i="13" s="1"/>
  <c r="CN37" i="13" s="1"/>
  <c r="AK202" i="13"/>
  <c r="AB254" i="13"/>
  <c r="AL254" i="13" s="1"/>
  <c r="AA26" i="13"/>
  <c r="AK26" i="13" s="1"/>
  <c r="AT201" i="13"/>
  <c r="AX201" i="13" s="1"/>
  <c r="AW254" i="13"/>
  <c r="BA254" i="13" s="1"/>
  <c r="CN254" i="13" s="1"/>
  <c r="AT254" i="13"/>
  <c r="AX254" i="13" s="1"/>
  <c r="AT222" i="13"/>
  <c r="AX222" i="13" s="1"/>
  <c r="AB81" i="13"/>
  <c r="AL81" i="13" s="1"/>
  <c r="AB160" i="13"/>
  <c r="AL160" i="13" s="1"/>
  <c r="AV205" i="13"/>
  <c r="AZ205" i="13" s="1"/>
  <c r="BB205" i="13" s="1"/>
  <c r="AT166" i="13"/>
  <c r="AX166" i="13" s="1"/>
  <c r="AK160" i="13"/>
  <c r="AB86" i="13"/>
  <c r="AL86" i="13" s="1"/>
  <c r="AU185" i="13"/>
  <c r="AY185" i="13" s="1"/>
  <c r="AW205" i="13"/>
  <c r="BA205" i="13" s="1"/>
  <c r="CN205" i="13" s="1"/>
  <c r="AU166" i="13"/>
  <c r="AY166" i="13" s="1"/>
  <c r="AB100" i="13"/>
  <c r="AL100" i="13" s="1"/>
  <c r="AD84" i="13"/>
  <c r="AN84" i="13" s="1"/>
  <c r="CK84" i="13" s="1"/>
  <c r="AC108" i="13"/>
  <c r="AM108" i="13" s="1"/>
  <c r="AO108" i="13" s="1"/>
  <c r="S108" i="16" s="1"/>
  <c r="AV166" i="13"/>
  <c r="AZ166" i="13" s="1"/>
  <c r="BB166" i="13" s="1"/>
  <c r="AK108" i="13"/>
  <c r="AT25" i="13"/>
  <c r="AX25" i="13" s="1"/>
  <c r="AU108" i="13"/>
  <c r="AY108" i="13" s="1"/>
  <c r="BB108" i="13" s="1"/>
  <c r="AC100" i="13"/>
  <c r="AM100" i="13" s="1"/>
  <c r="AB205" i="13"/>
  <c r="AL205" i="13" s="1"/>
  <c r="AD100" i="13"/>
  <c r="AN100" i="13" s="1"/>
  <c r="CK100" i="13" s="1"/>
  <c r="AB84" i="13"/>
  <c r="AL84" i="13" s="1"/>
  <c r="AV25" i="13"/>
  <c r="AZ25" i="13" s="1"/>
  <c r="BB25" i="13" s="1"/>
  <c r="AV108" i="13"/>
  <c r="AZ108" i="13" s="1"/>
  <c r="AW160" i="13"/>
  <c r="BA160" i="13" s="1"/>
  <c r="CN160" i="13" s="1"/>
  <c r="AU100" i="13"/>
  <c r="AY100" i="13" s="1"/>
  <c r="AC166" i="13"/>
  <c r="AM166" i="13" s="1"/>
  <c r="AO166" i="13" s="1"/>
  <c r="S166" i="16" s="1"/>
  <c r="AD205" i="13"/>
  <c r="AN205" i="13" s="1"/>
  <c r="CK205" i="13" s="1"/>
  <c r="AW108" i="13"/>
  <c r="BA108" i="13" s="1"/>
  <c r="CN108" i="13" s="1"/>
  <c r="AV100" i="13"/>
  <c r="AZ100" i="13" s="1"/>
  <c r="AK166" i="13"/>
  <c r="AC185" i="13"/>
  <c r="AM185" i="13" s="1"/>
  <c r="AO185" i="13" s="1"/>
  <c r="S185" i="16" s="1"/>
  <c r="AW166" i="13"/>
  <c r="BA166" i="13" s="1"/>
  <c r="CN166" i="13" s="1"/>
  <c r="AT84" i="13"/>
  <c r="AX84" i="13" s="1"/>
  <c r="AV160" i="13"/>
  <c r="AZ160" i="13" s="1"/>
  <c r="BB160" i="13" s="1"/>
  <c r="AT185" i="13"/>
  <c r="AX185" i="13" s="1"/>
  <c r="AC25" i="13"/>
  <c r="AM25" i="13" s="1"/>
  <c r="AO25" i="13" s="1"/>
  <c r="S25" i="16" s="1"/>
  <c r="AA84" i="13"/>
  <c r="AK84" i="13" s="1"/>
  <c r="AD185" i="13"/>
  <c r="AN185" i="13" s="1"/>
  <c r="CK185" i="13" s="1"/>
  <c r="AV84" i="13"/>
  <c r="AZ84" i="13" s="1"/>
  <c r="BB84" i="13" s="1"/>
  <c r="AT160" i="13"/>
  <c r="AX160" i="13" s="1"/>
  <c r="AV185" i="13"/>
  <c r="AZ185" i="13" s="1"/>
  <c r="BB185" i="13" s="1"/>
  <c r="AT205" i="13"/>
  <c r="AX205" i="13" s="1"/>
  <c r="AT100" i="13"/>
  <c r="AX100" i="13" s="1"/>
  <c r="AB97" i="13"/>
  <c r="AL97" i="13" s="1"/>
  <c r="AB166" i="13"/>
  <c r="AL166" i="13" s="1"/>
  <c r="AB25" i="13"/>
  <c r="AL25" i="13" s="1"/>
  <c r="AC205" i="13"/>
  <c r="AM205" i="13" s="1"/>
  <c r="AO205" i="13" s="1"/>
  <c r="S205" i="16" s="1"/>
  <c r="AD108" i="13"/>
  <c r="AN108" i="13" s="1"/>
  <c r="CK108" i="13" s="1"/>
  <c r="AB185" i="13"/>
  <c r="AL185" i="13" s="1"/>
  <c r="AA53" i="13"/>
  <c r="AK53" i="13" s="1"/>
  <c r="AU25" i="13"/>
  <c r="AY25" i="13" s="1"/>
  <c r="AW25" i="13"/>
  <c r="BA25" i="13" s="1"/>
  <c r="CN25" i="13" s="1"/>
  <c r="AT108" i="13"/>
  <c r="AX108" i="13" s="1"/>
  <c r="AW84" i="13"/>
  <c r="BA84" i="13" s="1"/>
  <c r="CN84" i="13" s="1"/>
  <c r="AU160" i="13"/>
  <c r="AY160" i="13" s="1"/>
  <c r="AW185" i="13"/>
  <c r="BA185" i="13" s="1"/>
  <c r="CN185" i="13" s="1"/>
  <c r="AU205" i="13"/>
  <c r="AY205" i="13" s="1"/>
  <c r="AW100" i="13"/>
  <c r="BA100" i="13" s="1"/>
  <c r="CN100" i="13" s="1"/>
  <c r="AB223" i="13"/>
  <c r="AL223" i="13" s="1"/>
  <c r="AD29" i="13"/>
  <c r="AN29" i="13" s="1"/>
  <c r="CK29" i="13" s="1"/>
  <c r="AD39" i="13"/>
  <c r="AN39" i="13" s="1"/>
  <c r="CK39" i="13" s="1"/>
  <c r="AD53" i="13"/>
  <c r="AN53" i="13" s="1"/>
  <c r="CK53" i="13" s="1"/>
  <c r="AU230" i="13"/>
  <c r="AY230" i="13" s="1"/>
  <c r="AT202" i="13"/>
  <c r="AX202" i="13" s="1"/>
  <c r="AT174" i="13"/>
  <c r="AX174" i="13" s="1"/>
  <c r="AV249" i="13"/>
  <c r="AZ249" i="13" s="1"/>
  <c r="BB249" i="13" s="1"/>
  <c r="AV222" i="13"/>
  <c r="AZ222" i="13" s="1"/>
  <c r="BB222" i="13" s="1"/>
  <c r="AV4" i="13"/>
  <c r="AZ4" i="13" s="1"/>
  <c r="BB4" i="13" s="1"/>
  <c r="AT29" i="13"/>
  <c r="AX29" i="13" s="1"/>
  <c r="AT22" i="13"/>
  <c r="AX22" i="13" s="1"/>
  <c r="AU53" i="13"/>
  <c r="AY53" i="13" s="1"/>
  <c r="AT26" i="13"/>
  <c r="AX26" i="13" s="1"/>
  <c r="AU57" i="13"/>
  <c r="AY57" i="13" s="1"/>
  <c r="AU254" i="13"/>
  <c r="AY254" i="13" s="1"/>
  <c r="AU24" i="13"/>
  <c r="AY24" i="13" s="1"/>
  <c r="AC82" i="13"/>
  <c r="AM82" i="13" s="1"/>
  <c r="AO82" i="13" s="1"/>
  <c r="S82" i="16" s="1"/>
  <c r="AD38" i="13"/>
  <c r="AN38" i="13" s="1"/>
  <c r="CK38" i="13" s="1"/>
  <c r="AB37" i="13"/>
  <c r="AL37" i="13" s="1"/>
  <c r="AK97" i="13"/>
  <c r="AC245" i="13"/>
  <c r="AM245" i="13" s="1"/>
  <c r="AO245" i="13" s="1"/>
  <c r="S245" i="16" s="1"/>
  <c r="AK254" i="13"/>
  <c r="AB194" i="13"/>
  <c r="AL194" i="13" s="1"/>
  <c r="AC221" i="13"/>
  <c r="AM221" i="13" s="1"/>
  <c r="AO221" i="13" s="1"/>
  <c r="S221" i="16" s="1"/>
  <c r="AC39" i="13"/>
  <c r="AM39" i="13" s="1"/>
  <c r="AO39" i="13" s="1"/>
  <c r="S39" i="16" s="1"/>
  <c r="AC4" i="13"/>
  <c r="AM4" i="13" s="1"/>
  <c r="AO4" i="13" s="1"/>
  <c r="S4" i="16" s="1"/>
  <c r="AB53" i="13"/>
  <c r="AL53" i="13" s="1"/>
  <c r="AB251" i="13"/>
  <c r="AL251" i="13" s="1"/>
  <c r="AA37" i="13"/>
  <c r="AK37" i="13" s="1"/>
  <c r="AV202" i="13"/>
  <c r="AZ202" i="13" s="1"/>
  <c r="BB202" i="13" s="1"/>
  <c r="AW82" i="13"/>
  <c r="BA82" i="13" s="1"/>
  <c r="CN82" i="13" s="1"/>
  <c r="AV242" i="13"/>
  <c r="AU222" i="13"/>
  <c r="AY222" i="13" s="1"/>
  <c r="AW29" i="13"/>
  <c r="BA29" i="13" s="1"/>
  <c r="CN29" i="13" s="1"/>
  <c r="AW22" i="13"/>
  <c r="BA22" i="13" s="1"/>
  <c r="CN22" i="13" s="1"/>
  <c r="AW53" i="13"/>
  <c r="BA53" i="13" s="1"/>
  <c r="CN53" i="13" s="1"/>
  <c r="AW26" i="13"/>
  <c r="BA26" i="13" s="1"/>
  <c r="CN26" i="13" s="1"/>
  <c r="AW57" i="13"/>
  <c r="BA57" i="13" s="1"/>
  <c r="CN57" i="13" s="1"/>
  <c r="AV24" i="13"/>
  <c r="AZ24" i="13" s="1"/>
  <c r="BB24" i="13" s="1"/>
  <c r="AB24" i="13"/>
  <c r="AL24" i="13" s="1"/>
  <c r="AC57" i="13"/>
  <c r="AM57" i="13" s="1"/>
  <c r="AO57" i="13" s="1"/>
  <c r="S57" i="16" s="1"/>
  <c r="AA38" i="13"/>
  <c r="AK38" i="13" s="1"/>
  <c r="AD37" i="13"/>
  <c r="AN37" i="13" s="1"/>
  <c r="CK37" i="13" s="1"/>
  <c r="AD192" i="13"/>
  <c r="AN192" i="13" s="1"/>
  <c r="CK192" i="13" s="1"/>
  <c r="AD245" i="13"/>
  <c r="AN245" i="13" s="1"/>
  <c r="CK245" i="13" s="1"/>
  <c r="AD201" i="13"/>
  <c r="AN201" i="13" s="1"/>
  <c r="CK201" i="13" s="1"/>
  <c r="AK221" i="13"/>
  <c r="AA39" i="13"/>
  <c r="AK39" i="13" s="1"/>
  <c r="AD162" i="13"/>
  <c r="AN162" i="13" s="1"/>
  <c r="CK162" i="13" s="1"/>
  <c r="AC222" i="13"/>
  <c r="AM222" i="13" s="1"/>
  <c r="AO222" i="13" s="1"/>
  <c r="S222" i="16" s="1"/>
  <c r="AC53" i="13"/>
  <c r="AM53" i="13" s="1"/>
  <c r="AO53" i="13" s="1"/>
  <c r="S53" i="16" s="1"/>
  <c r="AU202" i="13"/>
  <c r="AY202" i="13" s="1"/>
  <c r="AU162" i="13"/>
  <c r="AY162" i="13" s="1"/>
  <c r="AT57" i="13"/>
  <c r="AX57" i="13" s="1"/>
  <c r="AC24" i="13"/>
  <c r="AM24" i="13" s="1"/>
  <c r="AO24" i="13" s="1"/>
  <c r="S24" i="16" s="1"/>
  <c r="AA57" i="13"/>
  <c r="AK57" i="13" s="1"/>
  <c r="AC37" i="13"/>
  <c r="AM37" i="13" s="1"/>
  <c r="AO37" i="13" s="1"/>
  <c r="S37" i="16" s="1"/>
  <c r="AB192" i="13"/>
  <c r="AL192" i="13" s="1"/>
  <c r="AK245" i="13"/>
  <c r="AC201" i="13"/>
  <c r="AM201" i="13" s="1"/>
  <c r="AO201" i="13" s="1"/>
  <c r="S201" i="16" s="1"/>
  <c r="AD26" i="13"/>
  <c r="AN26" i="13" s="1"/>
  <c r="CK26" i="13" s="1"/>
  <c r="AC214" i="13"/>
  <c r="AM214" i="13" s="1"/>
  <c r="AO214" i="13" s="1"/>
  <c r="S214" i="16" s="1"/>
  <c r="AB162" i="13"/>
  <c r="AL162" i="13" s="1"/>
  <c r="AB222" i="13"/>
  <c r="AL222" i="13" s="1"/>
  <c r="AW249" i="13"/>
  <c r="BA249" i="13" s="1"/>
  <c r="CN249" i="13" s="1"/>
  <c r="AW222" i="13"/>
  <c r="BA222" i="13" s="1"/>
  <c r="CN222" i="13" s="1"/>
  <c r="AU26" i="13"/>
  <c r="AY26" i="13" s="1"/>
  <c r="AW242" i="13"/>
  <c r="AV81" i="13"/>
  <c r="AZ81" i="13" s="1"/>
  <c r="BB81" i="13" s="1"/>
  <c r="AU38" i="13"/>
  <c r="AY38" i="13" s="1"/>
  <c r="AU245" i="13"/>
  <c r="AY245" i="13" s="1"/>
  <c r="AV162" i="13"/>
  <c r="AZ162" i="13" s="1"/>
  <c r="BB162" i="13" s="1"/>
  <c r="AT214" i="13"/>
  <c r="AX214" i="13" s="1"/>
  <c r="AT221" i="13"/>
  <c r="AX221" i="13" s="1"/>
  <c r="AT39" i="13"/>
  <c r="AX39" i="13" s="1"/>
  <c r="AU37" i="13"/>
  <c r="AY37" i="13" s="1"/>
  <c r="AB57" i="13"/>
  <c r="AL57" i="13" s="1"/>
  <c r="AB174" i="13"/>
  <c r="AL174" i="13" s="1"/>
  <c r="AD81" i="13"/>
  <c r="AN81" i="13" s="1"/>
  <c r="CK81" i="13" s="1"/>
  <c r="AC202" i="13"/>
  <c r="AM202" i="13" s="1"/>
  <c r="AO202" i="13" s="1"/>
  <c r="S202" i="16" s="1"/>
  <c r="AB201" i="13"/>
  <c r="AL201" i="13" s="1"/>
  <c r="AB26" i="13"/>
  <c r="AL26" i="13" s="1"/>
  <c r="AD214" i="13"/>
  <c r="AN214" i="13" s="1"/>
  <c r="CK214" i="13" s="1"/>
  <c r="AC162" i="13"/>
  <c r="AM162" i="13" s="1"/>
  <c r="AO162" i="13" s="1"/>
  <c r="S162" i="16" s="1"/>
  <c r="AW247" i="13"/>
  <c r="BA247" i="13" s="1"/>
  <c r="CN247" i="13" s="1"/>
  <c r="AU242" i="13"/>
  <c r="AV57" i="13"/>
  <c r="AZ57" i="13" s="1"/>
  <c r="BB57" i="13" s="1"/>
  <c r="AW202" i="13"/>
  <c r="BA202" i="13" s="1"/>
  <c r="CN202" i="13" s="1"/>
  <c r="AT38" i="13"/>
  <c r="AX38" i="13" s="1"/>
  <c r="AU201" i="13"/>
  <c r="AY201" i="13" s="1"/>
  <c r="AV22" i="13"/>
  <c r="AZ22" i="13" s="1"/>
  <c r="BB22" i="13" s="1"/>
  <c r="AV26" i="13"/>
  <c r="AZ26" i="13" s="1"/>
  <c r="BB26" i="13" s="1"/>
  <c r="AV201" i="13"/>
  <c r="AZ201" i="13" s="1"/>
  <c r="BB201" i="13" s="1"/>
  <c r="AB22" i="13"/>
  <c r="AL22" i="13" s="1"/>
  <c r="AB29" i="13"/>
  <c r="AL29" i="13" s="1"/>
  <c r="AD222" i="13"/>
  <c r="AN222" i="13" s="1"/>
  <c r="CK222" i="13" s="1"/>
  <c r="AW81" i="13"/>
  <c r="BA81" i="13" s="1"/>
  <c r="CN81" i="13" s="1"/>
  <c r="AW201" i="13"/>
  <c r="BA201" i="13" s="1"/>
  <c r="CN201" i="13" s="1"/>
  <c r="AT162" i="13"/>
  <c r="AX162" i="13" s="1"/>
  <c r="AT251" i="13"/>
  <c r="AX251" i="13" s="1"/>
  <c r="AU214" i="13"/>
  <c r="AY214" i="13" s="1"/>
  <c r="AV254" i="13"/>
  <c r="AZ254" i="13" s="1"/>
  <c r="BB254" i="13" s="1"/>
  <c r="AC178" i="13"/>
  <c r="AM178" i="13" s="1"/>
  <c r="AO178" i="13" s="1"/>
  <c r="S178" i="16" s="1"/>
  <c r="AB178" i="13"/>
  <c r="AL178" i="13" s="1"/>
  <c r="AV247" i="13"/>
  <c r="AZ247" i="13" s="1"/>
  <c r="BB247" i="13" s="1"/>
  <c r="AC230" i="13"/>
  <c r="AM230" i="13" s="1"/>
  <c r="AO230" i="13" s="1"/>
  <c r="S230" i="16" s="1"/>
  <c r="BZ172" i="13"/>
  <c r="CD172" i="13" s="1"/>
  <c r="CF172" i="13" s="1"/>
  <c r="AG172" i="16" s="1"/>
  <c r="CA172" i="13"/>
  <c r="CE172" i="13" s="1"/>
  <c r="BX172" i="13"/>
  <c r="CB172" i="13" s="1"/>
  <c r="BY172" i="13"/>
  <c r="CC172" i="13" s="1"/>
  <c r="BX195" i="13"/>
  <c r="CB195" i="13" s="1"/>
  <c r="BY195" i="13"/>
  <c r="CC195" i="13" s="1"/>
  <c r="CA195" i="13"/>
  <c r="CE195" i="13" s="1"/>
  <c r="BZ195" i="13"/>
  <c r="CD195" i="13" s="1"/>
  <c r="CF195" i="13" s="1"/>
  <c r="AG195" i="16" s="1"/>
  <c r="BX133" i="13"/>
  <c r="CB133" i="13" s="1"/>
  <c r="BY133" i="13"/>
  <c r="CC133" i="13" s="1"/>
  <c r="BZ133" i="13"/>
  <c r="CD133" i="13" s="1"/>
  <c r="CF133" i="13" s="1"/>
  <c r="AG133" i="16" s="1"/>
  <c r="CA133" i="13"/>
  <c r="CE133" i="13" s="1"/>
  <c r="BZ247" i="13"/>
  <c r="CD247" i="13" s="1"/>
  <c r="CF247" i="13" s="1"/>
  <c r="AG247" i="16" s="1"/>
  <c r="CA247" i="13"/>
  <c r="CE247" i="13" s="1"/>
  <c r="BX247" i="13"/>
  <c r="CB247" i="13" s="1"/>
  <c r="BY247" i="13"/>
  <c r="CC247" i="13" s="1"/>
  <c r="BY215" i="13"/>
  <c r="CC215" i="13" s="1"/>
  <c r="BZ215" i="13"/>
  <c r="CD215" i="13" s="1"/>
  <c r="CF215" i="13" s="1"/>
  <c r="AG215" i="16" s="1"/>
  <c r="CA215" i="13"/>
  <c r="CE215" i="13" s="1"/>
  <c r="BX215" i="13"/>
  <c r="CB215" i="13" s="1"/>
  <c r="BZ253" i="13"/>
  <c r="CD253" i="13" s="1"/>
  <c r="CF253" i="13" s="1"/>
  <c r="AG253" i="16" s="1"/>
  <c r="CA253" i="13"/>
  <c r="CE253" i="13" s="1"/>
  <c r="BY253" i="13"/>
  <c r="CC253" i="13" s="1"/>
  <c r="BX253" i="13"/>
  <c r="CB253" i="13" s="1"/>
  <c r="CA122" i="13"/>
  <c r="CE122" i="13" s="1"/>
  <c r="BX122" i="13"/>
  <c r="CB122" i="13" s="1"/>
  <c r="BZ122" i="13"/>
  <c r="CD122" i="13" s="1"/>
  <c r="CF122" i="13" s="1"/>
  <c r="AG122" i="16" s="1"/>
  <c r="BY122" i="13"/>
  <c r="CC122" i="13" s="1"/>
  <c r="BZ249" i="13"/>
  <c r="CD249" i="13" s="1"/>
  <c r="CF249" i="13" s="1"/>
  <c r="AG249" i="16" s="1"/>
  <c r="CA249" i="13"/>
  <c r="CE249" i="13" s="1"/>
  <c r="BY249" i="13"/>
  <c r="CC249" i="13" s="1"/>
  <c r="BX249" i="13"/>
  <c r="CB249" i="13" s="1"/>
  <c r="BZ251" i="13"/>
  <c r="CD251" i="13" s="1"/>
  <c r="CF251" i="13" s="1"/>
  <c r="AG251" i="16" s="1"/>
  <c r="CA251" i="13"/>
  <c r="CE251" i="13" s="1"/>
  <c r="BX251" i="13"/>
  <c r="CB251" i="13" s="1"/>
  <c r="BY251" i="13"/>
  <c r="CC251" i="13" s="1"/>
  <c r="BY219" i="13"/>
  <c r="CC219" i="13" s="1"/>
  <c r="BZ219" i="13"/>
  <c r="CD219" i="13" s="1"/>
  <c r="CF219" i="13" s="1"/>
  <c r="AG219" i="16" s="1"/>
  <c r="CA219" i="13"/>
  <c r="CE219" i="13" s="1"/>
  <c r="BX219" i="13"/>
  <c r="CB219" i="13" s="1"/>
  <c r="BX65" i="13"/>
  <c r="CB65" i="13" s="1"/>
  <c r="BY65" i="13"/>
  <c r="CC65" i="13" s="1"/>
  <c r="BZ65" i="13"/>
  <c r="CD65" i="13" s="1"/>
  <c r="CF65" i="13" s="1"/>
  <c r="AG65" i="16" s="1"/>
  <c r="CA65" i="13"/>
  <c r="CE65" i="13" s="1"/>
  <c r="BZ230" i="13"/>
  <c r="CD230" i="13" s="1"/>
  <c r="CF230" i="13" s="1"/>
  <c r="AG230" i="16" s="1"/>
  <c r="CA230" i="13"/>
  <c r="CE230" i="13" s="1"/>
  <c r="BX230" i="13"/>
  <c r="CB230" i="13" s="1"/>
  <c r="BY230" i="13"/>
  <c r="CC230" i="13" s="1"/>
  <c r="BX242" i="13"/>
  <c r="BY242" i="13"/>
  <c r="CA242" i="13"/>
  <c r="BZ242" i="13"/>
  <c r="BZ232" i="13"/>
  <c r="CD232" i="13" s="1"/>
  <c r="CF232" i="13" s="1"/>
  <c r="AG232" i="16" s="1"/>
  <c r="CA232" i="13"/>
  <c r="CE232" i="13" s="1"/>
  <c r="BY232" i="13"/>
  <c r="CC232" i="13" s="1"/>
  <c r="BX232" i="13"/>
  <c r="CB232" i="13" s="1"/>
  <c r="BX257" i="13"/>
  <c r="CB257" i="13" s="1"/>
  <c r="BY257" i="13"/>
  <c r="CC257" i="13" s="1"/>
  <c r="BZ257" i="13"/>
  <c r="CD257" i="13" s="1"/>
  <c r="CF257" i="13" s="1"/>
  <c r="AG257" i="16" s="1"/>
  <c r="CA257" i="13"/>
  <c r="CE257" i="13" s="1"/>
  <c r="BX109" i="13"/>
  <c r="CB109" i="13" s="1"/>
  <c r="BY109" i="13"/>
  <c r="CC109" i="13" s="1"/>
  <c r="BZ109" i="13"/>
  <c r="CD109" i="13" s="1"/>
  <c r="CA109" i="13"/>
  <c r="CE109" i="13" s="1"/>
  <c r="BX103" i="13"/>
  <c r="CB103" i="13" s="1"/>
  <c r="BY103" i="13"/>
  <c r="CC103" i="13" s="1"/>
  <c r="BZ103" i="13"/>
  <c r="CD103" i="13" s="1"/>
  <c r="CA103" i="13"/>
  <c r="CE103" i="13" s="1"/>
  <c r="BZ224" i="13"/>
  <c r="CD224" i="13" s="1"/>
  <c r="CF224" i="13" s="1"/>
  <c r="AG224" i="16" s="1"/>
  <c r="CA224" i="13"/>
  <c r="CE224" i="13" s="1"/>
  <c r="BY224" i="13"/>
  <c r="CC224" i="13" s="1"/>
  <c r="BX224" i="13"/>
  <c r="CB224" i="13" s="1"/>
  <c r="BZ212" i="13"/>
  <c r="CD212" i="13" s="1"/>
  <c r="CF212" i="13" s="1"/>
  <c r="AG212" i="16" s="1"/>
  <c r="CA212" i="13"/>
  <c r="CE212" i="13" s="1"/>
  <c r="BY212" i="13"/>
  <c r="CC212" i="13" s="1"/>
  <c r="BX212" i="13"/>
  <c r="CB212" i="13" s="1"/>
  <c r="CA54" i="13"/>
  <c r="CE54" i="13" s="1"/>
  <c r="BZ54" i="13"/>
  <c r="CD54" i="13" s="1"/>
  <c r="CF54" i="13" s="1"/>
  <c r="AG54" i="16" s="1"/>
  <c r="BY54" i="13"/>
  <c r="CC54" i="13" s="1"/>
  <c r="BX54" i="13"/>
  <c r="CB54" i="13" s="1"/>
  <c r="BZ200" i="13"/>
  <c r="CD200" i="13" s="1"/>
  <c r="CF200" i="13" s="1"/>
  <c r="AG200" i="16" s="1"/>
  <c r="CA200" i="13"/>
  <c r="CE200" i="13" s="1"/>
  <c r="BY200" i="13"/>
  <c r="CC200" i="13" s="1"/>
  <c r="BX200" i="13"/>
  <c r="CB200" i="13" s="1"/>
  <c r="CA254" i="13"/>
  <c r="CE254" i="13" s="1"/>
  <c r="BX254" i="13"/>
  <c r="CB254" i="13" s="1"/>
  <c r="BY254" i="13"/>
  <c r="CC254" i="13" s="1"/>
  <c r="BZ254" i="13"/>
  <c r="CD254" i="13" s="1"/>
  <c r="CF254" i="13" s="1"/>
  <c r="AG254" i="16" s="1"/>
  <c r="BX201" i="13"/>
  <c r="CB201" i="13" s="1"/>
  <c r="BY201" i="13"/>
  <c r="CC201" i="13" s="1"/>
  <c r="CA201" i="13"/>
  <c r="CE201" i="13" s="1"/>
  <c r="BZ201" i="13"/>
  <c r="CD201" i="13" s="1"/>
  <c r="CF201" i="13" s="1"/>
  <c r="AG201" i="16" s="1"/>
  <c r="BX37" i="13"/>
  <c r="CB37" i="13" s="1"/>
  <c r="BY37" i="13"/>
  <c r="CC37" i="13" s="1"/>
  <c r="BZ37" i="13"/>
  <c r="CD37" i="13" s="1"/>
  <c r="CF37" i="13" s="1"/>
  <c r="AG37" i="16" s="1"/>
  <c r="CA37" i="13"/>
  <c r="CE37" i="13" s="1"/>
  <c r="CA26" i="13"/>
  <c r="CE26" i="13" s="1"/>
  <c r="BX26" i="13"/>
  <c r="CB26" i="13" s="1"/>
  <c r="BY26" i="13"/>
  <c r="CC26" i="13" s="1"/>
  <c r="BZ26" i="13"/>
  <c r="CD26" i="13" s="1"/>
  <c r="CF26" i="13" s="1"/>
  <c r="AG26" i="16" s="1"/>
  <c r="BX83" i="13"/>
  <c r="CB83" i="13" s="1"/>
  <c r="BY83" i="13"/>
  <c r="CC83" i="13" s="1"/>
  <c r="BZ83" i="13"/>
  <c r="CD83" i="13" s="1"/>
  <c r="CF83" i="13" s="1"/>
  <c r="AG83" i="16" s="1"/>
  <c r="CA83" i="13"/>
  <c r="CE83" i="13" s="1"/>
  <c r="BX115" i="13"/>
  <c r="CB115" i="13" s="1"/>
  <c r="BY115" i="13"/>
  <c r="CC115" i="13" s="1"/>
  <c r="BZ115" i="13"/>
  <c r="CD115" i="13" s="1"/>
  <c r="CF115" i="13" s="1"/>
  <c r="AG115" i="16" s="1"/>
  <c r="CA115" i="13"/>
  <c r="CE115" i="13" s="1"/>
  <c r="BX57" i="13"/>
  <c r="CB57" i="13" s="1"/>
  <c r="BY57" i="13"/>
  <c r="CC57" i="13" s="1"/>
  <c r="BZ57" i="13"/>
  <c r="CD57" i="13" s="1"/>
  <c r="CF57" i="13" s="1"/>
  <c r="AG57" i="16" s="1"/>
  <c r="CA57" i="13"/>
  <c r="CE57" i="13" s="1"/>
  <c r="BX89" i="13"/>
  <c r="CB89" i="13" s="1"/>
  <c r="BY89" i="13"/>
  <c r="CC89" i="13" s="1"/>
  <c r="BZ89" i="13"/>
  <c r="CD89" i="13" s="1"/>
  <c r="CF89" i="13" s="1"/>
  <c r="AG89" i="16" s="1"/>
  <c r="CA89" i="13"/>
  <c r="CE89" i="13" s="1"/>
  <c r="BX79" i="13"/>
  <c r="CB79" i="13" s="1"/>
  <c r="BY79" i="13"/>
  <c r="CC79" i="13" s="1"/>
  <c r="BZ79" i="13"/>
  <c r="CD79" i="13" s="1"/>
  <c r="CF79" i="13" s="1"/>
  <c r="AG79" i="16" s="1"/>
  <c r="CA79" i="13"/>
  <c r="CE79" i="13" s="1"/>
  <c r="CA112" i="13"/>
  <c r="CE112" i="13" s="1"/>
  <c r="BX112" i="13"/>
  <c r="CB112" i="13" s="1"/>
  <c r="BY112" i="13"/>
  <c r="CC112" i="13" s="1"/>
  <c r="BZ112" i="13"/>
  <c r="CD112" i="13" s="1"/>
  <c r="CF112" i="13" s="1"/>
  <c r="AG112" i="16" s="1"/>
  <c r="BY248" i="13"/>
  <c r="CC248" i="13" s="1"/>
  <c r="BZ248" i="13"/>
  <c r="CD248" i="13" s="1"/>
  <c r="CF248" i="13" s="1"/>
  <c r="AG248" i="16" s="1"/>
  <c r="CA248" i="13"/>
  <c r="CE248" i="13" s="1"/>
  <c r="BX248" i="13"/>
  <c r="CB248" i="13" s="1"/>
  <c r="BZ222" i="13"/>
  <c r="CD222" i="13" s="1"/>
  <c r="CF222" i="13" s="1"/>
  <c r="AG222" i="16" s="1"/>
  <c r="CA222" i="13"/>
  <c r="CE222" i="13" s="1"/>
  <c r="BX222" i="13"/>
  <c r="CB222" i="13" s="1"/>
  <c r="BY222" i="13"/>
  <c r="CC222" i="13" s="1"/>
  <c r="BX97" i="13"/>
  <c r="CB97" i="13" s="1"/>
  <c r="BY97" i="13"/>
  <c r="CC97" i="13" s="1"/>
  <c r="BZ97" i="13"/>
  <c r="CD97" i="13" s="1"/>
  <c r="CA97" i="13"/>
  <c r="CE97" i="13" s="1"/>
  <c r="AU251" i="13"/>
  <c r="AY251" i="13" s="1"/>
  <c r="AU247" i="13"/>
  <c r="AY247" i="13" s="1"/>
  <c r="AD65" i="13"/>
  <c r="AN65" i="13" s="1"/>
  <c r="CK65" i="13" s="1"/>
  <c r="AC253" i="13"/>
  <c r="AM253" i="13" s="1"/>
  <c r="AO253" i="13" s="1"/>
  <c r="S253" i="16" s="1"/>
  <c r="AK251" i="13"/>
  <c r="BX7" i="13"/>
  <c r="CB7" i="13" s="1"/>
  <c r="BY7" i="13"/>
  <c r="CC7" i="13" s="1"/>
  <c r="BZ7" i="13"/>
  <c r="CD7" i="13" s="1"/>
  <c r="CF7" i="13" s="1"/>
  <c r="AG7" i="16" s="1"/>
  <c r="CA7" i="13"/>
  <c r="CE7" i="13" s="1"/>
  <c r="BZ190" i="13"/>
  <c r="CD190" i="13" s="1"/>
  <c r="CF190" i="13" s="1"/>
  <c r="AG190" i="16" s="1"/>
  <c r="CA190" i="13"/>
  <c r="CE190" i="13" s="1"/>
  <c r="BX190" i="13"/>
  <c r="CB190" i="13" s="1"/>
  <c r="BY190" i="13"/>
  <c r="CC190" i="13" s="1"/>
  <c r="BX3" i="13"/>
  <c r="CB3" i="13" s="1"/>
  <c r="BY3" i="13"/>
  <c r="CC3" i="13" s="1"/>
  <c r="BZ3" i="13"/>
  <c r="CD3" i="13" s="1"/>
  <c r="CF3" i="13" s="1"/>
  <c r="AG3" i="16" s="1"/>
  <c r="CA3" i="13"/>
  <c r="CE3" i="13" s="1"/>
  <c r="BX21" i="13"/>
  <c r="CB21" i="13" s="1"/>
  <c r="BY21" i="13"/>
  <c r="CC21" i="13" s="1"/>
  <c r="BZ21" i="13"/>
  <c r="CD21" i="13" s="1"/>
  <c r="CF21" i="13" s="1"/>
  <c r="AG21" i="16" s="1"/>
  <c r="CA21" i="13"/>
  <c r="CE21" i="13" s="1"/>
  <c r="BX187" i="13"/>
  <c r="CB187" i="13" s="1"/>
  <c r="CA187" i="13"/>
  <c r="CE187" i="13" s="1"/>
  <c r="BY187" i="13"/>
  <c r="CC187" i="13" s="1"/>
  <c r="BZ187" i="13"/>
  <c r="CD187" i="13" s="1"/>
  <c r="CF187" i="13" s="1"/>
  <c r="AG187" i="16" s="1"/>
  <c r="CA6" i="13"/>
  <c r="CE6" i="13" s="1"/>
  <c r="BX6" i="13"/>
  <c r="CB6" i="13" s="1"/>
  <c r="BY6" i="13"/>
  <c r="CC6" i="13" s="1"/>
  <c r="BZ6" i="13"/>
  <c r="CD6" i="13" s="1"/>
  <c r="CF6" i="13" s="1"/>
  <c r="AG6" i="16" s="1"/>
  <c r="BZ178" i="13"/>
  <c r="CD178" i="13" s="1"/>
  <c r="CF178" i="13" s="1"/>
  <c r="AG178" i="16" s="1"/>
  <c r="CA178" i="13"/>
  <c r="CE178" i="13" s="1"/>
  <c r="BX178" i="13"/>
  <c r="CB178" i="13" s="1"/>
  <c r="BY178" i="13"/>
  <c r="CC178" i="13" s="1"/>
  <c r="CA229" i="13"/>
  <c r="CE229" i="13" s="1"/>
  <c r="BX229" i="13"/>
  <c r="CB229" i="13" s="1"/>
  <c r="BY229" i="13"/>
  <c r="CC229" i="13" s="1"/>
  <c r="BZ229" i="13"/>
  <c r="CD229" i="13" s="1"/>
  <c r="CF229" i="13" s="1"/>
  <c r="AG229" i="16" s="1"/>
  <c r="BZ238" i="13"/>
  <c r="CD238" i="13" s="1"/>
  <c r="CF238" i="13" s="1"/>
  <c r="AG238" i="16" s="1"/>
  <c r="CA238" i="13"/>
  <c r="CE238" i="13" s="1"/>
  <c r="BX238" i="13"/>
  <c r="CB238" i="13" s="1"/>
  <c r="BY238" i="13"/>
  <c r="CC238" i="13" s="1"/>
  <c r="BZ186" i="13"/>
  <c r="CD186" i="13" s="1"/>
  <c r="CF186" i="13" s="1"/>
  <c r="AG186" i="16" s="1"/>
  <c r="CA186" i="13"/>
  <c r="CE186" i="13" s="1"/>
  <c r="BX186" i="13"/>
  <c r="CB186" i="13" s="1"/>
  <c r="BY186" i="13"/>
  <c r="CC186" i="13" s="1"/>
  <c r="BX141" i="13"/>
  <c r="CB141" i="13" s="1"/>
  <c r="BY141" i="13"/>
  <c r="CC141" i="13" s="1"/>
  <c r="BZ141" i="13"/>
  <c r="CD141" i="13" s="1"/>
  <c r="CF141" i="13" s="1"/>
  <c r="AG141" i="16" s="1"/>
  <c r="CA141" i="13"/>
  <c r="CE141" i="13" s="1"/>
  <c r="CA80" i="13"/>
  <c r="CE80" i="13" s="1"/>
  <c r="BY80" i="13"/>
  <c r="CC80" i="13" s="1"/>
  <c r="BZ80" i="13"/>
  <c r="CD80" i="13" s="1"/>
  <c r="CF80" i="13" s="1"/>
  <c r="AG80" i="16" s="1"/>
  <c r="BX80" i="13"/>
  <c r="CB80" i="13" s="1"/>
  <c r="BX9" i="13"/>
  <c r="CB9" i="13" s="1"/>
  <c r="BY9" i="13"/>
  <c r="CC9" i="13" s="1"/>
  <c r="BZ9" i="13"/>
  <c r="CD9" i="13" s="1"/>
  <c r="CF9" i="13" s="1"/>
  <c r="AG9" i="16" s="1"/>
  <c r="CA9" i="13"/>
  <c r="CE9" i="13" s="1"/>
  <c r="BY244" i="13"/>
  <c r="CC244" i="13" s="1"/>
  <c r="BZ244" i="13"/>
  <c r="CD244" i="13" s="1"/>
  <c r="CF244" i="13" s="1"/>
  <c r="AG244" i="16" s="1"/>
  <c r="CA244" i="13"/>
  <c r="CE244" i="13" s="1"/>
  <c r="BX244" i="13"/>
  <c r="CB244" i="13" s="1"/>
  <c r="BX31" i="13"/>
  <c r="CB31" i="13" s="1"/>
  <c r="BY31" i="13"/>
  <c r="CC31" i="13" s="1"/>
  <c r="BZ31" i="13"/>
  <c r="CD31" i="13" s="1"/>
  <c r="CF31" i="13" s="1"/>
  <c r="AG31" i="16" s="1"/>
  <c r="CA31" i="13"/>
  <c r="CE31" i="13" s="1"/>
  <c r="BY211" i="13"/>
  <c r="CC211" i="13" s="1"/>
  <c r="BZ211" i="13"/>
  <c r="CD211" i="13" s="1"/>
  <c r="CF211" i="13" s="1"/>
  <c r="AG211" i="16" s="1"/>
  <c r="CA211" i="13"/>
  <c r="CE211" i="13" s="1"/>
  <c r="BX211" i="13"/>
  <c r="CB211" i="13" s="1"/>
  <c r="BX189" i="13"/>
  <c r="CB189" i="13" s="1"/>
  <c r="BZ189" i="13"/>
  <c r="CD189" i="13" s="1"/>
  <c r="CF189" i="13" s="1"/>
  <c r="AG189" i="16" s="1"/>
  <c r="CA189" i="13"/>
  <c r="CE189" i="13" s="1"/>
  <c r="BY189" i="13"/>
  <c r="CC189" i="13" s="1"/>
  <c r="BY140" i="13"/>
  <c r="CC140" i="13" s="1"/>
  <c r="BZ140" i="13"/>
  <c r="CD140" i="13" s="1"/>
  <c r="CF140" i="13" s="1"/>
  <c r="AG140" i="16" s="1"/>
  <c r="CA140" i="13"/>
  <c r="CE140" i="13" s="1"/>
  <c r="BX140" i="13"/>
  <c r="CB140" i="13" s="1"/>
  <c r="CA246" i="13"/>
  <c r="CE246" i="13" s="1"/>
  <c r="BX246" i="13"/>
  <c r="CB246" i="13" s="1"/>
  <c r="BY246" i="13"/>
  <c r="CC246" i="13" s="1"/>
  <c r="BZ246" i="13"/>
  <c r="CD246" i="13" s="1"/>
  <c r="CF246" i="13" s="1"/>
  <c r="AG246" i="16" s="1"/>
  <c r="BX165" i="13"/>
  <c r="CB165" i="13" s="1"/>
  <c r="BZ165" i="13"/>
  <c r="CD165" i="13" s="1"/>
  <c r="CF165" i="13" s="1"/>
  <c r="AG165" i="16" s="1"/>
  <c r="CA165" i="13"/>
  <c r="CE165" i="13" s="1"/>
  <c r="BY165" i="13"/>
  <c r="CC165" i="13" s="1"/>
  <c r="AU122" i="13"/>
  <c r="AY122" i="13" s="1"/>
  <c r="AD242" i="13"/>
  <c r="AC122" i="13"/>
  <c r="AM122" i="13" s="1"/>
  <c r="AO122" i="13" s="1"/>
  <c r="S122" i="16" s="1"/>
  <c r="BZ194" i="13"/>
  <c r="CD194" i="13" s="1"/>
  <c r="CF194" i="13" s="1"/>
  <c r="AG194" i="16" s="1"/>
  <c r="CA194" i="13"/>
  <c r="CE194" i="13" s="1"/>
  <c r="BX194" i="13"/>
  <c r="CB194" i="13" s="1"/>
  <c r="BY194" i="13"/>
  <c r="CC194" i="13" s="1"/>
  <c r="BX75" i="13"/>
  <c r="CB75" i="13" s="1"/>
  <c r="BY75" i="13"/>
  <c r="CC75" i="13" s="1"/>
  <c r="BZ75" i="13"/>
  <c r="CD75" i="13" s="1"/>
  <c r="CF75" i="13" s="1"/>
  <c r="AG75" i="16" s="1"/>
  <c r="CA75" i="13"/>
  <c r="CE75" i="13" s="1"/>
  <c r="BX29" i="13"/>
  <c r="CB29" i="13" s="1"/>
  <c r="BY29" i="13"/>
  <c r="CC29" i="13" s="1"/>
  <c r="BZ29" i="13"/>
  <c r="CD29" i="13" s="1"/>
  <c r="CF29" i="13" s="1"/>
  <c r="AG29" i="16" s="1"/>
  <c r="CA29" i="13"/>
  <c r="CE29" i="13" s="1"/>
  <c r="BZ245" i="13"/>
  <c r="CD245" i="13" s="1"/>
  <c r="CF245" i="13" s="1"/>
  <c r="AG245" i="16" s="1"/>
  <c r="CA245" i="13"/>
  <c r="CE245" i="13" s="1"/>
  <c r="BY245" i="13"/>
  <c r="CC245" i="13" s="1"/>
  <c r="BX245" i="13"/>
  <c r="CB245" i="13" s="1"/>
  <c r="BX53" i="13"/>
  <c r="CB53" i="13" s="1"/>
  <c r="BY53" i="13"/>
  <c r="CC53" i="13" s="1"/>
  <c r="BZ53" i="13"/>
  <c r="CD53" i="13" s="1"/>
  <c r="CF53" i="13" s="1"/>
  <c r="AG53" i="16" s="1"/>
  <c r="CA53" i="13"/>
  <c r="CE53" i="13" s="1"/>
  <c r="BX39" i="13"/>
  <c r="CB39" i="13" s="1"/>
  <c r="BY39" i="13"/>
  <c r="CC39" i="13" s="1"/>
  <c r="BZ39" i="13"/>
  <c r="CD39" i="13" s="1"/>
  <c r="CF39" i="13" s="1"/>
  <c r="AG39" i="16" s="1"/>
  <c r="CA39" i="13"/>
  <c r="CE39" i="13" s="1"/>
  <c r="CA24" i="13"/>
  <c r="CE24" i="13" s="1"/>
  <c r="BX24" i="13"/>
  <c r="CB24" i="13" s="1"/>
  <c r="BY24" i="13"/>
  <c r="CC24" i="13" s="1"/>
  <c r="BZ24" i="13"/>
  <c r="CD24" i="13" s="1"/>
  <c r="CF24" i="13" s="1"/>
  <c r="AG24" i="16" s="1"/>
  <c r="BZ214" i="13"/>
  <c r="CD214" i="13" s="1"/>
  <c r="CF214" i="13" s="1"/>
  <c r="AG214" i="16" s="1"/>
  <c r="CA214" i="13"/>
  <c r="CE214" i="13" s="1"/>
  <c r="BX214" i="13"/>
  <c r="CB214" i="13" s="1"/>
  <c r="BY214" i="13"/>
  <c r="CC214" i="13" s="1"/>
  <c r="CA22" i="13"/>
  <c r="CE22" i="13" s="1"/>
  <c r="BZ22" i="13"/>
  <c r="CD22" i="13" s="1"/>
  <c r="CF22" i="13" s="1"/>
  <c r="AG22" i="16" s="1"/>
  <c r="BX22" i="13"/>
  <c r="CB22" i="13" s="1"/>
  <c r="BY22" i="13"/>
  <c r="CC22" i="13" s="1"/>
  <c r="CA221" i="13"/>
  <c r="CE221" i="13" s="1"/>
  <c r="BX221" i="13"/>
  <c r="CB221" i="13" s="1"/>
  <c r="BY221" i="13"/>
  <c r="CC221" i="13" s="1"/>
  <c r="BZ221" i="13"/>
  <c r="CD221" i="13" s="1"/>
  <c r="CF221" i="13" s="1"/>
  <c r="AG221" i="16" s="1"/>
  <c r="BX177" i="13"/>
  <c r="CB177" i="13" s="1"/>
  <c r="BY177" i="13"/>
  <c r="CC177" i="13" s="1"/>
  <c r="BZ177" i="13"/>
  <c r="CD177" i="13" s="1"/>
  <c r="CF177" i="13" s="1"/>
  <c r="AG177" i="16" s="1"/>
  <c r="CA177" i="13"/>
  <c r="CE177" i="13" s="1"/>
  <c r="CA68" i="13"/>
  <c r="CE68" i="13" s="1"/>
  <c r="BY68" i="13"/>
  <c r="CC68" i="13" s="1"/>
  <c r="BZ68" i="13"/>
  <c r="CD68" i="13" s="1"/>
  <c r="CF68" i="13" s="1"/>
  <c r="AG68" i="16" s="1"/>
  <c r="BX68" i="13"/>
  <c r="CB68" i="13" s="1"/>
  <c r="CA4" i="13"/>
  <c r="CE4" i="13" s="1"/>
  <c r="BZ4" i="13"/>
  <c r="CD4" i="13" s="1"/>
  <c r="CF4" i="13" s="1"/>
  <c r="AG4" i="16" s="1"/>
  <c r="BX4" i="13"/>
  <c r="CB4" i="13" s="1"/>
  <c r="BY4" i="13"/>
  <c r="CC4" i="13" s="1"/>
  <c r="CA82" i="13"/>
  <c r="CE82" i="13" s="1"/>
  <c r="BX82" i="13"/>
  <c r="CB82" i="13" s="1"/>
  <c r="BY82" i="13"/>
  <c r="CC82" i="13" s="1"/>
  <c r="BZ82" i="13"/>
  <c r="CD82" i="13" s="1"/>
  <c r="CF82" i="13" s="1"/>
  <c r="AG82" i="16" s="1"/>
  <c r="CA38" i="13"/>
  <c r="CE38" i="13" s="1"/>
  <c r="BZ38" i="13"/>
  <c r="CD38" i="13" s="1"/>
  <c r="CF38" i="13" s="1"/>
  <c r="AG38" i="16" s="1"/>
  <c r="BX38" i="13"/>
  <c r="CB38" i="13" s="1"/>
  <c r="BY38" i="13"/>
  <c r="CC38" i="13" s="1"/>
  <c r="BZ188" i="13"/>
  <c r="CD188" i="13" s="1"/>
  <c r="CF188" i="13" s="1"/>
  <c r="AG188" i="16" s="1"/>
  <c r="CA188" i="13"/>
  <c r="CE188" i="13" s="1"/>
  <c r="BX188" i="13"/>
  <c r="CB188" i="13" s="1"/>
  <c r="BY188" i="13"/>
  <c r="CC188" i="13" s="1"/>
  <c r="BZ228" i="13"/>
  <c r="CD228" i="13" s="1"/>
  <c r="CA228" i="13"/>
  <c r="CE228" i="13" s="1"/>
  <c r="BY228" i="13"/>
  <c r="CC228" i="13" s="1"/>
  <c r="BX228" i="13"/>
  <c r="CB228" i="13" s="1"/>
  <c r="BX173" i="13"/>
  <c r="CB173" i="13" s="1"/>
  <c r="BZ173" i="13"/>
  <c r="CD173" i="13" s="1"/>
  <c r="CF173" i="13" s="1"/>
  <c r="AG173" i="16" s="1"/>
  <c r="CA173" i="13"/>
  <c r="CE173" i="13" s="1"/>
  <c r="BY173" i="13"/>
  <c r="CC173" i="13" s="1"/>
  <c r="CA52" i="13"/>
  <c r="CE52" i="13" s="1"/>
  <c r="BX52" i="13"/>
  <c r="CB52" i="13" s="1"/>
  <c r="BY52" i="13"/>
  <c r="CC52" i="13" s="1"/>
  <c r="BZ52" i="13"/>
  <c r="CD52" i="13" s="1"/>
  <c r="CF52" i="13" s="1"/>
  <c r="AG52" i="16" s="1"/>
  <c r="CA142" i="13"/>
  <c r="CE142" i="13" s="1"/>
  <c r="BX142" i="13"/>
  <c r="CB142" i="13" s="1"/>
  <c r="BY142" i="13"/>
  <c r="CC142" i="13" s="1"/>
  <c r="BZ142" i="13"/>
  <c r="CD142" i="13" s="1"/>
  <c r="CF142" i="13" s="1"/>
  <c r="AG142" i="16" s="1"/>
  <c r="BX193" i="13"/>
  <c r="CB193" i="13" s="1"/>
  <c r="BY193" i="13"/>
  <c r="CC193" i="13" s="1"/>
  <c r="BZ193" i="13"/>
  <c r="CD193" i="13" s="1"/>
  <c r="CF193" i="13" s="1"/>
  <c r="AG193" i="16" s="1"/>
  <c r="CA193" i="13"/>
  <c r="CE193" i="13" s="1"/>
  <c r="CA116" i="13"/>
  <c r="CE116" i="13" s="1"/>
  <c r="BX116" i="13"/>
  <c r="CB116" i="13" s="1"/>
  <c r="BY116" i="13"/>
  <c r="CC116" i="13" s="1"/>
  <c r="BZ116" i="13"/>
  <c r="CD116" i="13" s="1"/>
  <c r="CF116" i="13" s="1"/>
  <c r="AG116" i="16" s="1"/>
  <c r="BZ216" i="13"/>
  <c r="CD216" i="13" s="1"/>
  <c r="CF216" i="13" s="1"/>
  <c r="AG216" i="16" s="1"/>
  <c r="CA216" i="13"/>
  <c r="CE216" i="13" s="1"/>
  <c r="BY216" i="13"/>
  <c r="CC216" i="13" s="1"/>
  <c r="BX216" i="13"/>
  <c r="CB216" i="13" s="1"/>
  <c r="CA50" i="13"/>
  <c r="CE50" i="13" s="1"/>
  <c r="BX50" i="13"/>
  <c r="CB50" i="13" s="1"/>
  <c r="BY50" i="13"/>
  <c r="CC50" i="13" s="1"/>
  <c r="BZ50" i="13"/>
  <c r="CD50" i="13" s="1"/>
  <c r="CF50" i="13" s="1"/>
  <c r="AG50" i="16" s="1"/>
  <c r="BZ162" i="13"/>
  <c r="CD162" i="13" s="1"/>
  <c r="CF162" i="13" s="1"/>
  <c r="AG162" i="16" s="1"/>
  <c r="CA162" i="13"/>
  <c r="CE162" i="13" s="1"/>
  <c r="BX162" i="13"/>
  <c r="CB162" i="13" s="1"/>
  <c r="BY162" i="13"/>
  <c r="CC162" i="13" s="1"/>
  <c r="BX81" i="13"/>
  <c r="CB81" i="13" s="1"/>
  <c r="BY81" i="13"/>
  <c r="CC81" i="13" s="1"/>
  <c r="BZ81" i="13"/>
  <c r="CD81" i="13" s="1"/>
  <c r="CF81" i="13" s="1"/>
  <c r="AG81" i="16" s="1"/>
  <c r="CA81" i="13"/>
  <c r="CE81" i="13" s="1"/>
  <c r="BZ234" i="13"/>
  <c r="CD234" i="13" s="1"/>
  <c r="CF234" i="13" s="1"/>
  <c r="AG234" i="16" s="1"/>
  <c r="CA234" i="13"/>
  <c r="CE234" i="13" s="1"/>
  <c r="BX234" i="13"/>
  <c r="CB234" i="13" s="1"/>
  <c r="BY234" i="13"/>
  <c r="CC234" i="13" s="1"/>
  <c r="AK122" i="13"/>
  <c r="BX179" i="13"/>
  <c r="CB179" i="13" s="1"/>
  <c r="BY179" i="13"/>
  <c r="CC179" i="13" s="1"/>
  <c r="CA179" i="13"/>
  <c r="CE179" i="13" s="1"/>
  <c r="BZ179" i="13"/>
  <c r="CD179" i="13" s="1"/>
  <c r="CF179" i="13" s="1"/>
  <c r="AG179" i="16" s="1"/>
  <c r="BX225" i="13"/>
  <c r="CB225" i="13" s="1"/>
  <c r="BY225" i="13"/>
  <c r="CC225" i="13" s="1"/>
  <c r="CF225" i="13" s="1"/>
  <c r="AG225" i="16" s="1"/>
  <c r="CA225" i="13"/>
  <c r="CE225" i="13" s="1"/>
  <c r="BZ225" i="13"/>
  <c r="CD225" i="13" s="1"/>
  <c r="BX105" i="13"/>
  <c r="CB105" i="13" s="1"/>
  <c r="BY105" i="13"/>
  <c r="CC105" i="13" s="1"/>
  <c r="BZ105" i="13"/>
  <c r="CD105" i="13" s="1"/>
  <c r="CF105" i="13" s="1"/>
  <c r="AG105" i="16" s="1"/>
  <c r="CA105" i="13"/>
  <c r="CE105" i="13" s="1"/>
  <c r="BY252" i="13"/>
  <c r="CC252" i="13" s="1"/>
  <c r="BZ252" i="13"/>
  <c r="CD252" i="13" s="1"/>
  <c r="CF252" i="13" s="1"/>
  <c r="AG252" i="16" s="1"/>
  <c r="CA252" i="13"/>
  <c r="CE252" i="13" s="1"/>
  <c r="BX252" i="13"/>
  <c r="CB252" i="13" s="1"/>
  <c r="BY235" i="13"/>
  <c r="CC235" i="13" s="1"/>
  <c r="BZ235" i="13"/>
  <c r="CD235" i="13" s="1"/>
  <c r="CF235" i="13" s="1"/>
  <c r="AG235" i="16" s="1"/>
  <c r="CA235" i="13"/>
  <c r="CE235" i="13" s="1"/>
  <c r="BX235" i="13"/>
  <c r="CB235" i="13" s="1"/>
  <c r="CA56" i="13"/>
  <c r="CE56" i="13" s="1"/>
  <c r="BX56" i="13"/>
  <c r="CB56" i="13" s="1"/>
  <c r="BY56" i="13"/>
  <c r="CC56" i="13" s="1"/>
  <c r="BZ56" i="13"/>
  <c r="CD56" i="13" s="1"/>
  <c r="CF56" i="13" s="1"/>
  <c r="AG56" i="16" s="1"/>
  <c r="BZ206" i="13"/>
  <c r="CD206" i="13" s="1"/>
  <c r="CF206" i="13" s="1"/>
  <c r="AG206" i="16" s="1"/>
  <c r="CA206" i="13"/>
  <c r="CE206" i="13" s="1"/>
  <c r="BX206" i="13"/>
  <c r="CB206" i="13" s="1"/>
  <c r="BY206" i="13"/>
  <c r="CC206" i="13" s="1"/>
  <c r="CA96" i="13"/>
  <c r="CE96" i="13" s="1"/>
  <c r="BX96" i="13"/>
  <c r="CB96" i="13" s="1"/>
  <c r="BZ96" i="13"/>
  <c r="CD96" i="13" s="1"/>
  <c r="CF96" i="13" s="1"/>
  <c r="AG96" i="16" s="1"/>
  <c r="BY96" i="13"/>
  <c r="CC96" i="13" s="1"/>
  <c r="BZ156" i="13"/>
  <c r="CD156" i="13" s="1"/>
  <c r="CF156" i="13" s="1"/>
  <c r="AG156" i="16" s="1"/>
  <c r="CA156" i="13"/>
  <c r="CE156" i="13" s="1"/>
  <c r="BX156" i="13"/>
  <c r="CB156" i="13" s="1"/>
  <c r="BY156" i="13"/>
  <c r="CC156" i="13" s="1"/>
  <c r="CA88" i="13"/>
  <c r="CE88" i="13" s="1"/>
  <c r="BX88" i="13"/>
  <c r="CB88" i="13" s="1"/>
  <c r="BY88" i="13"/>
  <c r="CC88" i="13" s="1"/>
  <c r="BZ88" i="13"/>
  <c r="CD88" i="13" s="1"/>
  <c r="CF88" i="13" s="1"/>
  <c r="AG88" i="16" s="1"/>
  <c r="CA114" i="13"/>
  <c r="CE114" i="13" s="1"/>
  <c r="BX114" i="13"/>
  <c r="CB114" i="13" s="1"/>
  <c r="BY114" i="13"/>
  <c r="CC114" i="13" s="1"/>
  <c r="BZ114" i="13"/>
  <c r="CD114" i="13" s="1"/>
  <c r="CF114" i="13" s="1"/>
  <c r="AG114" i="16" s="1"/>
  <c r="BX233" i="13"/>
  <c r="CB233" i="13" s="1"/>
  <c r="BY233" i="13"/>
  <c r="CC233" i="13" s="1"/>
  <c r="CA233" i="13"/>
  <c r="CE233" i="13" s="1"/>
  <c r="BZ233" i="13"/>
  <c r="CD233" i="13" s="1"/>
  <c r="CF233" i="13" s="1"/>
  <c r="AG233" i="16" s="1"/>
  <c r="BY227" i="13"/>
  <c r="CC227" i="13" s="1"/>
  <c r="BZ227" i="13"/>
  <c r="CD227" i="13" s="1"/>
  <c r="CA227" i="13"/>
  <c r="CE227" i="13" s="1"/>
  <c r="BX227" i="13"/>
  <c r="CB227" i="13" s="1"/>
  <c r="BY203" i="13"/>
  <c r="CC203" i="13" s="1"/>
  <c r="BZ203" i="13"/>
  <c r="CD203" i="13" s="1"/>
  <c r="CF203" i="13" s="1"/>
  <c r="AG203" i="16" s="1"/>
  <c r="CA203" i="13"/>
  <c r="CE203" i="13" s="1"/>
  <c r="BX203" i="13"/>
  <c r="CB203" i="13" s="1"/>
  <c r="BZ220" i="13"/>
  <c r="CD220" i="13" s="1"/>
  <c r="CF220" i="13" s="1"/>
  <c r="AG220" i="16" s="1"/>
  <c r="CA220" i="13"/>
  <c r="CE220" i="13" s="1"/>
  <c r="BY220" i="13"/>
  <c r="CC220" i="13" s="1"/>
  <c r="BX220" i="13"/>
  <c r="CB220" i="13" s="1"/>
  <c r="BX49" i="13"/>
  <c r="CB49" i="13" s="1"/>
  <c r="BY49" i="13"/>
  <c r="CC49" i="13" s="1"/>
  <c r="BZ49" i="13"/>
  <c r="CD49" i="13" s="1"/>
  <c r="CF49" i="13" s="1"/>
  <c r="AG49" i="16" s="1"/>
  <c r="CA49" i="13"/>
  <c r="CE49" i="13" s="1"/>
  <c r="BZ176" i="13"/>
  <c r="CD176" i="13" s="1"/>
  <c r="CF176" i="13" s="1"/>
  <c r="AG176" i="16" s="1"/>
  <c r="CA176" i="13"/>
  <c r="CE176" i="13" s="1"/>
  <c r="BY176" i="13"/>
  <c r="CC176" i="13" s="1"/>
  <c r="BX176" i="13"/>
  <c r="CB176" i="13" s="1"/>
  <c r="CA110" i="13"/>
  <c r="CE110" i="13" s="1"/>
  <c r="BX110" i="13"/>
  <c r="CB110" i="13" s="1"/>
  <c r="BZ110" i="13"/>
  <c r="CD110" i="13" s="1"/>
  <c r="CF110" i="13" s="1"/>
  <c r="AG110" i="16" s="1"/>
  <c r="BY110" i="13"/>
  <c r="CC110" i="13" s="1"/>
  <c r="CA40" i="13"/>
  <c r="CE40" i="13" s="1"/>
  <c r="BX40" i="13"/>
  <c r="CB40" i="13" s="1"/>
  <c r="BY40" i="13"/>
  <c r="CC40" i="13" s="1"/>
  <c r="CF40" i="13" s="1"/>
  <c r="AG40" i="16" s="1"/>
  <c r="BZ40" i="13"/>
  <c r="CD40" i="13" s="1"/>
  <c r="BZ164" i="13"/>
  <c r="CD164" i="13" s="1"/>
  <c r="CA164" i="13"/>
  <c r="CE164" i="13" s="1"/>
  <c r="BX164" i="13"/>
  <c r="CB164" i="13" s="1"/>
  <c r="BY164" i="13"/>
  <c r="CC164" i="13" s="1"/>
  <c r="BZ202" i="13"/>
  <c r="CD202" i="13" s="1"/>
  <c r="CF202" i="13" s="1"/>
  <c r="AG202" i="16" s="1"/>
  <c r="CA202" i="13"/>
  <c r="CE202" i="13" s="1"/>
  <c r="BX202" i="13"/>
  <c r="CB202" i="13" s="1"/>
  <c r="BY202" i="13"/>
  <c r="CC202" i="13" s="1"/>
  <c r="AU253" i="13"/>
  <c r="AY253" i="13" s="1"/>
  <c r="AU215" i="13"/>
  <c r="AY215" i="13" s="1"/>
  <c r="AV253" i="13"/>
  <c r="AZ253" i="13" s="1"/>
  <c r="BB253" i="13" s="1"/>
  <c r="AT230" i="13"/>
  <c r="AX230" i="13" s="1"/>
  <c r="CA100" i="13"/>
  <c r="CE100" i="13" s="1"/>
  <c r="BX100" i="13"/>
  <c r="CB100" i="13" s="1"/>
  <c r="BY100" i="13"/>
  <c r="CC100" i="13" s="1"/>
  <c r="BZ100" i="13"/>
  <c r="CD100" i="13" s="1"/>
  <c r="CA84" i="13"/>
  <c r="CE84" i="13" s="1"/>
  <c r="BZ84" i="13"/>
  <c r="CD84" i="13" s="1"/>
  <c r="CF84" i="13" s="1"/>
  <c r="AG84" i="16" s="1"/>
  <c r="BX84" i="13"/>
  <c r="CB84" i="13" s="1"/>
  <c r="BY84" i="13"/>
  <c r="CC84" i="13" s="1"/>
  <c r="BX107" i="13"/>
  <c r="CB107" i="13" s="1"/>
  <c r="BY107" i="13"/>
  <c r="CC107" i="13" s="1"/>
  <c r="CF107" i="13" s="1"/>
  <c r="AG107" i="16" s="1"/>
  <c r="BZ107" i="13"/>
  <c r="CD107" i="13" s="1"/>
  <c r="CA107" i="13"/>
  <c r="CE107" i="13" s="1"/>
  <c r="BZ166" i="13"/>
  <c r="CD166" i="13" s="1"/>
  <c r="CF166" i="13" s="1"/>
  <c r="AG166" i="16" s="1"/>
  <c r="CA166" i="13"/>
  <c r="CE166" i="13" s="1"/>
  <c r="BX166" i="13"/>
  <c r="CB166" i="13" s="1"/>
  <c r="BY166" i="13"/>
  <c r="CC166" i="13" s="1"/>
  <c r="BX23" i="13"/>
  <c r="CB23" i="13" s="1"/>
  <c r="BY23" i="13"/>
  <c r="CC23" i="13" s="1"/>
  <c r="BZ23" i="13"/>
  <c r="CD23" i="13" s="1"/>
  <c r="CF23" i="13" s="1"/>
  <c r="AG23" i="16" s="1"/>
  <c r="CA23" i="13"/>
  <c r="CE23" i="13" s="1"/>
  <c r="BX5" i="13"/>
  <c r="CB5" i="13" s="1"/>
  <c r="BY5" i="13"/>
  <c r="CC5" i="13" s="1"/>
  <c r="BZ5" i="13"/>
  <c r="CD5" i="13" s="1"/>
  <c r="CF5" i="13" s="1"/>
  <c r="AG5" i="16" s="1"/>
  <c r="CA5" i="13"/>
  <c r="CE5" i="13" s="1"/>
  <c r="BX185" i="13"/>
  <c r="CB185" i="13" s="1"/>
  <c r="BY185" i="13"/>
  <c r="CC185" i="13" s="1"/>
  <c r="BZ185" i="13"/>
  <c r="CD185" i="13" s="1"/>
  <c r="CF185" i="13" s="1"/>
  <c r="AG185" i="16" s="1"/>
  <c r="CA185" i="13"/>
  <c r="CE185" i="13" s="1"/>
  <c r="CA86" i="13"/>
  <c r="CE86" i="13" s="1"/>
  <c r="BZ86" i="13"/>
  <c r="CD86" i="13" s="1"/>
  <c r="BX86" i="13"/>
  <c r="CB86" i="13" s="1"/>
  <c r="BY86" i="13"/>
  <c r="CC86" i="13" s="1"/>
  <c r="BX143" i="13"/>
  <c r="CB143" i="13" s="1"/>
  <c r="BY143" i="13"/>
  <c r="CC143" i="13" s="1"/>
  <c r="BZ143" i="13"/>
  <c r="CD143" i="13" s="1"/>
  <c r="CF143" i="13" s="1"/>
  <c r="AG143" i="16" s="1"/>
  <c r="CA143" i="13"/>
  <c r="CE143" i="13" s="1"/>
  <c r="BX63" i="13"/>
  <c r="CB63" i="13" s="1"/>
  <c r="BY63" i="13"/>
  <c r="CC63" i="13" s="1"/>
  <c r="BZ63" i="13"/>
  <c r="CD63" i="13" s="1"/>
  <c r="CF63" i="13" s="1"/>
  <c r="AG63" i="16" s="1"/>
  <c r="CA63" i="13"/>
  <c r="CE63" i="13" s="1"/>
  <c r="CA108" i="13"/>
  <c r="CE108" i="13" s="1"/>
  <c r="BY108" i="13"/>
  <c r="CC108" i="13" s="1"/>
  <c r="BZ108" i="13"/>
  <c r="CD108" i="13" s="1"/>
  <c r="BX108" i="13"/>
  <c r="CB108" i="13" s="1"/>
  <c r="CA205" i="13"/>
  <c r="CE205" i="13" s="1"/>
  <c r="BX205" i="13"/>
  <c r="CB205" i="13" s="1"/>
  <c r="BY205" i="13"/>
  <c r="CC205" i="13" s="1"/>
  <c r="BZ205" i="13"/>
  <c r="CD205" i="13" s="1"/>
  <c r="CF205" i="13" s="1"/>
  <c r="AG205" i="16" s="1"/>
  <c r="BZ160" i="13"/>
  <c r="CD160" i="13" s="1"/>
  <c r="CF160" i="13" s="1"/>
  <c r="AG160" i="16" s="1"/>
  <c r="CA160" i="13"/>
  <c r="CE160" i="13" s="1"/>
  <c r="BY160" i="13"/>
  <c r="CC160" i="13" s="1"/>
  <c r="BX160" i="13"/>
  <c r="CB160" i="13" s="1"/>
  <c r="BX25" i="13"/>
  <c r="CB25" i="13" s="1"/>
  <c r="BY25" i="13"/>
  <c r="CC25" i="13" s="1"/>
  <c r="BZ25" i="13"/>
  <c r="CD25" i="13" s="1"/>
  <c r="CF25" i="13" s="1"/>
  <c r="AG25" i="16" s="1"/>
  <c r="CA25" i="13"/>
  <c r="CE25" i="13" s="1"/>
  <c r="CA102" i="13"/>
  <c r="CE102" i="13" s="1"/>
  <c r="BZ102" i="13"/>
  <c r="CD102" i="13" s="1"/>
  <c r="BX102" i="13"/>
  <c r="CB102" i="13" s="1"/>
  <c r="BY102" i="13"/>
  <c r="CC102" i="13" s="1"/>
  <c r="BX137" i="13"/>
  <c r="CB137" i="13" s="1"/>
  <c r="BY137" i="13"/>
  <c r="CC137" i="13" s="1"/>
  <c r="BZ137" i="13"/>
  <c r="CD137" i="13" s="1"/>
  <c r="CF137" i="13" s="1"/>
  <c r="AG137" i="16" s="1"/>
  <c r="CA137" i="13"/>
  <c r="CE137" i="13" s="1"/>
  <c r="BX155" i="13"/>
  <c r="CB155" i="13" s="1"/>
  <c r="CA155" i="13"/>
  <c r="CE155" i="13" s="1"/>
  <c r="BY155" i="13"/>
  <c r="CC155" i="13" s="1"/>
  <c r="BZ155" i="13"/>
  <c r="CD155" i="13" s="1"/>
  <c r="CF155" i="13" s="1"/>
  <c r="AG155" i="16" s="1"/>
  <c r="CA72" i="13"/>
  <c r="CE72" i="13" s="1"/>
  <c r="BX72" i="13"/>
  <c r="CB72" i="13" s="1"/>
  <c r="BY72" i="13"/>
  <c r="CC72" i="13" s="1"/>
  <c r="BZ72" i="13"/>
  <c r="CD72" i="13" s="1"/>
  <c r="CF72" i="13" s="1"/>
  <c r="AG72" i="16" s="1"/>
  <c r="BZ158" i="13"/>
  <c r="CD158" i="13" s="1"/>
  <c r="CF158" i="13" s="1"/>
  <c r="AG158" i="16" s="1"/>
  <c r="CA158" i="13"/>
  <c r="CE158" i="13" s="1"/>
  <c r="BX158" i="13"/>
  <c r="CB158" i="13" s="1"/>
  <c r="BY158" i="13"/>
  <c r="CC158" i="13" s="1"/>
  <c r="BX159" i="13"/>
  <c r="CB159" i="13" s="1"/>
  <c r="BY159" i="13"/>
  <c r="CC159" i="13" s="1"/>
  <c r="BZ159" i="13"/>
  <c r="CD159" i="13" s="1"/>
  <c r="CF159" i="13" s="1"/>
  <c r="AG159" i="16" s="1"/>
  <c r="CA159" i="13"/>
  <c r="CE159" i="13" s="1"/>
  <c r="BX260" i="13"/>
  <c r="CB260" i="13" s="1"/>
  <c r="BY260" i="13"/>
  <c r="CC260" i="13" s="1"/>
  <c r="BZ260" i="13"/>
  <c r="CD260" i="13" s="1"/>
  <c r="CF260" i="13" s="1"/>
  <c r="AG260" i="16" s="1"/>
  <c r="CA260" i="13"/>
  <c r="CE260" i="13" s="1"/>
  <c r="BY239" i="13"/>
  <c r="CC239" i="13" s="1"/>
  <c r="BZ239" i="13"/>
  <c r="CD239" i="13" s="1"/>
  <c r="CF239" i="13" s="1"/>
  <c r="AG239" i="16" s="1"/>
  <c r="CA239" i="13"/>
  <c r="CE239" i="13" s="1"/>
  <c r="BX239" i="13"/>
  <c r="CB239" i="13" s="1"/>
  <c r="BX191" i="13"/>
  <c r="CB191" i="13" s="1"/>
  <c r="BY191" i="13"/>
  <c r="CC191" i="13" s="1"/>
  <c r="BZ191" i="13"/>
  <c r="CD191" i="13" s="1"/>
  <c r="CF191" i="13" s="1"/>
  <c r="AG191" i="16" s="1"/>
  <c r="CA191" i="13"/>
  <c r="CE191" i="13" s="1"/>
  <c r="BX73" i="13"/>
  <c r="CB73" i="13" s="1"/>
  <c r="BY73" i="13"/>
  <c r="CC73" i="13" s="1"/>
  <c r="BZ73" i="13"/>
  <c r="CD73" i="13" s="1"/>
  <c r="CF73" i="13" s="1"/>
  <c r="AG73" i="16" s="1"/>
  <c r="CA73" i="13"/>
  <c r="CE73" i="13" s="1"/>
  <c r="BZ196" i="13"/>
  <c r="CD196" i="13" s="1"/>
  <c r="CF196" i="13" s="1"/>
  <c r="AG196" i="16" s="1"/>
  <c r="CA196" i="13"/>
  <c r="CE196" i="13" s="1"/>
  <c r="BX196" i="13"/>
  <c r="CB196" i="13" s="1"/>
  <c r="BY196" i="13"/>
  <c r="CC196" i="13" s="1"/>
  <c r="AT122" i="13"/>
  <c r="AX122" i="13" s="1"/>
  <c r="AW122" i="13"/>
  <c r="BA122" i="13" s="1"/>
  <c r="CN122" i="13" s="1"/>
  <c r="AW215" i="13"/>
  <c r="BA215" i="13" s="1"/>
  <c r="CN215" i="13" s="1"/>
  <c r="AC249" i="13"/>
  <c r="AM249" i="13" s="1"/>
  <c r="AO249" i="13" s="1"/>
  <c r="S249" i="16" s="1"/>
  <c r="CA74" i="13"/>
  <c r="CE74" i="13" s="1"/>
  <c r="BX74" i="13"/>
  <c r="CB74" i="13" s="1"/>
  <c r="BY74" i="13"/>
  <c r="CC74" i="13" s="1"/>
  <c r="BZ74" i="13"/>
  <c r="CD74" i="13" s="1"/>
  <c r="CF74" i="13" s="1"/>
  <c r="AG74" i="16" s="1"/>
  <c r="BX87" i="13"/>
  <c r="CB87" i="13" s="1"/>
  <c r="BY87" i="13"/>
  <c r="CC87" i="13" s="1"/>
  <c r="BZ87" i="13"/>
  <c r="CD87" i="13" s="1"/>
  <c r="CF87" i="13" s="1"/>
  <c r="AG87" i="16" s="1"/>
  <c r="CA87" i="13"/>
  <c r="CE87" i="13" s="1"/>
  <c r="CA104" i="13"/>
  <c r="CE104" i="13" s="1"/>
  <c r="BX104" i="13"/>
  <c r="CB104" i="13" s="1"/>
  <c r="BY104" i="13"/>
  <c r="CC104" i="13" s="1"/>
  <c r="CF104" i="13" s="1"/>
  <c r="AG104" i="16" s="1"/>
  <c r="BZ104" i="13"/>
  <c r="CD104" i="13" s="1"/>
  <c r="BZ226" i="13"/>
  <c r="CD226" i="13" s="1"/>
  <c r="CA226" i="13"/>
  <c r="CE226" i="13" s="1"/>
  <c r="BX226" i="13"/>
  <c r="CB226" i="13" s="1"/>
  <c r="BY226" i="13"/>
  <c r="CC226" i="13" s="1"/>
  <c r="CA70" i="13"/>
  <c r="CE70" i="13" s="1"/>
  <c r="BZ70" i="13"/>
  <c r="CD70" i="13" s="1"/>
  <c r="CF70" i="13" s="1"/>
  <c r="AG70" i="16" s="1"/>
  <c r="BX70" i="13"/>
  <c r="CB70" i="13" s="1"/>
  <c r="BY70" i="13"/>
  <c r="CC70" i="13" s="1"/>
  <c r="BZ174" i="13"/>
  <c r="CD174" i="13" s="1"/>
  <c r="CF174" i="13" s="1"/>
  <c r="AG174" i="16" s="1"/>
  <c r="CA174" i="13"/>
  <c r="CE174" i="13" s="1"/>
  <c r="BX174" i="13"/>
  <c r="CB174" i="13" s="1"/>
  <c r="BY174" i="13"/>
  <c r="CC174" i="13" s="1"/>
  <c r="BX167" i="13"/>
  <c r="CB167" i="13" s="1"/>
  <c r="BY167" i="13"/>
  <c r="CC167" i="13" s="1"/>
  <c r="BZ167" i="13"/>
  <c r="CD167" i="13" s="1"/>
  <c r="CF167" i="13" s="1"/>
  <c r="AG167" i="16" s="1"/>
  <c r="CA167" i="13"/>
  <c r="CE167" i="13" s="1"/>
  <c r="BX161" i="13"/>
  <c r="CB161" i="13" s="1"/>
  <c r="BY161" i="13"/>
  <c r="CC161" i="13" s="1"/>
  <c r="BZ161" i="13"/>
  <c r="CD161" i="13" s="1"/>
  <c r="CF161" i="13" s="1"/>
  <c r="AG161" i="16" s="1"/>
  <c r="CA161" i="13"/>
  <c r="CE161" i="13" s="1"/>
  <c r="BX258" i="13"/>
  <c r="CB258" i="13" s="1"/>
  <c r="BY258" i="13"/>
  <c r="CC258" i="13" s="1"/>
  <c r="BZ258" i="13"/>
  <c r="CD258" i="13" s="1"/>
  <c r="CF258" i="13" s="1"/>
  <c r="AG258" i="16" s="1"/>
  <c r="CA258" i="13"/>
  <c r="CE258" i="13" s="1"/>
  <c r="CA8" i="13"/>
  <c r="CE8" i="13" s="1"/>
  <c r="BX8" i="13"/>
  <c r="CB8" i="13" s="1"/>
  <c r="BY8" i="13"/>
  <c r="CC8" i="13" s="1"/>
  <c r="BZ8" i="13"/>
  <c r="CD8" i="13" s="1"/>
  <c r="CF8" i="13" s="1"/>
  <c r="AG8" i="16" s="1"/>
  <c r="BX59" i="13"/>
  <c r="CB59" i="13" s="1"/>
  <c r="BY59" i="13"/>
  <c r="CC59" i="13" s="1"/>
  <c r="BZ59" i="13"/>
  <c r="CD59" i="13" s="1"/>
  <c r="CF59" i="13" s="1"/>
  <c r="AG59" i="16" s="1"/>
  <c r="CA59" i="13"/>
  <c r="CE59" i="13" s="1"/>
  <c r="CA36" i="13"/>
  <c r="CE36" i="13" s="1"/>
  <c r="BX36" i="13"/>
  <c r="CB36" i="13" s="1"/>
  <c r="BY36" i="13"/>
  <c r="CC36" i="13" s="1"/>
  <c r="BZ36" i="13"/>
  <c r="CD36" i="13" s="1"/>
  <c r="CF36" i="13" s="1"/>
  <c r="AG36" i="16" s="1"/>
  <c r="BZ192" i="13"/>
  <c r="CD192" i="13" s="1"/>
  <c r="CF192" i="13" s="1"/>
  <c r="AG192" i="16" s="1"/>
  <c r="CA192" i="13"/>
  <c r="CE192" i="13" s="1"/>
  <c r="BY192" i="13"/>
  <c r="CC192" i="13" s="1"/>
  <c r="BX192" i="13"/>
  <c r="CB192" i="13" s="1"/>
  <c r="CA213" i="13"/>
  <c r="CE213" i="13" s="1"/>
  <c r="BX213" i="13"/>
  <c r="CB213" i="13" s="1"/>
  <c r="BY213" i="13"/>
  <c r="CC213" i="13" s="1"/>
  <c r="BZ213" i="13"/>
  <c r="CD213" i="13" s="1"/>
  <c r="CF213" i="13" s="1"/>
  <c r="AG213" i="16" s="1"/>
  <c r="BZ182" i="13"/>
  <c r="CD182" i="13" s="1"/>
  <c r="CF182" i="13" s="1"/>
  <c r="AG182" i="16" s="1"/>
  <c r="CA182" i="13"/>
  <c r="CE182" i="13" s="1"/>
  <c r="BX182" i="13"/>
  <c r="CB182" i="13" s="1"/>
  <c r="BY182" i="13"/>
  <c r="CC182" i="13" s="1"/>
  <c r="BY223" i="13"/>
  <c r="CC223" i="13" s="1"/>
  <c r="BZ223" i="13"/>
  <c r="CD223" i="13" s="1"/>
  <c r="CF223" i="13" s="1"/>
  <c r="AG223" i="16" s="1"/>
  <c r="CA223" i="13"/>
  <c r="CE223" i="13" s="1"/>
  <c r="BX223" i="13"/>
  <c r="CB223" i="13" s="1"/>
  <c r="BX250" i="13"/>
  <c r="CB250" i="13" s="1"/>
  <c r="BY250" i="13"/>
  <c r="CC250" i="13" s="1"/>
  <c r="CA250" i="13"/>
  <c r="CE250" i="13" s="1"/>
  <c r="BZ250" i="13"/>
  <c r="CD250" i="13" s="1"/>
  <c r="CF250" i="13" s="1"/>
  <c r="AG250" i="16" s="1"/>
  <c r="CA106" i="13"/>
  <c r="CE106" i="13" s="1"/>
  <c r="BY106" i="13"/>
  <c r="CC106" i="13" s="1"/>
  <c r="BZ106" i="13"/>
  <c r="CD106" i="13" s="1"/>
  <c r="CF106" i="13" s="1"/>
  <c r="AG106" i="16" s="1"/>
  <c r="BX106" i="13"/>
  <c r="CB106" i="13" s="1"/>
  <c r="BZ243" i="13"/>
  <c r="CD243" i="13" s="1"/>
  <c r="CF243" i="13" s="1"/>
  <c r="AG243" i="16" s="1"/>
  <c r="CA243" i="13"/>
  <c r="CE243" i="13" s="1"/>
  <c r="BX243" i="13"/>
  <c r="CB243" i="13" s="1"/>
  <c r="BY243" i="13"/>
  <c r="CC243" i="13" s="1"/>
  <c r="BX163" i="13"/>
  <c r="CB163" i="13" s="1"/>
  <c r="BY163" i="13"/>
  <c r="CC163" i="13" s="1"/>
  <c r="CA163" i="13"/>
  <c r="CE163" i="13" s="1"/>
  <c r="BZ163" i="13"/>
  <c r="CD163" i="13" s="1"/>
  <c r="BM228" i="13"/>
  <c r="BQ228" i="13" s="1"/>
  <c r="BN228" i="13"/>
  <c r="BR228" i="13" s="1"/>
  <c r="BN142" i="13"/>
  <c r="BR142" i="13" s="1"/>
  <c r="BM142" i="13"/>
  <c r="BQ142" i="13" s="1"/>
  <c r="BS142" i="13" s="1"/>
  <c r="AC142" i="16" s="1"/>
  <c r="BN155" i="13"/>
  <c r="BR155" i="13" s="1"/>
  <c r="BM155" i="13"/>
  <c r="BQ155" i="13" s="1"/>
  <c r="BS155" i="13" s="1"/>
  <c r="AC155" i="16" s="1"/>
  <c r="BL248" i="13"/>
  <c r="BP248" i="13" s="1"/>
  <c r="BK248" i="13"/>
  <c r="BO248" i="13" s="1"/>
  <c r="BL159" i="13"/>
  <c r="BP159" i="13" s="1"/>
  <c r="BK159" i="13"/>
  <c r="BO159" i="13" s="1"/>
  <c r="AU104" i="13"/>
  <c r="AY104" i="13" s="1"/>
  <c r="BN104" i="13"/>
  <c r="BR104" i="13" s="1"/>
  <c r="BM104" i="13"/>
  <c r="BQ104" i="13" s="1"/>
  <c r="BK165" i="13"/>
  <c r="BO165" i="13" s="1"/>
  <c r="BL165" i="13"/>
  <c r="BP165" i="13" s="1"/>
  <c r="AU258" i="13"/>
  <c r="AY258" i="13" s="1"/>
  <c r="BM258" i="13"/>
  <c r="BQ258" i="13" s="1"/>
  <c r="BS258" i="13" s="1"/>
  <c r="AC258" i="16" s="1"/>
  <c r="BN258" i="13"/>
  <c r="BR258" i="13" s="1"/>
  <c r="BK110" i="13"/>
  <c r="BO110" i="13" s="1"/>
  <c r="BL110" i="13"/>
  <c r="BP110" i="13" s="1"/>
  <c r="BN75" i="13"/>
  <c r="BR75" i="13" s="1"/>
  <c r="BM75" i="13"/>
  <c r="BQ75" i="13" s="1"/>
  <c r="BS75" i="13" s="1"/>
  <c r="AC75" i="16" s="1"/>
  <c r="BN224" i="13"/>
  <c r="BR224" i="13" s="1"/>
  <c r="BM224" i="13"/>
  <c r="BQ224" i="13" s="1"/>
  <c r="BS224" i="13" s="1"/>
  <c r="AC224" i="16" s="1"/>
  <c r="BL195" i="13"/>
  <c r="BP195" i="13" s="1"/>
  <c r="BK195" i="13"/>
  <c r="BO195" i="13" s="1"/>
  <c r="BL247" i="13"/>
  <c r="BP247" i="13" s="1"/>
  <c r="BK247" i="13"/>
  <c r="BO247" i="13" s="1"/>
  <c r="BK122" i="13"/>
  <c r="BO122" i="13" s="1"/>
  <c r="BL122" i="13"/>
  <c r="BP122" i="13" s="1"/>
  <c r="BL251" i="13"/>
  <c r="BP251" i="13" s="1"/>
  <c r="BK251" i="13"/>
  <c r="BO251" i="13" s="1"/>
  <c r="BK65" i="13"/>
  <c r="BO65" i="13" s="1"/>
  <c r="BL65" i="13"/>
  <c r="BP65" i="13" s="1"/>
  <c r="AC260" i="13"/>
  <c r="AM260" i="13" s="1"/>
  <c r="AO260" i="13" s="1"/>
  <c r="S260" i="16" s="1"/>
  <c r="BM260" i="13"/>
  <c r="BQ260" i="13" s="1"/>
  <c r="BS260" i="13" s="1"/>
  <c r="AC260" i="16" s="1"/>
  <c r="BN260" i="13"/>
  <c r="BR260" i="13" s="1"/>
  <c r="BQ239" i="13"/>
  <c r="BS239" i="13" s="1"/>
  <c r="AC239" i="16" s="1"/>
  <c r="BR239" i="13"/>
  <c r="BN232" i="13"/>
  <c r="BR232" i="13" s="1"/>
  <c r="BM232" i="13"/>
  <c r="BQ232" i="13" s="1"/>
  <c r="BS232" i="13" s="1"/>
  <c r="AC232" i="16" s="1"/>
  <c r="BM219" i="13"/>
  <c r="BQ219" i="13" s="1"/>
  <c r="BS219" i="13" s="1"/>
  <c r="AC219" i="16" s="1"/>
  <c r="BN219" i="13"/>
  <c r="BR219" i="13" s="1"/>
  <c r="BN63" i="13"/>
  <c r="BR63" i="13" s="1"/>
  <c r="BM63" i="13"/>
  <c r="BQ63" i="13" s="1"/>
  <c r="BS63" i="13" s="1"/>
  <c r="AC63" i="16" s="1"/>
  <c r="BN206" i="13"/>
  <c r="BR206" i="13" s="1"/>
  <c r="BM206" i="13"/>
  <c r="BQ206" i="13" s="1"/>
  <c r="BS206" i="13" s="1"/>
  <c r="AC206" i="16" s="1"/>
  <c r="BN51" i="13"/>
  <c r="BR51" i="13" s="1"/>
  <c r="BM51" i="13"/>
  <c r="BQ51" i="13" s="1"/>
  <c r="BS51" i="13" s="1"/>
  <c r="AC51" i="16" s="1"/>
  <c r="BK196" i="13"/>
  <c r="BO196" i="13" s="1"/>
  <c r="BL196" i="13"/>
  <c r="BP196" i="13" s="1"/>
  <c r="BK162" i="13"/>
  <c r="BO162" i="13" s="1"/>
  <c r="BL162" i="13"/>
  <c r="BP162" i="13" s="1"/>
  <c r="BL254" i="13"/>
  <c r="BP254" i="13" s="1"/>
  <c r="BK254" i="13"/>
  <c r="BO254" i="13" s="1"/>
  <c r="BK164" i="13"/>
  <c r="BO164" i="13" s="1"/>
  <c r="BL164" i="13"/>
  <c r="BP164" i="13" s="1"/>
  <c r="BL222" i="13"/>
  <c r="BP222" i="13" s="1"/>
  <c r="BK222" i="13"/>
  <c r="BO222" i="13" s="1"/>
  <c r="BK201" i="13"/>
  <c r="BO201" i="13" s="1"/>
  <c r="BL201" i="13"/>
  <c r="BP201" i="13" s="1"/>
  <c r="BK81" i="13"/>
  <c r="BO81" i="13" s="1"/>
  <c r="BL81" i="13"/>
  <c r="BP81" i="13" s="1"/>
  <c r="BN247" i="13"/>
  <c r="BR247" i="13" s="1"/>
  <c r="BM247" i="13"/>
  <c r="BQ247" i="13" s="1"/>
  <c r="BS247" i="13" s="1"/>
  <c r="AC247" i="16" s="1"/>
  <c r="BM253" i="13"/>
  <c r="BQ253" i="13" s="1"/>
  <c r="BS253" i="13" s="1"/>
  <c r="AC253" i="16" s="1"/>
  <c r="BN253" i="13"/>
  <c r="BR253" i="13" s="1"/>
  <c r="BN122" i="13"/>
  <c r="BR122" i="13" s="1"/>
  <c r="BM122" i="13"/>
  <c r="BQ122" i="13" s="1"/>
  <c r="BS122" i="13" s="1"/>
  <c r="AC122" i="16" s="1"/>
  <c r="BN249" i="13"/>
  <c r="BR249" i="13" s="1"/>
  <c r="BM249" i="13"/>
  <c r="BQ249" i="13" s="1"/>
  <c r="BS249" i="13" s="1"/>
  <c r="AC249" i="16" s="1"/>
  <c r="BN251" i="13"/>
  <c r="BR251" i="13" s="1"/>
  <c r="BM251" i="13"/>
  <c r="BQ251" i="13" s="1"/>
  <c r="BS251" i="13" s="1"/>
  <c r="AC251" i="16" s="1"/>
  <c r="BL234" i="13"/>
  <c r="BP234" i="13" s="1"/>
  <c r="BK234" i="13"/>
  <c r="BO234" i="13" s="1"/>
  <c r="BK97" i="13"/>
  <c r="BO97" i="13" s="1"/>
  <c r="BL97" i="13"/>
  <c r="BP97" i="13" s="1"/>
  <c r="BN65" i="13"/>
  <c r="BR65" i="13" s="1"/>
  <c r="BM65" i="13"/>
  <c r="BQ65" i="13" s="1"/>
  <c r="BS65" i="13" s="1"/>
  <c r="AC65" i="16" s="1"/>
  <c r="BK202" i="13"/>
  <c r="BO202" i="13" s="1"/>
  <c r="BL202" i="13"/>
  <c r="BP202" i="13" s="1"/>
  <c r="BL37" i="13"/>
  <c r="BP37" i="13" s="1"/>
  <c r="BK37" i="13"/>
  <c r="BO37" i="13" s="1"/>
  <c r="BK26" i="13"/>
  <c r="BO26" i="13" s="1"/>
  <c r="BL26" i="13"/>
  <c r="BP26" i="13" s="1"/>
  <c r="BN230" i="13"/>
  <c r="BR230" i="13" s="1"/>
  <c r="BM230" i="13"/>
  <c r="BQ230" i="13" s="1"/>
  <c r="BS230" i="13" s="1"/>
  <c r="AC230" i="16" s="1"/>
  <c r="BM242" i="13"/>
  <c r="BN242" i="13"/>
  <c r="BL83" i="13"/>
  <c r="BP83" i="13" s="1"/>
  <c r="BK83" i="13"/>
  <c r="BO83" i="13" s="1"/>
  <c r="BL115" i="13"/>
  <c r="BP115" i="13" s="1"/>
  <c r="BK115" i="13"/>
  <c r="BO115" i="13" s="1"/>
  <c r="BK57" i="13"/>
  <c r="BO57" i="13" s="1"/>
  <c r="BL57" i="13"/>
  <c r="BP57" i="13" s="1"/>
  <c r="BK89" i="13"/>
  <c r="BO89" i="13" s="1"/>
  <c r="BL89" i="13"/>
  <c r="BP89" i="13" s="1"/>
  <c r="BL79" i="13"/>
  <c r="BP79" i="13" s="1"/>
  <c r="BK79" i="13"/>
  <c r="BO79" i="13" s="1"/>
  <c r="BK112" i="13"/>
  <c r="BO112" i="13" s="1"/>
  <c r="BL112" i="13"/>
  <c r="BP112" i="13" s="1"/>
  <c r="BN123" i="13"/>
  <c r="BR123" i="13" s="1"/>
  <c r="BM123" i="13"/>
  <c r="BQ123" i="13" s="1"/>
  <c r="BS123" i="13" s="1"/>
  <c r="AC123" i="16" s="1"/>
  <c r="BN196" i="13"/>
  <c r="BR196" i="13" s="1"/>
  <c r="BM196" i="13"/>
  <c r="BQ196" i="13" s="1"/>
  <c r="BS196" i="13" s="1"/>
  <c r="AC196" i="16" s="1"/>
  <c r="BN190" i="13"/>
  <c r="BR190" i="13" s="1"/>
  <c r="BM190" i="13"/>
  <c r="BQ190" i="13" s="1"/>
  <c r="BS190" i="13" s="1"/>
  <c r="AC190" i="16" s="1"/>
  <c r="BN216" i="13"/>
  <c r="BR216" i="13" s="1"/>
  <c r="BM216" i="13"/>
  <c r="BQ216" i="13" s="1"/>
  <c r="BS216" i="13" s="1"/>
  <c r="AC216" i="16" s="1"/>
  <c r="AK226" i="13"/>
  <c r="BN226" i="13"/>
  <c r="BR226" i="13" s="1"/>
  <c r="BM226" i="13"/>
  <c r="BQ226" i="13" s="1"/>
  <c r="AC167" i="13"/>
  <c r="AM167" i="13" s="1"/>
  <c r="AO167" i="13" s="1"/>
  <c r="S167" i="16" s="1"/>
  <c r="BN167" i="13"/>
  <c r="BR167" i="13" s="1"/>
  <c r="BM167" i="13"/>
  <c r="BQ167" i="13" s="1"/>
  <c r="BS167" i="13" s="1"/>
  <c r="AC167" i="16" s="1"/>
  <c r="BL216" i="13"/>
  <c r="BP216" i="13" s="1"/>
  <c r="BK216" i="13"/>
  <c r="BO216" i="13" s="1"/>
  <c r="BL239" i="13"/>
  <c r="BP239" i="13" s="1"/>
  <c r="BK239" i="13"/>
  <c r="BO239" i="13" s="1"/>
  <c r="BK40" i="13"/>
  <c r="BO40" i="13" s="1"/>
  <c r="BL40" i="13"/>
  <c r="BP40" i="13" s="1"/>
  <c r="BL200" i="13"/>
  <c r="BP200" i="13" s="1"/>
  <c r="BK200" i="13"/>
  <c r="BO200" i="13" s="1"/>
  <c r="BN212" i="13"/>
  <c r="BR212" i="13" s="1"/>
  <c r="BM212" i="13"/>
  <c r="BQ212" i="13" s="1"/>
  <c r="BS212" i="13" s="1"/>
  <c r="AC212" i="16" s="1"/>
  <c r="BN238" i="13"/>
  <c r="BR238" i="13" s="1"/>
  <c r="BM238" i="13"/>
  <c r="BQ238" i="13" s="1"/>
  <c r="BS238" i="13" s="1"/>
  <c r="AC238" i="16" s="1"/>
  <c r="BK172" i="13"/>
  <c r="BO172" i="13" s="1"/>
  <c r="BL172" i="13"/>
  <c r="BP172" i="13" s="1"/>
  <c r="BL133" i="13"/>
  <c r="BP133" i="13" s="1"/>
  <c r="BK133" i="13"/>
  <c r="BO133" i="13" s="1"/>
  <c r="BL253" i="13"/>
  <c r="BP253" i="13" s="1"/>
  <c r="BK253" i="13"/>
  <c r="BO253" i="13" s="1"/>
  <c r="BL219" i="13"/>
  <c r="BP219" i="13" s="1"/>
  <c r="BK219" i="13"/>
  <c r="BO219" i="13" s="1"/>
  <c r="BL230" i="13"/>
  <c r="BP230" i="13" s="1"/>
  <c r="BK230" i="13"/>
  <c r="BO230" i="13" s="1"/>
  <c r="BL232" i="13"/>
  <c r="BP232" i="13" s="1"/>
  <c r="BK232" i="13"/>
  <c r="BO232" i="13" s="1"/>
  <c r="BL103" i="13"/>
  <c r="BP103" i="13" s="1"/>
  <c r="BK103" i="13"/>
  <c r="BO103" i="13" s="1"/>
  <c r="AV260" i="13"/>
  <c r="AZ260" i="13" s="1"/>
  <c r="BB260" i="13" s="1"/>
  <c r="BM227" i="13"/>
  <c r="BQ227" i="13" s="1"/>
  <c r="BN227" i="13"/>
  <c r="BR227" i="13" s="1"/>
  <c r="BN7" i="13"/>
  <c r="BR7" i="13" s="1"/>
  <c r="BM7" i="13"/>
  <c r="BQ7" i="13" s="1"/>
  <c r="BS7" i="13" s="1"/>
  <c r="AC7" i="16" s="1"/>
  <c r="BM246" i="13"/>
  <c r="BQ246" i="13" s="1"/>
  <c r="BS246" i="13" s="1"/>
  <c r="AC246" i="16" s="1"/>
  <c r="BN246" i="13"/>
  <c r="BR246" i="13" s="1"/>
  <c r="BN90" i="13"/>
  <c r="BR90" i="13" s="1"/>
  <c r="BM90" i="13"/>
  <c r="BQ90" i="13" s="1"/>
  <c r="BS90" i="13" s="1"/>
  <c r="AC90" i="16" s="1"/>
  <c r="BN99" i="13"/>
  <c r="BR99" i="13" s="1"/>
  <c r="BM99" i="13"/>
  <c r="BQ99" i="13" s="1"/>
  <c r="BS99" i="13" s="1"/>
  <c r="AC99" i="16" s="1"/>
  <c r="BM215" i="13"/>
  <c r="BQ215" i="13" s="1"/>
  <c r="BS215" i="13" s="1"/>
  <c r="AC215" i="16" s="1"/>
  <c r="BN215" i="13"/>
  <c r="BR215" i="13" s="1"/>
  <c r="AT253" i="13"/>
  <c r="AX253" i="13" s="1"/>
  <c r="AT242" i="13"/>
  <c r="AU249" i="13"/>
  <c r="AY249" i="13" s="1"/>
  <c r="AT110" i="13"/>
  <c r="AX110" i="13" s="1"/>
  <c r="AW251" i="13"/>
  <c r="BA251" i="13" s="1"/>
  <c r="CN251" i="13" s="1"/>
  <c r="AW230" i="13"/>
  <c r="BA230" i="13" s="1"/>
  <c r="CN230" i="13" s="1"/>
  <c r="AT176" i="13"/>
  <c r="AX176" i="13" s="1"/>
  <c r="AB242" i="13"/>
  <c r="AC65" i="13"/>
  <c r="AM65" i="13" s="1"/>
  <c r="AO65" i="13" s="1"/>
  <c r="S65" i="16" s="1"/>
  <c r="AB249" i="13"/>
  <c r="AL249" i="13" s="1"/>
  <c r="AB253" i="13"/>
  <c r="AL253" i="13" s="1"/>
  <c r="AC247" i="13"/>
  <c r="AM247" i="13" s="1"/>
  <c r="AO247" i="13" s="1"/>
  <c r="S247" i="16" s="1"/>
  <c r="AB230" i="13"/>
  <c r="AL230" i="13" s="1"/>
  <c r="BN134" i="13"/>
  <c r="BR134" i="13" s="1"/>
  <c r="BM134" i="13"/>
  <c r="BQ134" i="13" s="1"/>
  <c r="BS134" i="13" s="1"/>
  <c r="AC134" i="16" s="1"/>
  <c r="BN42" i="13"/>
  <c r="BR42" i="13" s="1"/>
  <c r="BM42" i="13"/>
  <c r="BQ42" i="13" s="1"/>
  <c r="BS42" i="13" s="1"/>
  <c r="AC42" i="16" s="1"/>
  <c r="BN130" i="13"/>
  <c r="BR130" i="13" s="1"/>
  <c r="BM130" i="13"/>
  <c r="BQ130" i="13" s="1"/>
  <c r="BS130" i="13" s="1"/>
  <c r="AC130" i="16" s="1"/>
  <c r="BN187" i="13"/>
  <c r="BR187" i="13" s="1"/>
  <c r="BM187" i="13"/>
  <c r="BQ187" i="13" s="1"/>
  <c r="BS187" i="13" s="1"/>
  <c r="AC187" i="16" s="1"/>
  <c r="BN5" i="13"/>
  <c r="BR5" i="13" s="1"/>
  <c r="BM5" i="13"/>
  <c r="BQ5" i="13" s="1"/>
  <c r="BS5" i="13" s="1"/>
  <c r="AC5" i="16" s="1"/>
  <c r="BN112" i="13"/>
  <c r="BR112" i="13" s="1"/>
  <c r="BM112" i="13"/>
  <c r="BQ112" i="13" s="1"/>
  <c r="BS112" i="13" s="1"/>
  <c r="AC112" i="16" s="1"/>
  <c r="BM233" i="13"/>
  <c r="BQ233" i="13" s="1"/>
  <c r="BS233" i="13" s="1"/>
  <c r="AC233" i="16" s="1"/>
  <c r="BN233" i="13"/>
  <c r="BR233" i="13" s="1"/>
  <c r="BN79" i="13"/>
  <c r="BR79" i="13" s="1"/>
  <c r="BM79" i="13"/>
  <c r="BQ79" i="13" s="1"/>
  <c r="BS79" i="13" s="1"/>
  <c r="AC79" i="16" s="1"/>
  <c r="BN191" i="13"/>
  <c r="BR191" i="13" s="1"/>
  <c r="BM191" i="13"/>
  <c r="BQ191" i="13" s="1"/>
  <c r="BS191" i="13" s="1"/>
  <c r="AC191" i="16" s="1"/>
  <c r="BN156" i="13"/>
  <c r="BR156" i="13" s="1"/>
  <c r="BM156" i="13"/>
  <c r="BQ156" i="13" s="1"/>
  <c r="BS156" i="13" s="1"/>
  <c r="AC156" i="16" s="1"/>
  <c r="BN69" i="13"/>
  <c r="BR69" i="13" s="1"/>
  <c r="BM69" i="13"/>
  <c r="BQ69" i="13" s="1"/>
  <c r="BS69" i="13" s="1"/>
  <c r="AC69" i="16" s="1"/>
  <c r="BN78" i="13"/>
  <c r="BR78" i="13" s="1"/>
  <c r="BM78" i="13"/>
  <c r="BQ78" i="13" s="1"/>
  <c r="BS78" i="13" s="1"/>
  <c r="AC78" i="16" s="1"/>
  <c r="BN181" i="13"/>
  <c r="BR181" i="13" s="1"/>
  <c r="BM181" i="13"/>
  <c r="BQ181" i="13" s="1"/>
  <c r="BS181" i="13" s="1"/>
  <c r="AC181" i="16" s="1"/>
  <c r="BL7" i="13"/>
  <c r="BP7" i="13" s="1"/>
  <c r="BK7" i="13"/>
  <c r="BO7" i="13" s="1"/>
  <c r="BN162" i="13"/>
  <c r="BR162" i="13" s="1"/>
  <c r="BM162" i="13"/>
  <c r="BQ162" i="13" s="1"/>
  <c r="BS162" i="13" s="1"/>
  <c r="AC162" i="16" s="1"/>
  <c r="BM254" i="13"/>
  <c r="BQ254" i="13" s="1"/>
  <c r="BS254" i="13" s="1"/>
  <c r="AC254" i="16" s="1"/>
  <c r="BN254" i="13"/>
  <c r="BR254" i="13" s="1"/>
  <c r="BK190" i="13"/>
  <c r="BO190" i="13" s="1"/>
  <c r="BL190" i="13"/>
  <c r="BP190" i="13" s="1"/>
  <c r="BN222" i="13"/>
  <c r="BR222" i="13" s="1"/>
  <c r="BM222" i="13"/>
  <c r="BQ222" i="13" s="1"/>
  <c r="BS222" i="13" s="1"/>
  <c r="AC222" i="16" s="1"/>
  <c r="BN201" i="13"/>
  <c r="BR201" i="13" s="1"/>
  <c r="BM201" i="13"/>
  <c r="BQ201" i="13" s="1"/>
  <c r="BS201" i="13" s="1"/>
  <c r="AC201" i="16" s="1"/>
  <c r="BN81" i="13"/>
  <c r="BR81" i="13" s="1"/>
  <c r="BM81" i="13"/>
  <c r="BQ81" i="13" s="1"/>
  <c r="BS81" i="13" s="1"/>
  <c r="AC81" i="16" s="1"/>
  <c r="BK3" i="13"/>
  <c r="BO3" i="13" s="1"/>
  <c r="BL3" i="13"/>
  <c r="BP3" i="13" s="1"/>
  <c r="BL21" i="13"/>
  <c r="BP21" i="13" s="1"/>
  <c r="BK21" i="13"/>
  <c r="BO21" i="13" s="1"/>
  <c r="BL187" i="13"/>
  <c r="BP187" i="13" s="1"/>
  <c r="BK187" i="13"/>
  <c r="BO187" i="13" s="1"/>
  <c r="BK6" i="13"/>
  <c r="BO6" i="13" s="1"/>
  <c r="BL6" i="13"/>
  <c r="BP6" i="13" s="1"/>
  <c r="BK178" i="13"/>
  <c r="BO178" i="13" s="1"/>
  <c r="BL178" i="13"/>
  <c r="BP178" i="13" s="1"/>
  <c r="BL229" i="13"/>
  <c r="BP229" i="13" s="1"/>
  <c r="BK229" i="13"/>
  <c r="BO229" i="13" s="1"/>
  <c r="BL238" i="13"/>
  <c r="BP238" i="13" s="1"/>
  <c r="BK238" i="13"/>
  <c r="BO238" i="13" s="1"/>
  <c r="BK186" i="13"/>
  <c r="BO186" i="13" s="1"/>
  <c r="BL186" i="13"/>
  <c r="BP186" i="13" s="1"/>
  <c r="BL141" i="13"/>
  <c r="BP141" i="13" s="1"/>
  <c r="BK141" i="13"/>
  <c r="BO141" i="13" s="1"/>
  <c r="BK80" i="13"/>
  <c r="BO80" i="13" s="1"/>
  <c r="BL80" i="13"/>
  <c r="BP80" i="13" s="1"/>
  <c r="BN202" i="13"/>
  <c r="BR202" i="13" s="1"/>
  <c r="BM202" i="13"/>
  <c r="BQ202" i="13" s="1"/>
  <c r="BS202" i="13" s="1"/>
  <c r="AC202" i="16" s="1"/>
  <c r="BL9" i="13"/>
  <c r="BP9" i="13" s="1"/>
  <c r="BK9" i="13"/>
  <c r="BO9" i="13" s="1"/>
  <c r="BN37" i="13"/>
  <c r="BR37" i="13" s="1"/>
  <c r="BM37" i="13"/>
  <c r="BQ37" i="13" s="1"/>
  <c r="BS37" i="13" s="1"/>
  <c r="AC37" i="16" s="1"/>
  <c r="BN26" i="13"/>
  <c r="BR26" i="13" s="1"/>
  <c r="BM26" i="13"/>
  <c r="BQ26" i="13" s="1"/>
  <c r="BS26" i="13" s="1"/>
  <c r="AC26" i="16" s="1"/>
  <c r="BL244" i="13"/>
  <c r="BP244" i="13" s="1"/>
  <c r="BK244" i="13"/>
  <c r="BO244" i="13" s="1"/>
  <c r="BL31" i="13"/>
  <c r="BP31" i="13" s="1"/>
  <c r="BK31" i="13"/>
  <c r="BO31" i="13" s="1"/>
  <c r="BN57" i="13"/>
  <c r="BR57" i="13" s="1"/>
  <c r="BM57" i="13"/>
  <c r="BQ57" i="13" s="1"/>
  <c r="BS57" i="13" s="1"/>
  <c r="AC57" i="16" s="1"/>
  <c r="BL211" i="13"/>
  <c r="BP211" i="13" s="1"/>
  <c r="BK211" i="13"/>
  <c r="BO211" i="13" s="1"/>
  <c r="BK189" i="13"/>
  <c r="BO189" i="13" s="1"/>
  <c r="BL189" i="13"/>
  <c r="BP189" i="13" s="1"/>
  <c r="BK140" i="13"/>
  <c r="BO140" i="13" s="1"/>
  <c r="BL140" i="13"/>
  <c r="BP140" i="13" s="1"/>
  <c r="BL246" i="13"/>
  <c r="BP246" i="13" s="1"/>
  <c r="BK246" i="13"/>
  <c r="BO246" i="13" s="1"/>
  <c r="BN179" i="13"/>
  <c r="BR179" i="13" s="1"/>
  <c r="BM179" i="13"/>
  <c r="BQ179" i="13" s="1"/>
  <c r="BS179" i="13" s="1"/>
  <c r="AC179" i="16" s="1"/>
  <c r="AT65" i="13"/>
  <c r="AX65" i="13" s="1"/>
  <c r="AB215" i="13"/>
  <c r="AL215" i="13" s="1"/>
  <c r="AA65" i="13"/>
  <c r="AK65" i="13" s="1"/>
  <c r="AK249" i="13"/>
  <c r="AD253" i="13"/>
  <c r="AN253" i="13" s="1"/>
  <c r="CK253" i="13" s="1"/>
  <c r="AD247" i="13"/>
  <c r="AN247" i="13" s="1"/>
  <c r="CK247" i="13" s="1"/>
  <c r="AD230" i="13"/>
  <c r="AN230" i="13" s="1"/>
  <c r="CK230" i="13" s="1"/>
  <c r="BN60" i="13"/>
  <c r="BR60" i="13" s="1"/>
  <c r="BM60" i="13"/>
  <c r="BQ60" i="13" s="1"/>
  <c r="BN119" i="13"/>
  <c r="BR119" i="13" s="1"/>
  <c r="BM119" i="13"/>
  <c r="BQ119" i="13" s="1"/>
  <c r="BS119" i="13" s="1"/>
  <c r="AC119" i="16" s="1"/>
  <c r="BN126" i="13"/>
  <c r="BR126" i="13" s="1"/>
  <c r="BM126" i="13"/>
  <c r="BQ126" i="13" s="1"/>
  <c r="BS126" i="13" s="1"/>
  <c r="AC126" i="16" s="1"/>
  <c r="BM231" i="13"/>
  <c r="BQ231" i="13" s="1"/>
  <c r="BN231" i="13"/>
  <c r="BR231" i="13" s="1"/>
  <c r="BN195" i="13"/>
  <c r="BR195" i="13" s="1"/>
  <c r="BM195" i="13"/>
  <c r="BQ195" i="13" s="1"/>
  <c r="BS195" i="13" s="1"/>
  <c r="AC195" i="16" s="1"/>
  <c r="BN54" i="13"/>
  <c r="BR54" i="13" s="1"/>
  <c r="BM54" i="13"/>
  <c r="BQ54" i="13" s="1"/>
  <c r="BS54" i="13" s="1"/>
  <c r="AC54" i="16" s="1"/>
  <c r="BN88" i="13"/>
  <c r="BR88" i="13" s="1"/>
  <c r="BM88" i="13"/>
  <c r="BQ88" i="13" s="1"/>
  <c r="BS88" i="13" s="1"/>
  <c r="AC88" i="16" s="1"/>
  <c r="BN182" i="13"/>
  <c r="BR182" i="13" s="1"/>
  <c r="BM182" i="13"/>
  <c r="BQ182" i="13" s="1"/>
  <c r="BS182" i="13" s="1"/>
  <c r="AC182" i="16" s="1"/>
  <c r="BN115" i="13"/>
  <c r="BR115" i="13" s="1"/>
  <c r="BM115" i="13"/>
  <c r="BQ115" i="13" s="1"/>
  <c r="BS115" i="13" s="1"/>
  <c r="AC115" i="16" s="1"/>
  <c r="BN6" i="13"/>
  <c r="BR6" i="13" s="1"/>
  <c r="BM6" i="13"/>
  <c r="BQ6" i="13" s="1"/>
  <c r="BS6" i="13" s="1"/>
  <c r="AC6" i="16" s="1"/>
  <c r="BN141" i="13"/>
  <c r="BR141" i="13" s="1"/>
  <c r="BM141" i="13"/>
  <c r="BQ141" i="13" s="1"/>
  <c r="BS141" i="13" s="1"/>
  <c r="AC141" i="16" s="1"/>
  <c r="BN189" i="13"/>
  <c r="BR189" i="13" s="1"/>
  <c r="BM189" i="13"/>
  <c r="BQ189" i="13" s="1"/>
  <c r="BS189" i="13" s="1"/>
  <c r="AC189" i="16" s="1"/>
  <c r="BN200" i="13"/>
  <c r="BR200" i="13" s="1"/>
  <c r="BM200" i="13"/>
  <c r="BQ200" i="13" s="1"/>
  <c r="BS200" i="13" s="1"/>
  <c r="AC200" i="16" s="1"/>
  <c r="BN243" i="13"/>
  <c r="BR243" i="13" s="1"/>
  <c r="BM243" i="13"/>
  <c r="BQ243" i="13" s="1"/>
  <c r="BS243" i="13" s="1"/>
  <c r="AC243" i="16" s="1"/>
  <c r="BN180" i="13"/>
  <c r="BR180" i="13" s="1"/>
  <c r="BM180" i="13"/>
  <c r="BQ180" i="13" s="1"/>
  <c r="BS180" i="13" s="1"/>
  <c r="AC180" i="16" s="1"/>
  <c r="BM217" i="13"/>
  <c r="BQ217" i="13" s="1"/>
  <c r="BS217" i="13" s="1"/>
  <c r="AC217" i="16" s="1"/>
  <c r="BN217" i="13"/>
  <c r="BR217" i="13" s="1"/>
  <c r="BK194" i="13"/>
  <c r="BO194" i="13" s="1"/>
  <c r="BL194" i="13"/>
  <c r="BP194" i="13" s="1"/>
  <c r="BL75" i="13"/>
  <c r="BP75" i="13" s="1"/>
  <c r="BK75" i="13"/>
  <c r="BO75" i="13" s="1"/>
  <c r="BL29" i="13"/>
  <c r="BP29" i="13" s="1"/>
  <c r="BK29" i="13"/>
  <c r="BO29" i="13" s="1"/>
  <c r="BL245" i="13"/>
  <c r="BP245" i="13" s="1"/>
  <c r="BK245" i="13"/>
  <c r="BO245" i="13" s="1"/>
  <c r="BL53" i="13"/>
  <c r="BP53" i="13" s="1"/>
  <c r="BK53" i="13"/>
  <c r="BO53" i="13" s="1"/>
  <c r="BL39" i="13"/>
  <c r="BP39" i="13" s="1"/>
  <c r="BK39" i="13"/>
  <c r="BO39" i="13" s="1"/>
  <c r="BN3" i="13"/>
  <c r="BR3" i="13" s="1"/>
  <c r="BN21" i="13"/>
  <c r="BR21" i="13" s="1"/>
  <c r="BM21" i="13"/>
  <c r="BQ21" i="13" s="1"/>
  <c r="BS21" i="13" s="1"/>
  <c r="AC21" i="16" s="1"/>
  <c r="BK24" i="13"/>
  <c r="BO24" i="13" s="1"/>
  <c r="BL24" i="13"/>
  <c r="BP24" i="13" s="1"/>
  <c r="BK214" i="13"/>
  <c r="BO214" i="13" s="1"/>
  <c r="BL214" i="13"/>
  <c r="BP214" i="13" s="1"/>
  <c r="BN178" i="13"/>
  <c r="BR178" i="13" s="1"/>
  <c r="BM178" i="13"/>
  <c r="BQ178" i="13" s="1"/>
  <c r="BS178" i="13" s="1"/>
  <c r="AC178" i="16" s="1"/>
  <c r="BM229" i="13"/>
  <c r="BQ229" i="13" s="1"/>
  <c r="BS229" i="13" s="1"/>
  <c r="AC229" i="16" s="1"/>
  <c r="BN229" i="13"/>
  <c r="BR229" i="13" s="1"/>
  <c r="BK22" i="13"/>
  <c r="BO22" i="13" s="1"/>
  <c r="BL22" i="13"/>
  <c r="BP22" i="13" s="1"/>
  <c r="BL221" i="13"/>
  <c r="BP221" i="13" s="1"/>
  <c r="BK221" i="13"/>
  <c r="BO221" i="13" s="1"/>
  <c r="BL177" i="13"/>
  <c r="BP177" i="13" s="1"/>
  <c r="BK177" i="13"/>
  <c r="BO177" i="13" s="1"/>
  <c r="BN80" i="13"/>
  <c r="BR80" i="13" s="1"/>
  <c r="BM80" i="13"/>
  <c r="BQ80" i="13" s="1"/>
  <c r="BS80" i="13" s="1"/>
  <c r="AC80" i="16" s="1"/>
  <c r="BK68" i="13"/>
  <c r="BO68" i="13" s="1"/>
  <c r="BL68" i="13"/>
  <c r="BP68" i="13" s="1"/>
  <c r="BN9" i="13"/>
  <c r="BR9" i="13" s="1"/>
  <c r="BM9" i="13"/>
  <c r="BQ9" i="13" s="1"/>
  <c r="BS9" i="13" s="1"/>
  <c r="AC9" i="16" s="1"/>
  <c r="BL4" i="13"/>
  <c r="BP4" i="13" s="1"/>
  <c r="BK4" i="13"/>
  <c r="BO4" i="13" s="1"/>
  <c r="BK82" i="13"/>
  <c r="BO82" i="13" s="1"/>
  <c r="BL82" i="13"/>
  <c r="BP82" i="13" s="1"/>
  <c r="BM244" i="13"/>
  <c r="BQ244" i="13" s="1"/>
  <c r="BS244" i="13" s="1"/>
  <c r="AC244" i="16" s="1"/>
  <c r="BN244" i="13"/>
  <c r="BR244" i="13" s="1"/>
  <c r="BN31" i="13"/>
  <c r="BR31" i="13" s="1"/>
  <c r="BM31" i="13"/>
  <c r="BQ31" i="13" s="1"/>
  <c r="BS31" i="13" s="1"/>
  <c r="AC31" i="16" s="1"/>
  <c r="BK38" i="13"/>
  <c r="BO38" i="13" s="1"/>
  <c r="BL38" i="13"/>
  <c r="BP38" i="13" s="1"/>
  <c r="BK188" i="13"/>
  <c r="BO188" i="13" s="1"/>
  <c r="BL188" i="13"/>
  <c r="BP188" i="13" s="1"/>
  <c r="BL228" i="13"/>
  <c r="BP228" i="13" s="1"/>
  <c r="BK228" i="13"/>
  <c r="BO228" i="13" s="1"/>
  <c r="BK173" i="13"/>
  <c r="BO173" i="13" s="1"/>
  <c r="BL173" i="13"/>
  <c r="BP173" i="13" s="1"/>
  <c r="BN106" i="13"/>
  <c r="BR106" i="13" s="1"/>
  <c r="BM106" i="13"/>
  <c r="BQ106" i="13" s="1"/>
  <c r="BS106" i="13" s="1"/>
  <c r="AC106" i="16" s="1"/>
  <c r="BN177" i="13"/>
  <c r="BR177" i="13" s="1"/>
  <c r="BM177" i="13"/>
  <c r="BQ177" i="13" s="1"/>
  <c r="BS177" i="13" s="1"/>
  <c r="AC177" i="16" s="1"/>
  <c r="BN23" i="13"/>
  <c r="BR23" i="13" s="1"/>
  <c r="BM23" i="13"/>
  <c r="BQ23" i="13" s="1"/>
  <c r="BS23" i="13" s="1"/>
  <c r="AC23" i="16" s="1"/>
  <c r="BN234" i="13"/>
  <c r="BR234" i="13" s="1"/>
  <c r="BM234" i="13"/>
  <c r="BQ234" i="13" s="1"/>
  <c r="BS234" i="13" s="1"/>
  <c r="AC234" i="16" s="1"/>
  <c r="BL224" i="13"/>
  <c r="BP224" i="13" s="1"/>
  <c r="BK224" i="13"/>
  <c r="BO224" i="13" s="1"/>
  <c r="BK212" i="13"/>
  <c r="BO212" i="13" s="1"/>
  <c r="BL212" i="13"/>
  <c r="BP212" i="13" s="1"/>
  <c r="BK49" i="13"/>
  <c r="BO49" i="13" s="1"/>
  <c r="BL49" i="13"/>
  <c r="BP49" i="13" s="1"/>
  <c r="BK176" i="13"/>
  <c r="BO176" i="13" s="1"/>
  <c r="BL176" i="13"/>
  <c r="BP176" i="13" s="1"/>
  <c r="AU36" i="13"/>
  <c r="AY36" i="13" s="1"/>
  <c r="BN36" i="13"/>
  <c r="BR36" i="13" s="1"/>
  <c r="BM36" i="13"/>
  <c r="BQ36" i="13" s="1"/>
  <c r="BS36" i="13" s="1"/>
  <c r="AC36" i="16" s="1"/>
  <c r="BK73" i="13"/>
  <c r="BO73" i="13" s="1"/>
  <c r="BL73" i="13"/>
  <c r="BP73" i="13" s="1"/>
  <c r="AW258" i="13"/>
  <c r="BA258" i="13" s="1"/>
  <c r="CN258" i="13" s="1"/>
  <c r="BN70" i="13"/>
  <c r="BR70" i="13" s="1"/>
  <c r="BM70" i="13"/>
  <c r="BQ70" i="13" s="1"/>
  <c r="BS70" i="13" s="1"/>
  <c r="AC70" i="16" s="1"/>
  <c r="BL249" i="13"/>
  <c r="BP249" i="13" s="1"/>
  <c r="BK249" i="13"/>
  <c r="BO249" i="13" s="1"/>
  <c r="AD49" i="13"/>
  <c r="AN49" i="13" s="1"/>
  <c r="CK49" i="13" s="1"/>
  <c r="BN49" i="13"/>
  <c r="BR49" i="13" s="1"/>
  <c r="BM49" i="13"/>
  <c r="BQ49" i="13" s="1"/>
  <c r="BS49" i="13" s="1"/>
  <c r="AC49" i="16" s="1"/>
  <c r="BN176" i="13"/>
  <c r="BR176" i="13" s="1"/>
  <c r="BM176" i="13"/>
  <c r="BQ176" i="13" s="1"/>
  <c r="BS176" i="13" s="1"/>
  <c r="AC176" i="16" s="1"/>
  <c r="BL109" i="13"/>
  <c r="BP109" i="13" s="1"/>
  <c r="BK109" i="13"/>
  <c r="BO109" i="13" s="1"/>
  <c r="BN50" i="13"/>
  <c r="BR50" i="13" s="1"/>
  <c r="BM50" i="13"/>
  <c r="BQ50" i="13" s="1"/>
  <c r="BS50" i="13" s="1"/>
  <c r="AC50" i="16" s="1"/>
  <c r="AU65" i="13"/>
  <c r="AY65" i="13" s="1"/>
  <c r="AK215" i="13"/>
  <c r="AB65" i="13"/>
  <c r="AL65" i="13" s="1"/>
  <c r="AD249" i="13"/>
  <c r="AN249" i="13" s="1"/>
  <c r="CK249" i="13" s="1"/>
  <c r="AK253" i="13"/>
  <c r="AB247" i="13"/>
  <c r="AL247" i="13" s="1"/>
  <c r="AK230" i="13"/>
  <c r="BN118" i="13"/>
  <c r="BR118" i="13" s="1"/>
  <c r="BM118" i="13"/>
  <c r="BQ118" i="13" s="1"/>
  <c r="BS118" i="13" s="1"/>
  <c r="AC118" i="16" s="1"/>
  <c r="BN151" i="13"/>
  <c r="BR151" i="13" s="1"/>
  <c r="BM151" i="13"/>
  <c r="BQ151" i="13" s="1"/>
  <c r="BS151" i="13" s="1"/>
  <c r="AC151" i="16" s="1"/>
  <c r="BN71" i="13"/>
  <c r="BR71" i="13" s="1"/>
  <c r="BM71" i="13"/>
  <c r="BQ71" i="13" s="1"/>
  <c r="BS71" i="13" s="1"/>
  <c r="AC71" i="16" s="1"/>
  <c r="BN188" i="13"/>
  <c r="BR188" i="13" s="1"/>
  <c r="BM188" i="13"/>
  <c r="BQ188" i="13" s="1"/>
  <c r="BS188" i="13" s="1"/>
  <c r="AC188" i="16" s="1"/>
  <c r="BN161" i="13"/>
  <c r="BR161" i="13" s="1"/>
  <c r="BM161" i="13"/>
  <c r="BQ161" i="13" s="1"/>
  <c r="BS161" i="13" s="1"/>
  <c r="AC161" i="16" s="1"/>
  <c r="BN102" i="13"/>
  <c r="BR102" i="13" s="1"/>
  <c r="BM102" i="13"/>
  <c r="BQ102" i="13" s="1"/>
  <c r="BN8" i="13"/>
  <c r="BR8" i="13" s="1"/>
  <c r="BM8" i="13"/>
  <c r="BQ8" i="13" s="1"/>
  <c r="BS8" i="13" s="1"/>
  <c r="AC8" i="16" s="1"/>
  <c r="BN192" i="13"/>
  <c r="BR192" i="13" s="1"/>
  <c r="BM192" i="13"/>
  <c r="BQ192" i="13" s="1"/>
  <c r="BS192" i="13" s="1"/>
  <c r="AC192" i="16" s="1"/>
  <c r="BN140" i="13"/>
  <c r="BR140" i="13" s="1"/>
  <c r="BM140" i="13"/>
  <c r="BQ140" i="13" s="1"/>
  <c r="BS140" i="13" s="1"/>
  <c r="AC140" i="16" s="1"/>
  <c r="BN97" i="13"/>
  <c r="BR97" i="13" s="1"/>
  <c r="BM97" i="13"/>
  <c r="BQ97" i="13" s="1"/>
  <c r="BN174" i="13"/>
  <c r="BR174" i="13" s="1"/>
  <c r="BM174" i="13"/>
  <c r="BQ174" i="13" s="1"/>
  <c r="BS174" i="13" s="1"/>
  <c r="AC174" i="16" s="1"/>
  <c r="BN83" i="13"/>
  <c r="BR83" i="13" s="1"/>
  <c r="BM83" i="13"/>
  <c r="BQ83" i="13" s="1"/>
  <c r="BS83" i="13" s="1"/>
  <c r="AC83" i="16" s="1"/>
  <c r="BN103" i="13"/>
  <c r="BR103" i="13" s="1"/>
  <c r="BM103" i="13"/>
  <c r="BQ103" i="13" s="1"/>
  <c r="BN213" i="13"/>
  <c r="BR213" i="13" s="1"/>
  <c r="BM213" i="13"/>
  <c r="BQ213" i="13" s="1"/>
  <c r="BS213" i="13" s="1"/>
  <c r="AC213" i="16" s="1"/>
  <c r="BN204" i="13"/>
  <c r="BR204" i="13" s="1"/>
  <c r="BM204" i="13"/>
  <c r="BQ204" i="13" s="1"/>
  <c r="BS204" i="13" s="1"/>
  <c r="AC204" i="16" s="1"/>
  <c r="BN194" i="13"/>
  <c r="BR194" i="13" s="1"/>
  <c r="BM194" i="13"/>
  <c r="BQ194" i="13" s="1"/>
  <c r="BS194" i="13" s="1"/>
  <c r="AC194" i="16" s="1"/>
  <c r="BL179" i="13"/>
  <c r="BP179" i="13" s="1"/>
  <c r="BK179" i="13"/>
  <c r="BO179" i="13" s="1"/>
  <c r="BN29" i="13"/>
  <c r="BR29" i="13" s="1"/>
  <c r="BM29" i="13"/>
  <c r="BQ29" i="13" s="1"/>
  <c r="BS29" i="13" s="1"/>
  <c r="AC29" i="16" s="1"/>
  <c r="BM245" i="13"/>
  <c r="BQ245" i="13" s="1"/>
  <c r="BS245" i="13" s="1"/>
  <c r="AC245" i="16" s="1"/>
  <c r="BN245" i="13"/>
  <c r="BR245" i="13" s="1"/>
  <c r="BN53" i="13"/>
  <c r="BR53" i="13" s="1"/>
  <c r="BM53" i="13"/>
  <c r="BQ53" i="13" s="1"/>
  <c r="BS53" i="13" s="1"/>
  <c r="AC53" i="16" s="1"/>
  <c r="BN39" i="13"/>
  <c r="BR39" i="13" s="1"/>
  <c r="BM39" i="13"/>
  <c r="BQ39" i="13" s="1"/>
  <c r="BS39" i="13" s="1"/>
  <c r="AC39" i="16" s="1"/>
  <c r="BL225" i="13"/>
  <c r="BP225" i="13" s="1"/>
  <c r="BK225" i="13"/>
  <c r="BO225" i="13" s="1"/>
  <c r="BN24" i="13"/>
  <c r="BR24" i="13" s="1"/>
  <c r="BM24" i="13"/>
  <c r="BQ24" i="13" s="1"/>
  <c r="BS24" i="13" s="1"/>
  <c r="AC24" i="16" s="1"/>
  <c r="BN214" i="13"/>
  <c r="BR214" i="13" s="1"/>
  <c r="BM214" i="13"/>
  <c r="BQ214" i="13" s="1"/>
  <c r="BS214" i="13" s="1"/>
  <c r="AC214" i="16" s="1"/>
  <c r="BK105" i="13"/>
  <c r="BO105" i="13" s="1"/>
  <c r="BL105" i="13"/>
  <c r="BP105" i="13" s="1"/>
  <c r="BL252" i="13"/>
  <c r="BP252" i="13" s="1"/>
  <c r="BK252" i="13"/>
  <c r="BO252" i="13" s="1"/>
  <c r="BN22" i="13"/>
  <c r="BR22" i="13" s="1"/>
  <c r="BM22" i="13"/>
  <c r="BQ22" i="13" s="1"/>
  <c r="BS22" i="13" s="1"/>
  <c r="AC22" i="16" s="1"/>
  <c r="BM221" i="13"/>
  <c r="BQ221" i="13" s="1"/>
  <c r="BS221" i="13" s="1"/>
  <c r="AC221" i="16" s="1"/>
  <c r="BN221" i="13"/>
  <c r="BR221" i="13" s="1"/>
  <c r="BL235" i="13"/>
  <c r="BP235" i="13" s="1"/>
  <c r="BK235" i="13"/>
  <c r="BO235" i="13" s="1"/>
  <c r="BK56" i="13"/>
  <c r="BO56" i="13" s="1"/>
  <c r="BL56" i="13"/>
  <c r="BP56" i="13" s="1"/>
  <c r="BK206" i="13"/>
  <c r="BO206" i="13" s="1"/>
  <c r="BL206" i="13"/>
  <c r="BP206" i="13" s="1"/>
  <c r="BN4" i="13"/>
  <c r="BR4" i="13" s="1"/>
  <c r="BM4" i="13"/>
  <c r="BQ4" i="13" s="1"/>
  <c r="BS4" i="13" s="1"/>
  <c r="AC4" i="16" s="1"/>
  <c r="BN82" i="13"/>
  <c r="BR82" i="13" s="1"/>
  <c r="BM82" i="13"/>
  <c r="BQ82" i="13" s="1"/>
  <c r="BS82" i="13" s="1"/>
  <c r="AC82" i="16" s="1"/>
  <c r="BK96" i="13"/>
  <c r="BO96" i="13" s="1"/>
  <c r="BL96" i="13"/>
  <c r="BP96" i="13" s="1"/>
  <c r="BK156" i="13"/>
  <c r="BO156" i="13" s="1"/>
  <c r="BL156" i="13"/>
  <c r="BP156" i="13" s="1"/>
  <c r="BK88" i="13"/>
  <c r="BO88" i="13" s="1"/>
  <c r="BL88" i="13"/>
  <c r="BP88" i="13" s="1"/>
  <c r="BN38" i="13"/>
  <c r="BR38" i="13" s="1"/>
  <c r="BM38" i="13"/>
  <c r="BQ38" i="13" s="1"/>
  <c r="BS38" i="13" s="1"/>
  <c r="AC38" i="16" s="1"/>
  <c r="BK114" i="13"/>
  <c r="BO114" i="13" s="1"/>
  <c r="BL114" i="13"/>
  <c r="BP114" i="13" s="1"/>
  <c r="BL233" i="13"/>
  <c r="BP233" i="13" s="1"/>
  <c r="BK233" i="13"/>
  <c r="BO233" i="13" s="1"/>
  <c r="BL227" i="13"/>
  <c r="BP227" i="13" s="1"/>
  <c r="BK227" i="13"/>
  <c r="BO227" i="13" s="1"/>
  <c r="BL203" i="13"/>
  <c r="BP203" i="13" s="1"/>
  <c r="BK203" i="13"/>
  <c r="BO203" i="13" s="1"/>
  <c r="BN165" i="13"/>
  <c r="BR165" i="13" s="1"/>
  <c r="BM165" i="13"/>
  <c r="BQ165" i="13" s="1"/>
  <c r="BS165" i="13" s="1"/>
  <c r="AC165" i="16" s="1"/>
  <c r="BN193" i="13"/>
  <c r="BR193" i="13" s="1"/>
  <c r="BM193" i="13"/>
  <c r="BQ193" i="13" s="1"/>
  <c r="BS193" i="13" s="1"/>
  <c r="AC193" i="16" s="1"/>
  <c r="BN66" i="13"/>
  <c r="BR66" i="13" s="1"/>
  <c r="BM66" i="13"/>
  <c r="BQ66" i="13" s="1"/>
  <c r="BS66" i="13" s="1"/>
  <c r="AC66" i="16" s="1"/>
  <c r="BK142" i="13"/>
  <c r="BO142" i="13" s="1"/>
  <c r="BL142" i="13"/>
  <c r="BP142" i="13" s="1"/>
  <c r="AB87" i="13"/>
  <c r="AL87" i="13" s="1"/>
  <c r="BN87" i="13"/>
  <c r="BR87" i="13" s="1"/>
  <c r="BM87" i="13"/>
  <c r="BQ87" i="13" s="1"/>
  <c r="BS87" i="13" s="1"/>
  <c r="AC87" i="16" s="1"/>
  <c r="BL193" i="13"/>
  <c r="BP193" i="13" s="1"/>
  <c r="BK193" i="13"/>
  <c r="BO193" i="13" s="1"/>
  <c r="BK116" i="13"/>
  <c r="BO116" i="13" s="1"/>
  <c r="BL116" i="13"/>
  <c r="BP116" i="13" s="1"/>
  <c r="BN59" i="13"/>
  <c r="BR59" i="13" s="1"/>
  <c r="BM59" i="13"/>
  <c r="BQ59" i="13" s="1"/>
  <c r="BS59" i="13" s="1"/>
  <c r="AC59" i="16" s="1"/>
  <c r="BL260" i="13"/>
  <c r="BP260" i="13" s="1"/>
  <c r="BK260" i="13"/>
  <c r="BO260" i="13" s="1"/>
  <c r="BK54" i="13"/>
  <c r="BO54" i="13" s="1"/>
  <c r="BL54" i="13"/>
  <c r="BP54" i="13" s="1"/>
  <c r="BL191" i="13"/>
  <c r="BP191" i="13" s="1"/>
  <c r="BK191" i="13"/>
  <c r="BO191" i="13" s="1"/>
  <c r="BK50" i="13"/>
  <c r="BO50" i="13" s="1"/>
  <c r="BL50" i="13"/>
  <c r="BP50" i="13" s="1"/>
  <c r="BN211" i="13"/>
  <c r="BR211" i="13" s="1"/>
  <c r="BM211" i="13"/>
  <c r="BQ211" i="13" s="1"/>
  <c r="BS211" i="13" s="1"/>
  <c r="AC211" i="16" s="1"/>
  <c r="BM220" i="13"/>
  <c r="BQ220" i="13" s="1"/>
  <c r="BS220" i="13" s="1"/>
  <c r="AC220" i="16" s="1"/>
  <c r="BN220" i="13"/>
  <c r="BR220" i="13" s="1"/>
  <c r="BN133" i="13"/>
  <c r="BR133" i="13" s="1"/>
  <c r="BM133" i="13"/>
  <c r="BQ133" i="13" s="1"/>
  <c r="BS133" i="13" s="1"/>
  <c r="AC133" i="16" s="1"/>
  <c r="AK159" i="13"/>
  <c r="BN159" i="13"/>
  <c r="BR159" i="13" s="1"/>
  <c r="BM159" i="13"/>
  <c r="BQ159" i="13" s="1"/>
  <c r="BS159" i="13" s="1"/>
  <c r="AC159" i="16" s="1"/>
  <c r="BL215" i="13"/>
  <c r="BP215" i="13" s="1"/>
  <c r="BK215" i="13"/>
  <c r="BO215" i="13" s="1"/>
  <c r="BL242" i="13"/>
  <c r="BK242" i="13"/>
  <c r="BL257" i="13"/>
  <c r="BP257" i="13" s="1"/>
  <c r="BK257" i="13"/>
  <c r="BO257" i="13" s="1"/>
  <c r="AT159" i="13"/>
  <c r="AX159" i="13" s="1"/>
  <c r="AT215" i="13"/>
  <c r="AX215" i="13" s="1"/>
  <c r="AV65" i="13"/>
  <c r="AZ65" i="13" s="1"/>
  <c r="BB65" i="13" s="1"/>
  <c r="AT226" i="13"/>
  <c r="AX226" i="13" s="1"/>
  <c r="AD215" i="13"/>
  <c r="AN215" i="13" s="1"/>
  <c r="CK215" i="13" s="1"/>
  <c r="AD122" i="13"/>
  <c r="AN122" i="13" s="1"/>
  <c r="CK122" i="13" s="1"/>
  <c r="AK260" i="13"/>
  <c r="AK247" i="13"/>
  <c r="AD251" i="13"/>
  <c r="AN251" i="13" s="1"/>
  <c r="CK251" i="13" s="1"/>
  <c r="BN32" i="13"/>
  <c r="BR32" i="13" s="1"/>
  <c r="BM32" i="13"/>
  <c r="BQ32" i="13" s="1"/>
  <c r="BS32" i="13" s="1"/>
  <c r="AC32" i="16" s="1"/>
  <c r="BN105" i="13"/>
  <c r="BR105" i="13" s="1"/>
  <c r="BM105" i="13"/>
  <c r="BQ105" i="13" s="1"/>
  <c r="BS105" i="13" s="1"/>
  <c r="AC105" i="16" s="1"/>
  <c r="BN52" i="13"/>
  <c r="BR52" i="13" s="1"/>
  <c r="BM52" i="13"/>
  <c r="BQ52" i="13" s="1"/>
  <c r="BS52" i="13" s="1"/>
  <c r="AC52" i="16" s="1"/>
  <c r="BN116" i="13"/>
  <c r="BR116" i="13" s="1"/>
  <c r="BM116" i="13"/>
  <c r="BQ116" i="13" s="1"/>
  <c r="BS116" i="13" s="1"/>
  <c r="AC116" i="16" s="1"/>
  <c r="BN114" i="13"/>
  <c r="BR114" i="13" s="1"/>
  <c r="BM114" i="13"/>
  <c r="BQ114" i="13" s="1"/>
  <c r="BS114" i="13" s="1"/>
  <c r="AC114" i="16" s="1"/>
  <c r="BN109" i="13"/>
  <c r="BR109" i="13" s="1"/>
  <c r="BM109" i="13"/>
  <c r="BQ109" i="13" s="1"/>
  <c r="AA68" i="13"/>
  <c r="AK68" i="13" s="1"/>
  <c r="BN68" i="13"/>
  <c r="BR68" i="13" s="1"/>
  <c r="BM68" i="13"/>
  <c r="BQ68" i="13" s="1"/>
  <c r="BS68" i="13" s="1"/>
  <c r="AC68" i="16" s="1"/>
  <c r="BN172" i="13"/>
  <c r="BR172" i="13" s="1"/>
  <c r="BM172" i="13"/>
  <c r="BQ172" i="13" s="1"/>
  <c r="BS172" i="13" s="1"/>
  <c r="AC172" i="16" s="1"/>
  <c r="BN143" i="13"/>
  <c r="BR143" i="13" s="1"/>
  <c r="BM143" i="13"/>
  <c r="BQ143" i="13" s="1"/>
  <c r="BS143" i="13" s="1"/>
  <c r="AC143" i="16" s="1"/>
  <c r="BN89" i="13"/>
  <c r="BR89" i="13" s="1"/>
  <c r="BM89" i="13"/>
  <c r="BQ89" i="13" s="1"/>
  <c r="BS89" i="13" s="1"/>
  <c r="AC89" i="16" s="1"/>
  <c r="BN72" i="13"/>
  <c r="BR72" i="13" s="1"/>
  <c r="BM72" i="13"/>
  <c r="BQ72" i="13" s="1"/>
  <c r="BS72" i="13" s="1"/>
  <c r="AC72" i="16" s="1"/>
  <c r="AW163" i="13"/>
  <c r="BA163" i="13" s="1"/>
  <c r="CN163" i="13" s="1"/>
  <c r="BN163" i="13"/>
  <c r="BR163" i="13" s="1"/>
  <c r="BM163" i="13"/>
  <c r="BQ163" i="13" s="1"/>
  <c r="BN257" i="13"/>
  <c r="BR257" i="13" s="1"/>
  <c r="BM257" i="13"/>
  <c r="BQ257" i="13" s="1"/>
  <c r="BS257" i="13" s="1"/>
  <c r="AC257" i="16" s="1"/>
  <c r="BN111" i="13"/>
  <c r="BR111" i="13" s="1"/>
  <c r="BM111" i="13"/>
  <c r="BQ111" i="13" s="1"/>
  <c r="BS111" i="13" s="1"/>
  <c r="AC111" i="16" s="1"/>
  <c r="BN183" i="13"/>
  <c r="BR183" i="13" s="1"/>
  <c r="BM183" i="13"/>
  <c r="BQ183" i="13" s="1"/>
  <c r="BS183" i="13" s="1"/>
  <c r="AC183" i="16" s="1"/>
  <c r="BN91" i="13"/>
  <c r="BR91" i="13" s="1"/>
  <c r="BM91" i="13"/>
  <c r="BQ91" i="13" s="1"/>
  <c r="BK100" i="13"/>
  <c r="BO100" i="13" s="1"/>
  <c r="BL100" i="13"/>
  <c r="BP100" i="13" s="1"/>
  <c r="BS100" i="13" s="1"/>
  <c r="AC100" i="16" s="1"/>
  <c r="BK84" i="13"/>
  <c r="BO84" i="13" s="1"/>
  <c r="BL84" i="13"/>
  <c r="BP84" i="13" s="1"/>
  <c r="BL107" i="13"/>
  <c r="BP107" i="13" s="1"/>
  <c r="BK107" i="13"/>
  <c r="BO107" i="13" s="1"/>
  <c r="BK166" i="13"/>
  <c r="BO166" i="13" s="1"/>
  <c r="BL166" i="13"/>
  <c r="BP166" i="13" s="1"/>
  <c r="BL23" i="13"/>
  <c r="BP23" i="13" s="1"/>
  <c r="BK23" i="13"/>
  <c r="BO23" i="13" s="1"/>
  <c r="BL5" i="13"/>
  <c r="BP5" i="13" s="1"/>
  <c r="BK5" i="13"/>
  <c r="BO5" i="13" s="1"/>
  <c r="AD225" i="13"/>
  <c r="AN225" i="13" s="1"/>
  <c r="CK225" i="13" s="1"/>
  <c r="BM225" i="13"/>
  <c r="BQ225" i="13" s="1"/>
  <c r="BN225" i="13"/>
  <c r="BR225" i="13" s="1"/>
  <c r="BL185" i="13"/>
  <c r="BP185" i="13" s="1"/>
  <c r="BK185" i="13"/>
  <c r="BO185" i="13" s="1"/>
  <c r="BK86" i="13"/>
  <c r="BO86" i="13" s="1"/>
  <c r="BL86" i="13"/>
  <c r="BP86" i="13" s="1"/>
  <c r="BS86" i="13" s="1"/>
  <c r="AC86" i="16" s="1"/>
  <c r="BL143" i="13"/>
  <c r="BP143" i="13" s="1"/>
  <c r="BK143" i="13"/>
  <c r="BO143" i="13" s="1"/>
  <c r="BM252" i="13"/>
  <c r="BQ252" i="13" s="1"/>
  <c r="BS252" i="13" s="1"/>
  <c r="AC252" i="16" s="1"/>
  <c r="BN252" i="13"/>
  <c r="BR252" i="13" s="1"/>
  <c r="BL63" i="13"/>
  <c r="BP63" i="13" s="1"/>
  <c r="BK63" i="13"/>
  <c r="BO63" i="13" s="1"/>
  <c r="BM235" i="13"/>
  <c r="BQ235" i="13" s="1"/>
  <c r="BS235" i="13" s="1"/>
  <c r="AC235" i="16" s="1"/>
  <c r="BN235" i="13"/>
  <c r="BR235" i="13" s="1"/>
  <c r="AB56" i="13"/>
  <c r="AL56" i="13" s="1"/>
  <c r="BN56" i="13"/>
  <c r="BR56" i="13" s="1"/>
  <c r="BM56" i="13"/>
  <c r="BQ56" i="13" s="1"/>
  <c r="BS56" i="13" s="1"/>
  <c r="AC56" i="16" s="1"/>
  <c r="BK108" i="13"/>
  <c r="BO108" i="13" s="1"/>
  <c r="BL108" i="13"/>
  <c r="BP108" i="13" s="1"/>
  <c r="BK205" i="13"/>
  <c r="BO205" i="13" s="1"/>
  <c r="BL205" i="13"/>
  <c r="BP205" i="13" s="1"/>
  <c r="BL160" i="13"/>
  <c r="BP160" i="13" s="1"/>
  <c r="BK160" i="13"/>
  <c r="BO160" i="13" s="1"/>
  <c r="AV96" i="13"/>
  <c r="AZ96" i="13" s="1"/>
  <c r="BB96" i="13" s="1"/>
  <c r="BN96" i="13"/>
  <c r="BR96" i="13" s="1"/>
  <c r="BM96" i="13"/>
  <c r="BQ96" i="13" s="1"/>
  <c r="BS96" i="13" s="1"/>
  <c r="AC96" i="16" s="1"/>
  <c r="BK25" i="13"/>
  <c r="BO25" i="13" s="1"/>
  <c r="BL25" i="13"/>
  <c r="BP25" i="13" s="1"/>
  <c r="BK102" i="13"/>
  <c r="BO102" i="13" s="1"/>
  <c r="BL102" i="13"/>
  <c r="BP102" i="13" s="1"/>
  <c r="BS102" i="13" s="1"/>
  <c r="AC102" i="16" s="1"/>
  <c r="BK137" i="13"/>
  <c r="BO137" i="13" s="1"/>
  <c r="BL137" i="13"/>
  <c r="BP137" i="13" s="1"/>
  <c r="BL155" i="13"/>
  <c r="BP155" i="13" s="1"/>
  <c r="BK155" i="13"/>
  <c r="BO155" i="13" s="1"/>
  <c r="BK72" i="13"/>
  <c r="BO72" i="13" s="1"/>
  <c r="BL72" i="13"/>
  <c r="BP72" i="13" s="1"/>
  <c r="BK158" i="13"/>
  <c r="BO158" i="13" s="1"/>
  <c r="BL158" i="13"/>
  <c r="BP158" i="13" s="1"/>
  <c r="BN73" i="13"/>
  <c r="BR73" i="13" s="1"/>
  <c r="BM73" i="13"/>
  <c r="BQ73" i="13" s="1"/>
  <c r="BS73" i="13" s="1"/>
  <c r="AC73" i="16" s="1"/>
  <c r="BN203" i="13"/>
  <c r="BR203" i="13" s="1"/>
  <c r="BM203" i="13"/>
  <c r="BQ203" i="13" s="1"/>
  <c r="BS203" i="13" s="1"/>
  <c r="AC203" i="16" s="1"/>
  <c r="BN101" i="13"/>
  <c r="BR101" i="13" s="1"/>
  <c r="BM101" i="13"/>
  <c r="BQ101" i="13" s="1"/>
  <c r="BS101" i="13" s="1"/>
  <c r="AC101" i="16" s="1"/>
  <c r="AW248" i="13"/>
  <c r="BA248" i="13" s="1"/>
  <c r="CN248" i="13" s="1"/>
  <c r="BM248" i="13"/>
  <c r="BQ248" i="13" s="1"/>
  <c r="BS248" i="13" s="1"/>
  <c r="AC248" i="16" s="1"/>
  <c r="BN248" i="13"/>
  <c r="BR248" i="13" s="1"/>
  <c r="BN110" i="13"/>
  <c r="BR110" i="13" s="1"/>
  <c r="BM110" i="13"/>
  <c r="BQ110" i="13" s="1"/>
  <c r="BS110" i="13" s="1"/>
  <c r="AC110" i="16" s="1"/>
  <c r="AC215" i="13"/>
  <c r="AM215" i="13" s="1"/>
  <c r="AO215" i="13" s="1"/>
  <c r="S215" i="16" s="1"/>
  <c r="AB122" i="13"/>
  <c r="AL122" i="13" s="1"/>
  <c r="AC49" i="13"/>
  <c r="AM49" i="13" s="1"/>
  <c r="AO49" i="13" s="1"/>
  <c r="S49" i="16" s="1"/>
  <c r="AC87" i="13"/>
  <c r="AM87" i="13" s="1"/>
  <c r="AO87" i="13" s="1"/>
  <c r="S87" i="16" s="1"/>
  <c r="AC251" i="13"/>
  <c r="AM251" i="13" s="1"/>
  <c r="AO251" i="13" s="1"/>
  <c r="S251" i="16" s="1"/>
  <c r="BN129" i="13"/>
  <c r="BR129" i="13" s="1"/>
  <c r="BM129" i="13"/>
  <c r="BQ129" i="13" s="1"/>
  <c r="BS129" i="13" s="1"/>
  <c r="AC129" i="16" s="1"/>
  <c r="BN62" i="13"/>
  <c r="BR62" i="13" s="1"/>
  <c r="BM62" i="13"/>
  <c r="BQ62" i="13" s="1"/>
  <c r="BS62" i="13" s="1"/>
  <c r="AC62" i="16" s="1"/>
  <c r="BM223" i="13"/>
  <c r="BQ223" i="13" s="1"/>
  <c r="BS223" i="13" s="1"/>
  <c r="AC223" i="16" s="1"/>
  <c r="BN223" i="13"/>
  <c r="BR223" i="13" s="1"/>
  <c r="BN107" i="13"/>
  <c r="BR107" i="13" s="1"/>
  <c r="BM107" i="13"/>
  <c r="BQ107" i="13" s="1"/>
  <c r="BM250" i="13"/>
  <c r="BQ250" i="13" s="1"/>
  <c r="BS250" i="13" s="1"/>
  <c r="AC250" i="16" s="1"/>
  <c r="BN250" i="13"/>
  <c r="BR250" i="13" s="1"/>
  <c r="BN137" i="13"/>
  <c r="BR137" i="13" s="1"/>
  <c r="BM137" i="13"/>
  <c r="BQ137" i="13" s="1"/>
  <c r="BS137" i="13" s="1"/>
  <c r="AC137" i="16" s="1"/>
  <c r="BN40" i="13"/>
  <c r="BR40" i="13" s="1"/>
  <c r="BM40" i="13"/>
  <c r="BQ40" i="13" s="1"/>
  <c r="BN86" i="13"/>
  <c r="BR86" i="13" s="1"/>
  <c r="BM86" i="13"/>
  <c r="BQ86" i="13" s="1"/>
  <c r="BN164" i="13"/>
  <c r="BR164" i="13" s="1"/>
  <c r="BM164" i="13"/>
  <c r="BQ164" i="13" s="1"/>
  <c r="BN173" i="13"/>
  <c r="BR173" i="13" s="1"/>
  <c r="BM173" i="13"/>
  <c r="BQ173" i="13" s="1"/>
  <c r="BS173" i="13" s="1"/>
  <c r="AC173" i="16" s="1"/>
  <c r="BN186" i="13"/>
  <c r="BR186" i="13" s="1"/>
  <c r="BM186" i="13"/>
  <c r="BQ186" i="13" s="1"/>
  <c r="BS186" i="13" s="1"/>
  <c r="AC186" i="16" s="1"/>
  <c r="BN74" i="13"/>
  <c r="BR74" i="13" s="1"/>
  <c r="BM74" i="13"/>
  <c r="BQ74" i="13" s="1"/>
  <c r="BS74" i="13" s="1"/>
  <c r="AC74" i="16" s="1"/>
  <c r="BR158" i="13"/>
  <c r="BQ158" i="13"/>
  <c r="BS158" i="13" s="1"/>
  <c r="AC158" i="16" s="1"/>
  <c r="BN76" i="13"/>
  <c r="BR76" i="13" s="1"/>
  <c r="BM76" i="13"/>
  <c r="BQ76" i="13" s="1"/>
  <c r="BS76" i="13" s="1"/>
  <c r="AC76" i="16" s="1"/>
  <c r="BN113" i="13"/>
  <c r="BR113" i="13" s="1"/>
  <c r="BM113" i="13"/>
  <c r="BQ113" i="13" s="1"/>
  <c r="BS113" i="13" s="1"/>
  <c r="AC113" i="16" s="1"/>
  <c r="BN210" i="13"/>
  <c r="BR210" i="13" s="1"/>
  <c r="BM210" i="13"/>
  <c r="BQ210" i="13" s="1"/>
  <c r="BS210" i="13" s="1"/>
  <c r="AC210" i="16" s="1"/>
  <c r="BN100" i="13"/>
  <c r="BR100" i="13" s="1"/>
  <c r="BM100" i="13"/>
  <c r="BQ100" i="13" s="1"/>
  <c r="BN84" i="13"/>
  <c r="BR84" i="13" s="1"/>
  <c r="BM84" i="13"/>
  <c r="BQ84" i="13" s="1"/>
  <c r="BS84" i="13" s="1"/>
  <c r="AC84" i="16" s="1"/>
  <c r="BK74" i="13"/>
  <c r="BO74" i="13" s="1"/>
  <c r="BL74" i="13"/>
  <c r="BP74" i="13" s="1"/>
  <c r="BN166" i="13"/>
  <c r="BR166" i="13" s="1"/>
  <c r="BM166" i="13"/>
  <c r="BQ166" i="13" s="1"/>
  <c r="BS166" i="13" s="1"/>
  <c r="AC166" i="16" s="1"/>
  <c r="BL87" i="13"/>
  <c r="BP87" i="13" s="1"/>
  <c r="BK87" i="13"/>
  <c r="BO87" i="13" s="1"/>
  <c r="BK104" i="13"/>
  <c r="BO104" i="13" s="1"/>
  <c r="BL104" i="13"/>
  <c r="BP104" i="13" s="1"/>
  <c r="BS104" i="13" s="1"/>
  <c r="AC104" i="16" s="1"/>
  <c r="BL226" i="13"/>
  <c r="BP226" i="13" s="1"/>
  <c r="BK226" i="13"/>
  <c r="BO226" i="13" s="1"/>
  <c r="BN185" i="13"/>
  <c r="BR185" i="13" s="1"/>
  <c r="BM185" i="13"/>
  <c r="BQ185" i="13" s="1"/>
  <c r="BS185" i="13" s="1"/>
  <c r="AC185" i="16" s="1"/>
  <c r="BK70" i="13"/>
  <c r="BO70" i="13" s="1"/>
  <c r="BL70" i="13"/>
  <c r="BP70" i="13" s="1"/>
  <c r="BK174" i="13"/>
  <c r="BO174" i="13" s="1"/>
  <c r="BL174" i="13"/>
  <c r="BP174" i="13" s="1"/>
  <c r="BL167" i="13"/>
  <c r="BP167" i="13" s="1"/>
  <c r="BK167" i="13"/>
  <c r="BO167" i="13" s="1"/>
  <c r="BL161" i="13"/>
  <c r="BP161" i="13" s="1"/>
  <c r="BK161" i="13"/>
  <c r="BO161" i="13" s="1"/>
  <c r="BL258" i="13"/>
  <c r="BP258" i="13" s="1"/>
  <c r="BK258" i="13"/>
  <c r="BO258" i="13" s="1"/>
  <c r="BK8" i="13"/>
  <c r="BO8" i="13" s="1"/>
  <c r="BL8" i="13"/>
  <c r="BP8" i="13" s="1"/>
  <c r="BL59" i="13"/>
  <c r="BP59" i="13" s="1"/>
  <c r="BK59" i="13"/>
  <c r="BO59" i="13" s="1"/>
  <c r="BN108" i="13"/>
  <c r="BR108" i="13" s="1"/>
  <c r="BM108" i="13"/>
  <c r="BQ108" i="13" s="1"/>
  <c r="BN205" i="13"/>
  <c r="BR205" i="13" s="1"/>
  <c r="BM205" i="13"/>
  <c r="BQ205" i="13" s="1"/>
  <c r="BS205" i="13" s="1"/>
  <c r="AC205" i="16" s="1"/>
  <c r="BN160" i="13"/>
  <c r="BR160" i="13" s="1"/>
  <c r="BM160" i="13"/>
  <c r="BQ160" i="13" s="1"/>
  <c r="BS160" i="13" s="1"/>
  <c r="AC160" i="16" s="1"/>
  <c r="BK36" i="13"/>
  <c r="BO36" i="13" s="1"/>
  <c r="BL36" i="13"/>
  <c r="BP36" i="13" s="1"/>
  <c r="BL192" i="13"/>
  <c r="BP192" i="13" s="1"/>
  <c r="BK192" i="13"/>
  <c r="BO192" i="13" s="1"/>
  <c r="BN25" i="13"/>
  <c r="BR25" i="13" s="1"/>
  <c r="BM25" i="13"/>
  <c r="BQ25" i="13" s="1"/>
  <c r="BS25" i="13" s="1"/>
  <c r="AC25" i="16" s="1"/>
  <c r="BK213" i="13"/>
  <c r="BO213" i="13" s="1"/>
  <c r="BL213" i="13"/>
  <c r="BP213" i="13" s="1"/>
  <c r="BK182" i="13"/>
  <c r="BO182" i="13" s="1"/>
  <c r="BL182" i="13"/>
  <c r="BP182" i="13" s="1"/>
  <c r="BL223" i="13"/>
  <c r="BP223" i="13" s="1"/>
  <c r="BK223" i="13"/>
  <c r="BO223" i="13" s="1"/>
  <c r="BL250" i="13"/>
  <c r="BP250" i="13" s="1"/>
  <c r="BK250" i="13"/>
  <c r="BO250" i="13" s="1"/>
  <c r="BK106" i="13"/>
  <c r="BO106" i="13" s="1"/>
  <c r="BL106" i="13"/>
  <c r="BP106" i="13" s="1"/>
  <c r="BL243" i="13"/>
  <c r="BP243" i="13" s="1"/>
  <c r="BK243" i="13"/>
  <c r="BO243" i="13" s="1"/>
  <c r="BL163" i="13"/>
  <c r="BP163" i="13" s="1"/>
  <c r="BK163" i="13"/>
  <c r="BO163" i="13" s="1"/>
  <c r="AU56" i="13"/>
  <c r="AY56" i="13" s="1"/>
  <c r="AD165" i="13"/>
  <c r="AN165" i="13" s="1"/>
  <c r="CK165" i="13" s="1"/>
  <c r="AK193" i="13"/>
  <c r="AK155" i="13"/>
  <c r="AB36" i="13"/>
  <c r="AL36" i="13" s="1"/>
  <c r="AD220" i="13"/>
  <c r="AN220" i="13" s="1"/>
  <c r="CK220" i="13" s="1"/>
  <c r="AT167" i="13"/>
  <c r="AX167" i="13" s="1"/>
  <c r="AU159" i="13"/>
  <c r="AY159" i="13" s="1"/>
  <c r="AV239" i="13"/>
  <c r="AZ239" i="13" s="1"/>
  <c r="BB239" i="13" s="1"/>
  <c r="AV110" i="13"/>
  <c r="AZ110" i="13" s="1"/>
  <c r="BB110" i="13" s="1"/>
  <c r="AT104" i="13"/>
  <c r="AX104" i="13" s="1"/>
  <c r="AT260" i="13"/>
  <c r="AX260" i="13" s="1"/>
  <c r="AV49" i="13"/>
  <c r="AZ49" i="13" s="1"/>
  <c r="BB49" i="13" s="1"/>
  <c r="AV258" i="13"/>
  <c r="AZ258" i="13" s="1"/>
  <c r="BB258" i="13" s="1"/>
  <c r="AV226" i="13"/>
  <c r="AZ226" i="13" s="1"/>
  <c r="AV176" i="13"/>
  <c r="AZ176" i="13" s="1"/>
  <c r="BB176" i="13" s="1"/>
  <c r="AC258" i="13"/>
  <c r="AM258" i="13" s="1"/>
  <c r="AO258" i="13" s="1"/>
  <c r="S258" i="16" s="1"/>
  <c r="AC239" i="13"/>
  <c r="AM239" i="13" s="1"/>
  <c r="AO239" i="13" s="1"/>
  <c r="S239" i="16" s="1"/>
  <c r="AC176" i="13"/>
  <c r="AM176" i="13" s="1"/>
  <c r="AO176" i="13" s="1"/>
  <c r="S176" i="16" s="1"/>
  <c r="AD167" i="13"/>
  <c r="AN167" i="13" s="1"/>
  <c r="CK167" i="13" s="1"/>
  <c r="AD36" i="13"/>
  <c r="AN36" i="13" s="1"/>
  <c r="CK36" i="13" s="1"/>
  <c r="AD248" i="13"/>
  <c r="AN248" i="13" s="1"/>
  <c r="CK248" i="13" s="1"/>
  <c r="AC226" i="13"/>
  <c r="AM226" i="13" s="1"/>
  <c r="AD224" i="13"/>
  <c r="AN224" i="13" s="1"/>
  <c r="CK224" i="13" s="1"/>
  <c r="AT232" i="13"/>
  <c r="AX232" i="13" s="1"/>
  <c r="AK227" i="13"/>
  <c r="AW179" i="13"/>
  <c r="BA179" i="13" s="1"/>
  <c r="CN179" i="13" s="1"/>
  <c r="AD219" i="13"/>
  <c r="AN219" i="13" s="1"/>
  <c r="CK219" i="13" s="1"/>
  <c r="AA50" i="13"/>
  <c r="AK50" i="13" s="1"/>
  <c r="AA63" i="13"/>
  <c r="AK63" i="13" s="1"/>
  <c r="AC206" i="13"/>
  <c r="AM206" i="13" s="1"/>
  <c r="AO206" i="13" s="1"/>
  <c r="S206" i="16" s="1"/>
  <c r="AB7" i="13"/>
  <c r="AL7" i="13" s="1"/>
  <c r="AV246" i="13"/>
  <c r="AZ246" i="13" s="1"/>
  <c r="BB246" i="13" s="1"/>
  <c r="AK228" i="13"/>
  <c r="AU23" i="13"/>
  <c r="AY23" i="13" s="1"/>
  <c r="AW104" i="13"/>
  <c r="BA104" i="13" s="1"/>
  <c r="CN104" i="13" s="1"/>
  <c r="AD258" i="13"/>
  <c r="AN258" i="13" s="1"/>
  <c r="CK258" i="13" s="1"/>
  <c r="AD211" i="13"/>
  <c r="AN211" i="13" s="1"/>
  <c r="CK211" i="13" s="1"/>
  <c r="AB75" i="13"/>
  <c r="AL75" i="13" s="1"/>
  <c r="AD203" i="13"/>
  <c r="AN203" i="13" s="1"/>
  <c r="CK203" i="13" s="1"/>
  <c r="AB70" i="13"/>
  <c r="AL70" i="13" s="1"/>
  <c r="AU167" i="13"/>
  <c r="AY167" i="13" s="1"/>
  <c r="AV159" i="13"/>
  <c r="AZ159" i="13" s="1"/>
  <c r="BB159" i="13" s="1"/>
  <c r="AT239" i="13"/>
  <c r="AX239" i="13" s="1"/>
  <c r="AW110" i="13"/>
  <c r="BA110" i="13" s="1"/>
  <c r="CN110" i="13" s="1"/>
  <c r="AU260" i="13"/>
  <c r="AY260" i="13" s="1"/>
  <c r="AW49" i="13"/>
  <c r="BA49" i="13" s="1"/>
  <c r="CN49" i="13" s="1"/>
  <c r="AT258" i="13"/>
  <c r="AX258" i="13" s="1"/>
  <c r="AW226" i="13"/>
  <c r="BA226" i="13" s="1"/>
  <c r="CN226" i="13" s="1"/>
  <c r="AW176" i="13"/>
  <c r="BA176" i="13" s="1"/>
  <c r="CN176" i="13" s="1"/>
  <c r="AB258" i="13"/>
  <c r="AL258" i="13" s="1"/>
  <c r="AB239" i="13"/>
  <c r="AL239" i="13" s="1"/>
  <c r="AD176" i="13"/>
  <c r="AN176" i="13" s="1"/>
  <c r="CK176" i="13" s="1"/>
  <c r="AB49" i="13"/>
  <c r="AL49" i="13" s="1"/>
  <c r="AC36" i="13"/>
  <c r="AM36" i="13" s="1"/>
  <c r="AO36" i="13" s="1"/>
  <c r="S36" i="16" s="1"/>
  <c r="AC248" i="13"/>
  <c r="AM248" i="13" s="1"/>
  <c r="AO248" i="13" s="1"/>
  <c r="S248" i="16" s="1"/>
  <c r="AB226" i="13"/>
  <c r="AL226" i="13" s="1"/>
  <c r="AC224" i="13"/>
  <c r="AM224" i="13" s="1"/>
  <c r="AO224" i="13" s="1"/>
  <c r="S224" i="16" s="1"/>
  <c r="AT134" i="13"/>
  <c r="AX134" i="13" s="1"/>
  <c r="AW130" i="13"/>
  <c r="BA130" i="13" s="1"/>
  <c r="CN130" i="13" s="1"/>
  <c r="AB187" i="13"/>
  <c r="AL187" i="13" s="1"/>
  <c r="AW5" i="13"/>
  <c r="BA5" i="13" s="1"/>
  <c r="CN5" i="13" s="1"/>
  <c r="AW112" i="13"/>
  <c r="BA112" i="13" s="1"/>
  <c r="CN112" i="13" s="1"/>
  <c r="AB233" i="13"/>
  <c r="AL233" i="13" s="1"/>
  <c r="AB79" i="13"/>
  <c r="AL79" i="13" s="1"/>
  <c r="AC191" i="13"/>
  <c r="AM191" i="13" s="1"/>
  <c r="AO191" i="13" s="1"/>
  <c r="S191" i="16" s="1"/>
  <c r="AB156" i="13"/>
  <c r="AL156" i="13" s="1"/>
  <c r="AB123" i="13"/>
  <c r="AL123" i="13" s="1"/>
  <c r="AV167" i="13"/>
  <c r="AZ167" i="13" s="1"/>
  <c r="BB167" i="13" s="1"/>
  <c r="AU239" i="13"/>
  <c r="AY239" i="13" s="1"/>
  <c r="AU248" i="13"/>
  <c r="AY248" i="13" s="1"/>
  <c r="AT36" i="13"/>
  <c r="AX36" i="13" s="1"/>
  <c r="AT87" i="13"/>
  <c r="AX87" i="13" s="1"/>
  <c r="AV104" i="13"/>
  <c r="AZ104" i="13" s="1"/>
  <c r="AW260" i="13"/>
  <c r="BA260" i="13" s="1"/>
  <c r="CN260" i="13" s="1"/>
  <c r="AT49" i="13"/>
  <c r="AX49" i="13" s="1"/>
  <c r="AT59" i="13"/>
  <c r="AX59" i="13" s="1"/>
  <c r="AW224" i="13"/>
  <c r="BA224" i="13" s="1"/>
  <c r="CN224" i="13" s="1"/>
  <c r="AK258" i="13"/>
  <c r="AK239" i="13"/>
  <c r="AB176" i="13"/>
  <c r="AL176" i="13" s="1"/>
  <c r="AB167" i="13"/>
  <c r="AL167" i="13" s="1"/>
  <c r="AD104" i="13"/>
  <c r="AN104" i="13" s="1"/>
  <c r="CK104" i="13" s="1"/>
  <c r="AA36" i="13"/>
  <c r="AK36" i="13" s="1"/>
  <c r="AB248" i="13"/>
  <c r="AL248" i="13" s="1"/>
  <c r="AB224" i="13"/>
  <c r="AL224" i="13" s="1"/>
  <c r="AC60" i="13"/>
  <c r="AM60" i="13" s="1"/>
  <c r="AD119" i="13"/>
  <c r="AN119" i="13" s="1"/>
  <c r="CK119" i="13" s="1"/>
  <c r="AT126" i="13"/>
  <c r="AX126" i="13" s="1"/>
  <c r="AB231" i="13"/>
  <c r="AL231" i="13" s="1"/>
  <c r="AK195" i="13"/>
  <c r="AU54" i="13"/>
  <c r="AY54" i="13" s="1"/>
  <c r="AD88" i="13"/>
  <c r="AN88" i="13" s="1"/>
  <c r="CK88" i="13" s="1"/>
  <c r="AW182" i="13"/>
  <c r="BA182" i="13" s="1"/>
  <c r="CN182" i="13" s="1"/>
  <c r="AT115" i="13"/>
  <c r="AX115" i="13" s="1"/>
  <c r="AC6" i="13"/>
  <c r="AM6" i="13" s="1"/>
  <c r="AO6" i="13" s="1"/>
  <c r="S6" i="16" s="1"/>
  <c r="AK141" i="13"/>
  <c r="AD189" i="13"/>
  <c r="AN189" i="13" s="1"/>
  <c r="CK189" i="13" s="1"/>
  <c r="AK200" i="13"/>
  <c r="AK243" i="13"/>
  <c r="AK177" i="13"/>
  <c r="AD190" i="13"/>
  <c r="AN190" i="13" s="1"/>
  <c r="CK190" i="13" s="1"/>
  <c r="AB216" i="13"/>
  <c r="AL216" i="13" s="1"/>
  <c r="AB142" i="13"/>
  <c r="AL142" i="13" s="1"/>
  <c r="AC234" i="13"/>
  <c r="AM234" i="13" s="1"/>
  <c r="AO234" i="13" s="1"/>
  <c r="S234" i="16" s="1"/>
  <c r="AU226" i="13"/>
  <c r="AY226" i="13" s="1"/>
  <c r="AU49" i="13"/>
  <c r="AY49" i="13" s="1"/>
  <c r="AT224" i="13"/>
  <c r="AX224" i="13" s="1"/>
  <c r="AC59" i="13"/>
  <c r="AM59" i="13" s="1"/>
  <c r="AO59" i="13" s="1"/>
  <c r="S59" i="16" s="1"/>
  <c r="AK176" i="13"/>
  <c r="AK167" i="13"/>
  <c r="AB104" i="13"/>
  <c r="AL104" i="13" s="1"/>
  <c r="AD260" i="13"/>
  <c r="AN260" i="13" s="1"/>
  <c r="CK260" i="13" s="1"/>
  <c r="AK248" i="13"/>
  <c r="AD226" i="13"/>
  <c r="AN226" i="13" s="1"/>
  <c r="CK226" i="13" s="1"/>
  <c r="AK224" i="13"/>
  <c r="AV118" i="13"/>
  <c r="AZ118" i="13" s="1"/>
  <c r="AK151" i="13"/>
  <c r="AB71" i="13"/>
  <c r="AL71" i="13" s="1"/>
  <c r="AT188" i="13"/>
  <c r="AX188" i="13" s="1"/>
  <c r="AK208" i="13"/>
  <c r="AB161" i="13"/>
  <c r="AL161" i="13" s="1"/>
  <c r="AK102" i="13"/>
  <c r="AA8" i="13"/>
  <c r="AK8" i="13" s="1"/>
  <c r="AC192" i="13"/>
  <c r="AM192" i="13" s="1"/>
  <c r="AO192" i="13" s="1"/>
  <c r="AK140" i="13"/>
  <c r="AC97" i="13"/>
  <c r="AM97" i="13" s="1"/>
  <c r="AV174" i="13"/>
  <c r="AZ174" i="13" s="1"/>
  <c r="BB174" i="13" s="1"/>
  <c r="AU83" i="13"/>
  <c r="AY83" i="13" s="1"/>
  <c r="AK103" i="13"/>
  <c r="AV213" i="13"/>
  <c r="AZ213" i="13" s="1"/>
  <c r="BB213" i="13" s="1"/>
  <c r="AB196" i="13"/>
  <c r="AL196" i="13" s="1"/>
  <c r="AV212" i="13"/>
  <c r="AZ212" i="13" s="1"/>
  <c r="BB212" i="13" s="1"/>
  <c r="AT133" i="13"/>
  <c r="AX133" i="13" s="1"/>
  <c r="AW239" i="13"/>
  <c r="BA239" i="13" s="1"/>
  <c r="CN239" i="13" s="1"/>
  <c r="AU87" i="13"/>
  <c r="AY87" i="13" s="1"/>
  <c r="AU59" i="13"/>
  <c r="AY59" i="13" s="1"/>
  <c r="AV87" i="13"/>
  <c r="AZ87" i="13" s="1"/>
  <c r="BB87" i="13" s="1"/>
  <c r="AV59" i="13"/>
  <c r="AZ59" i="13" s="1"/>
  <c r="BB59" i="13" s="1"/>
  <c r="AU224" i="13"/>
  <c r="AY224" i="13" s="1"/>
  <c r="AD59" i="13"/>
  <c r="AN59" i="13" s="1"/>
  <c r="CK59" i="13" s="1"/>
  <c r="AC104" i="13"/>
  <c r="AM104" i="13" s="1"/>
  <c r="AB110" i="13"/>
  <c r="AL110" i="13" s="1"/>
  <c r="AA32" i="13"/>
  <c r="AK32" i="13" s="1"/>
  <c r="AK105" i="13"/>
  <c r="AA52" i="13"/>
  <c r="AK52" i="13" s="1"/>
  <c r="AB116" i="13"/>
  <c r="AL116" i="13" s="1"/>
  <c r="AK114" i="13"/>
  <c r="AT109" i="13"/>
  <c r="AX109" i="13" s="1"/>
  <c r="AC68" i="13"/>
  <c r="AM68" i="13" s="1"/>
  <c r="AO68" i="13" s="1"/>
  <c r="S68" i="16" s="1"/>
  <c r="AC172" i="13"/>
  <c r="AM172" i="13" s="1"/>
  <c r="AO172" i="13" s="1"/>
  <c r="S172" i="16" s="1"/>
  <c r="AC143" i="13"/>
  <c r="AM143" i="13" s="1"/>
  <c r="AO143" i="13" s="1"/>
  <c r="S143" i="16" s="1"/>
  <c r="AA89" i="13"/>
  <c r="AK89" i="13" s="1"/>
  <c r="AW72" i="13"/>
  <c r="BA72" i="13" s="1"/>
  <c r="CN72" i="13" s="1"/>
  <c r="AU163" i="13"/>
  <c r="AY163" i="13" s="1"/>
  <c r="AT257" i="13"/>
  <c r="AX257" i="13" s="1"/>
  <c r="AW225" i="13"/>
  <c r="BA225" i="13" s="1"/>
  <c r="CN225" i="13" s="1"/>
  <c r="AU252" i="13"/>
  <c r="AY252" i="13" s="1"/>
  <c r="AK235" i="13"/>
  <c r="AD56" i="13"/>
  <c r="AN56" i="13" s="1"/>
  <c r="CK56" i="13" s="1"/>
  <c r="AA96" i="13"/>
  <c r="AK96" i="13" s="1"/>
  <c r="AK106" i="13"/>
  <c r="AD87" i="13"/>
  <c r="AN87" i="13" s="1"/>
  <c r="CK87" i="13" s="1"/>
  <c r="AU73" i="13"/>
  <c r="AY73" i="13" s="1"/>
  <c r="AC238" i="13"/>
  <c r="AM238" i="13" s="1"/>
  <c r="AO238" i="13" s="1"/>
  <c r="S238" i="16" s="1"/>
  <c r="AW167" i="13"/>
  <c r="BA167" i="13" s="1"/>
  <c r="CN167" i="13" s="1"/>
  <c r="AV248" i="13"/>
  <c r="AZ248" i="13" s="1"/>
  <c r="BB248" i="13" s="1"/>
  <c r="AW36" i="13"/>
  <c r="BA36" i="13" s="1"/>
  <c r="CN36" i="13" s="1"/>
  <c r="AT248" i="13"/>
  <c r="AX248" i="13" s="1"/>
  <c r="AV36" i="13"/>
  <c r="AZ36" i="13" s="1"/>
  <c r="BB36" i="13" s="1"/>
  <c r="AW87" i="13"/>
  <c r="BA87" i="13" s="1"/>
  <c r="CN87" i="13" s="1"/>
  <c r="AW59" i="13"/>
  <c r="BA59" i="13" s="1"/>
  <c r="CN59" i="13" s="1"/>
  <c r="AV224" i="13"/>
  <c r="AZ224" i="13" s="1"/>
  <c r="BB224" i="13" s="1"/>
  <c r="AB59" i="13"/>
  <c r="AL59" i="13" s="1"/>
  <c r="AC159" i="13"/>
  <c r="AM159" i="13" s="1"/>
  <c r="AO159" i="13" s="1"/>
  <c r="S159" i="16" s="1"/>
  <c r="AK104" i="13"/>
  <c r="AB260" i="13"/>
  <c r="AL260" i="13" s="1"/>
  <c r="AA87" i="13"/>
  <c r="AK87" i="13" s="1"/>
  <c r="AD110" i="13"/>
  <c r="AN110" i="13" s="1"/>
  <c r="CK110" i="13" s="1"/>
  <c r="AB129" i="13"/>
  <c r="AL129" i="13" s="1"/>
  <c r="AC223" i="13"/>
  <c r="AM223" i="13" s="1"/>
  <c r="AO223" i="13" s="1"/>
  <c r="S223" i="16" s="1"/>
  <c r="AK107" i="13"/>
  <c r="AK250" i="13"/>
  <c r="AD137" i="13"/>
  <c r="AN137" i="13" s="1"/>
  <c r="CK137" i="13" s="1"/>
  <c r="AD40" i="13"/>
  <c r="AN40" i="13" s="1"/>
  <c r="CK40" i="13" s="1"/>
  <c r="AT86" i="13"/>
  <c r="AX86" i="13" s="1"/>
  <c r="AK164" i="13"/>
  <c r="AC173" i="13"/>
  <c r="AM173" i="13" s="1"/>
  <c r="AO173" i="13" s="1"/>
  <c r="S173" i="16" s="1"/>
  <c r="AB186" i="13"/>
  <c r="AL186" i="13" s="1"/>
  <c r="AC74" i="13"/>
  <c r="AM74" i="13" s="1"/>
  <c r="AO74" i="13" s="1"/>
  <c r="S74" i="16" s="1"/>
  <c r="AV158" i="13"/>
  <c r="AZ158" i="13" s="1"/>
  <c r="BB158" i="13" s="1"/>
  <c r="AD252" i="13"/>
  <c r="AN252" i="13" s="1"/>
  <c r="CK252" i="13" s="1"/>
  <c r="AC56" i="13"/>
  <c r="AM56" i="13" s="1"/>
  <c r="AO56" i="13" s="1"/>
  <c r="S56" i="16" s="1"/>
  <c r="AW96" i="13"/>
  <c r="BA96" i="13" s="1"/>
  <c r="CN96" i="13" s="1"/>
  <c r="AW68" i="13"/>
  <c r="BA68" i="13" s="1"/>
  <c r="CN68" i="13" s="1"/>
  <c r="AB225" i="13"/>
  <c r="AL225" i="13" s="1"/>
  <c r="AC252" i="13"/>
  <c r="AM252" i="13" s="1"/>
  <c r="AO252" i="13" s="1"/>
  <c r="S252" i="16" s="1"/>
  <c r="AA56" i="13"/>
  <c r="AK56" i="13" s="1"/>
  <c r="AV235" i="13"/>
  <c r="AZ235" i="13" s="1"/>
  <c r="BB235" i="13" s="1"/>
  <c r="AB89" i="13"/>
  <c r="AL89" i="13" s="1"/>
  <c r="AU68" i="13"/>
  <c r="AY68" i="13" s="1"/>
  <c r="AT252" i="13"/>
  <c r="AX252" i="13" s="1"/>
  <c r="AV252" i="13"/>
  <c r="AZ252" i="13" s="1"/>
  <c r="BB252" i="13" s="1"/>
  <c r="AK225" i="13"/>
  <c r="AB252" i="13"/>
  <c r="AL252" i="13" s="1"/>
  <c r="AD235" i="13"/>
  <c r="AN235" i="13" s="1"/>
  <c r="CK235" i="13" s="1"/>
  <c r="AW252" i="13"/>
  <c r="BA252" i="13" s="1"/>
  <c r="CN252" i="13" s="1"/>
  <c r="AT225" i="13"/>
  <c r="AX225" i="13" s="1"/>
  <c r="AD96" i="13"/>
  <c r="AN96" i="13" s="1"/>
  <c r="CK96" i="13" s="1"/>
  <c r="AK252" i="13"/>
  <c r="AC235" i="13"/>
  <c r="AM235" i="13" s="1"/>
  <c r="AO235" i="13" s="1"/>
  <c r="S235" i="16" s="1"/>
  <c r="AK172" i="13"/>
  <c r="AU235" i="13"/>
  <c r="AY235" i="13" s="1"/>
  <c r="AW235" i="13"/>
  <c r="BA235" i="13" s="1"/>
  <c r="CN235" i="13" s="1"/>
  <c r="AT56" i="13"/>
  <c r="AX56" i="13" s="1"/>
  <c r="AU225" i="13"/>
  <c r="AY225" i="13" s="1"/>
  <c r="AV257" i="13"/>
  <c r="AZ257" i="13" s="1"/>
  <c r="BB257" i="13" s="1"/>
  <c r="AB96" i="13"/>
  <c r="AL96" i="13" s="1"/>
  <c r="AB235" i="13"/>
  <c r="AL235" i="13" s="1"/>
  <c r="AV56" i="13"/>
  <c r="AZ56" i="13" s="1"/>
  <c r="BB56" i="13" s="1"/>
  <c r="AV225" i="13"/>
  <c r="AZ225" i="13" s="1"/>
  <c r="AT96" i="13"/>
  <c r="AX96" i="13" s="1"/>
  <c r="AC96" i="13"/>
  <c r="AM96" i="13" s="1"/>
  <c r="AO96" i="13" s="1"/>
  <c r="S96" i="16" s="1"/>
  <c r="AC225" i="13"/>
  <c r="AM225" i="13" s="1"/>
  <c r="AW105" i="13"/>
  <c r="BA105" i="13" s="1"/>
  <c r="CN105" i="13" s="1"/>
  <c r="AC257" i="13"/>
  <c r="AM257" i="13" s="1"/>
  <c r="AO257" i="13" s="1"/>
  <c r="S257" i="16" s="1"/>
  <c r="AV143" i="13"/>
  <c r="AZ143" i="13" s="1"/>
  <c r="BB143" i="13" s="1"/>
  <c r="AV163" i="13"/>
  <c r="AZ163" i="13" s="1"/>
  <c r="AW56" i="13"/>
  <c r="BA56" i="13" s="1"/>
  <c r="CN56" i="13" s="1"/>
  <c r="AU96" i="13"/>
  <c r="AY96" i="13" s="1"/>
  <c r="AD227" i="13"/>
  <c r="AN227" i="13" s="1"/>
  <c r="CK227" i="13" s="1"/>
  <c r="AW227" i="13"/>
  <c r="BA227" i="13" s="1"/>
  <c r="CN227" i="13" s="1"/>
  <c r="AU238" i="13"/>
  <c r="AY238" i="13" s="1"/>
  <c r="AC203" i="13"/>
  <c r="AM203" i="13" s="1"/>
  <c r="AO203" i="13" s="1"/>
  <c r="S203" i="16" s="1"/>
  <c r="AU182" i="13"/>
  <c r="AY182" i="13" s="1"/>
  <c r="AV156" i="13"/>
  <c r="AZ156" i="13" s="1"/>
  <c r="BB156" i="13" s="1"/>
  <c r="AV243" i="13"/>
  <c r="AZ243" i="13" s="1"/>
  <c r="BB243" i="13" s="1"/>
  <c r="AC119" i="13"/>
  <c r="AM119" i="13" s="1"/>
  <c r="AV200" i="13"/>
  <c r="AZ200" i="13" s="1"/>
  <c r="BB200" i="13" s="1"/>
  <c r="AK231" i="13"/>
  <c r="AK119" i="13"/>
  <c r="AT200" i="13"/>
  <c r="AX200" i="13" s="1"/>
  <c r="AU195" i="13"/>
  <c r="AY195" i="13" s="1"/>
  <c r="AV5" i="13"/>
  <c r="AZ5" i="13" s="1"/>
  <c r="BB5" i="13" s="1"/>
  <c r="AC195" i="13"/>
  <c r="AM195" i="13" s="1"/>
  <c r="AO195" i="13" s="1"/>
  <c r="S195" i="16" s="1"/>
  <c r="AV195" i="13"/>
  <c r="AZ195" i="13" s="1"/>
  <c r="BB195" i="13" s="1"/>
  <c r="AT88" i="13"/>
  <c r="AX88" i="13" s="1"/>
  <c r="AD200" i="13"/>
  <c r="AN200" i="13" s="1"/>
  <c r="CK200" i="13" s="1"/>
  <c r="AD126" i="13"/>
  <c r="AN126" i="13" s="1"/>
  <c r="CK126" i="13" s="1"/>
  <c r="AU233" i="13"/>
  <c r="AY233" i="13" s="1"/>
  <c r="AU187" i="13"/>
  <c r="AY187" i="13" s="1"/>
  <c r="AV54" i="13"/>
  <c r="AZ54" i="13" s="1"/>
  <c r="BB54" i="13" s="1"/>
  <c r="AD243" i="13"/>
  <c r="AN243" i="13" s="1"/>
  <c r="CK243" i="13" s="1"/>
  <c r="AB130" i="13"/>
  <c r="AL130" i="13" s="1"/>
  <c r="AA60" i="13"/>
  <c r="AK60" i="13" s="1"/>
  <c r="AB134" i="13"/>
  <c r="AL134" i="13" s="1"/>
  <c r="AT189" i="13"/>
  <c r="AX189" i="13" s="1"/>
  <c r="AV231" i="13"/>
  <c r="AZ231" i="13" s="1"/>
  <c r="AD156" i="13"/>
  <c r="AN156" i="13" s="1"/>
  <c r="CK156" i="13" s="1"/>
  <c r="AB88" i="13"/>
  <c r="AL88" i="13" s="1"/>
  <c r="AV130" i="13"/>
  <c r="AZ130" i="13" s="1"/>
  <c r="BB130" i="13" s="1"/>
  <c r="AW243" i="13"/>
  <c r="BA243" i="13" s="1"/>
  <c r="CN243" i="13" s="1"/>
  <c r="AV189" i="13"/>
  <c r="AZ189" i="13" s="1"/>
  <c r="BB189" i="13" s="1"/>
  <c r="AU126" i="13"/>
  <c r="AY126" i="13" s="1"/>
  <c r="AU231" i="13"/>
  <c r="AY231" i="13" s="1"/>
  <c r="BB231" i="13" s="1"/>
  <c r="AC156" i="13"/>
  <c r="AM156" i="13" s="1"/>
  <c r="AO156" i="13" s="1"/>
  <c r="S156" i="16" s="1"/>
  <c r="AT220" i="13"/>
  <c r="AX220" i="13" s="1"/>
  <c r="AU75" i="13"/>
  <c r="AY75" i="13" s="1"/>
  <c r="AK187" i="13"/>
  <c r="AT219" i="13"/>
  <c r="AX219" i="13" s="1"/>
  <c r="AV232" i="13"/>
  <c r="AZ232" i="13" s="1"/>
  <c r="BB232" i="13" s="1"/>
  <c r="AC232" i="13"/>
  <c r="AM232" i="13" s="1"/>
  <c r="AO232" i="13" s="1"/>
  <c r="S232" i="16" s="1"/>
  <c r="AD163" i="13"/>
  <c r="AN163" i="13" s="1"/>
  <c r="CK163" i="13" s="1"/>
  <c r="AD105" i="13"/>
  <c r="AN105" i="13" s="1"/>
  <c r="CK105" i="13" s="1"/>
  <c r="AB143" i="13"/>
  <c r="AL143" i="13" s="1"/>
  <c r="AU227" i="13"/>
  <c r="AY227" i="13" s="1"/>
  <c r="AK257" i="13"/>
  <c r="AB227" i="13"/>
  <c r="AL227" i="13" s="1"/>
  <c r="AU89" i="13"/>
  <c r="AY89" i="13" s="1"/>
  <c r="AU114" i="13"/>
  <c r="AY114" i="13" s="1"/>
  <c r="AC219" i="13"/>
  <c r="AM219" i="13" s="1"/>
  <c r="AO219" i="13" s="1"/>
  <c r="S219" i="16" s="1"/>
  <c r="AA75" i="13"/>
  <c r="AK75" i="13" s="1"/>
  <c r="AC220" i="13"/>
  <c r="AM220" i="13" s="1"/>
  <c r="AO220" i="13" s="1"/>
  <c r="S220" i="16" s="1"/>
  <c r="AB220" i="13"/>
  <c r="AL220" i="13" s="1"/>
  <c r="AB234" i="13"/>
  <c r="AL234" i="13" s="1"/>
  <c r="AC155" i="13"/>
  <c r="AM155" i="13" s="1"/>
  <c r="AO155" i="13" s="1"/>
  <c r="S155" i="16" s="1"/>
  <c r="AT23" i="13"/>
  <c r="AX23" i="13" s="1"/>
  <c r="AB155" i="13"/>
  <c r="AL155" i="13" s="1"/>
  <c r="AK234" i="13"/>
  <c r="AD193" i="13"/>
  <c r="AN193" i="13" s="1"/>
  <c r="CK193" i="13" s="1"/>
  <c r="AT155" i="13"/>
  <c r="AX155" i="13" s="1"/>
  <c r="AW234" i="13"/>
  <c r="BA234" i="13" s="1"/>
  <c r="CN234" i="13" s="1"/>
  <c r="AC193" i="13"/>
  <c r="AM193" i="13" s="1"/>
  <c r="AO193" i="13" s="1"/>
  <c r="S193" i="16" s="1"/>
  <c r="AW155" i="13"/>
  <c r="BA155" i="13" s="1"/>
  <c r="CN155" i="13" s="1"/>
  <c r="AT234" i="13"/>
  <c r="AX234" i="13" s="1"/>
  <c r="AV155" i="13"/>
  <c r="AZ155" i="13" s="1"/>
  <c r="BB155" i="13" s="1"/>
  <c r="AW66" i="13"/>
  <c r="BA66" i="13" s="1"/>
  <c r="CN66" i="13" s="1"/>
  <c r="AV66" i="13"/>
  <c r="AZ66" i="13" s="1"/>
  <c r="BB66" i="13" s="1"/>
  <c r="AA66" i="13"/>
  <c r="AK66" i="13" s="1"/>
  <c r="AU66" i="13"/>
  <c r="AY66" i="13" s="1"/>
  <c r="AC66" i="13"/>
  <c r="AM66" i="13" s="1"/>
  <c r="AO66" i="13" s="1"/>
  <c r="S66" i="16" s="1"/>
  <c r="AT66" i="13"/>
  <c r="AX66" i="13" s="1"/>
  <c r="AD66" i="13"/>
  <c r="AN66" i="13" s="1"/>
  <c r="CK66" i="13" s="1"/>
  <c r="AB66" i="13"/>
  <c r="AL66" i="13" s="1"/>
  <c r="AT101" i="13"/>
  <c r="AX101" i="13" s="1"/>
  <c r="AK101" i="13"/>
  <c r="AW101" i="13"/>
  <c r="BA101" i="13" s="1"/>
  <c r="CN101" i="13" s="1"/>
  <c r="AU101" i="13"/>
  <c r="AY101" i="13" s="1"/>
  <c r="BB101" i="13" s="1"/>
  <c r="AV101" i="13"/>
  <c r="AZ101" i="13" s="1"/>
  <c r="AC101" i="13"/>
  <c r="AM101" i="13" s="1"/>
  <c r="AD101" i="13"/>
  <c r="AN101" i="13" s="1"/>
  <c r="CK101" i="13" s="1"/>
  <c r="AB101" i="13"/>
  <c r="AL101" i="13" s="1"/>
  <c r="AD90" i="13"/>
  <c r="AN90" i="13" s="1"/>
  <c r="CK90" i="13" s="1"/>
  <c r="AW90" i="13"/>
  <c r="BA90" i="13" s="1"/>
  <c r="CN90" i="13" s="1"/>
  <c r="AU90" i="13"/>
  <c r="AY90" i="13" s="1"/>
  <c r="AA90" i="13"/>
  <c r="AK90" i="13" s="1"/>
  <c r="AC90" i="13"/>
  <c r="AM90" i="13" s="1"/>
  <c r="AO90" i="13" s="1"/>
  <c r="S90" i="16" s="1"/>
  <c r="AB90" i="13"/>
  <c r="AL90" i="13" s="1"/>
  <c r="AV90" i="13"/>
  <c r="AZ90" i="13" s="1"/>
  <c r="BB90" i="13" s="1"/>
  <c r="AT90" i="13"/>
  <c r="AX90" i="13" s="1"/>
  <c r="AV51" i="13"/>
  <c r="AZ51" i="13" s="1"/>
  <c r="BB51" i="13" s="1"/>
  <c r="AD51" i="13"/>
  <c r="AN51" i="13" s="1"/>
  <c r="CK51" i="13" s="1"/>
  <c r="AB51" i="13"/>
  <c r="AL51" i="13" s="1"/>
  <c r="AW51" i="13"/>
  <c r="BA51" i="13" s="1"/>
  <c r="CN51" i="13" s="1"/>
  <c r="AU51" i="13"/>
  <c r="AY51" i="13" s="1"/>
  <c r="AC51" i="13"/>
  <c r="AM51" i="13" s="1"/>
  <c r="AO51" i="13" s="1"/>
  <c r="S51" i="16" s="1"/>
  <c r="AT51" i="13"/>
  <c r="AX51" i="13" s="1"/>
  <c r="AA51" i="13"/>
  <c r="AK51" i="13" s="1"/>
  <c r="AB99" i="13"/>
  <c r="AL99" i="13" s="1"/>
  <c r="AO99" i="13" s="1"/>
  <c r="S99" i="16" s="1"/>
  <c r="AD99" i="13"/>
  <c r="AN99" i="13" s="1"/>
  <c r="CK99" i="13" s="1"/>
  <c r="AC99" i="13"/>
  <c r="AM99" i="13" s="1"/>
  <c r="AW99" i="13"/>
  <c r="BA99" i="13" s="1"/>
  <c r="CN99" i="13" s="1"/>
  <c r="AK99" i="13"/>
  <c r="AV99" i="13"/>
  <c r="AZ99" i="13" s="1"/>
  <c r="AU99" i="13"/>
  <c r="AY99" i="13" s="1"/>
  <c r="BB99" i="13" s="1"/>
  <c r="BE99" i="13" s="1"/>
  <c r="C99" i="20" s="1"/>
  <c r="AB69" i="13"/>
  <c r="AL69" i="13" s="1"/>
  <c r="AU69" i="13"/>
  <c r="AY69" i="13" s="1"/>
  <c r="AC69" i="13"/>
  <c r="AM69" i="13" s="1"/>
  <c r="AO69" i="13" s="1"/>
  <c r="S69" i="16" s="1"/>
  <c r="AW69" i="13"/>
  <c r="BA69" i="13" s="1"/>
  <c r="CN69" i="13" s="1"/>
  <c r="AA69" i="13"/>
  <c r="AK69" i="13" s="1"/>
  <c r="AT69" i="13"/>
  <c r="AX69" i="13" s="1"/>
  <c r="AD69" i="13"/>
  <c r="AN69" i="13" s="1"/>
  <c r="CK69" i="13" s="1"/>
  <c r="AV69" i="13"/>
  <c r="AZ69" i="13" s="1"/>
  <c r="BB69" i="13" s="1"/>
  <c r="AC78" i="13"/>
  <c r="AM78" i="13" s="1"/>
  <c r="AO78" i="13" s="1"/>
  <c r="S78" i="16" s="1"/>
  <c r="AT78" i="13"/>
  <c r="AX78" i="13" s="1"/>
  <c r="AD78" i="13"/>
  <c r="AN78" i="13" s="1"/>
  <c r="CK78" i="13" s="1"/>
  <c r="AB78" i="13"/>
  <c r="AL78" i="13" s="1"/>
  <c r="AU78" i="13"/>
  <c r="AY78" i="13" s="1"/>
  <c r="AV78" i="13"/>
  <c r="AZ78" i="13" s="1"/>
  <c r="BB78" i="13" s="1"/>
  <c r="AW78" i="13"/>
  <c r="BA78" i="13" s="1"/>
  <c r="CN78" i="13" s="1"/>
  <c r="AA78" i="13"/>
  <c r="AK78" i="13" s="1"/>
  <c r="AB181" i="13"/>
  <c r="AL181" i="13" s="1"/>
  <c r="AC181" i="13"/>
  <c r="AM181" i="13" s="1"/>
  <c r="AO181" i="13" s="1"/>
  <c r="S181" i="16" s="1"/>
  <c r="AU181" i="13"/>
  <c r="AY181" i="13" s="1"/>
  <c r="AD181" i="13"/>
  <c r="AN181" i="13" s="1"/>
  <c r="CK181" i="13" s="1"/>
  <c r="AW181" i="13"/>
  <c r="BA181" i="13" s="1"/>
  <c r="CN181" i="13" s="1"/>
  <c r="AV181" i="13"/>
  <c r="AZ181" i="13" s="1"/>
  <c r="BB181" i="13" s="1"/>
  <c r="AT181" i="13"/>
  <c r="AX181" i="13" s="1"/>
  <c r="AK181" i="13"/>
  <c r="AW180" i="13"/>
  <c r="BA180" i="13" s="1"/>
  <c r="CN180" i="13" s="1"/>
  <c r="AV180" i="13"/>
  <c r="AZ180" i="13" s="1"/>
  <c r="BB180" i="13" s="1"/>
  <c r="AK180" i="13"/>
  <c r="AU180" i="13"/>
  <c r="AY180" i="13" s="1"/>
  <c r="AB180" i="13"/>
  <c r="AL180" i="13" s="1"/>
  <c r="AT180" i="13"/>
  <c r="AX180" i="13" s="1"/>
  <c r="AD180" i="13"/>
  <c r="AN180" i="13" s="1"/>
  <c r="CK180" i="13" s="1"/>
  <c r="AC180" i="13"/>
  <c r="AM180" i="13" s="1"/>
  <c r="AO180" i="13" s="1"/>
  <c r="S180" i="16" s="1"/>
  <c r="AB217" i="13"/>
  <c r="AL217" i="13" s="1"/>
  <c r="AC217" i="13"/>
  <c r="AM217" i="13" s="1"/>
  <c r="AO217" i="13" s="1"/>
  <c r="S217" i="16" s="1"/>
  <c r="AW217" i="13"/>
  <c r="BA217" i="13" s="1"/>
  <c r="CN217" i="13" s="1"/>
  <c r="AK217" i="13"/>
  <c r="AD217" i="13"/>
  <c r="AN217" i="13" s="1"/>
  <c r="CK217" i="13" s="1"/>
  <c r="AU217" i="13"/>
  <c r="AY217" i="13" s="1"/>
  <c r="AT217" i="13"/>
  <c r="AX217" i="13" s="1"/>
  <c r="AV217" i="13"/>
  <c r="AZ217" i="13" s="1"/>
  <c r="BB217" i="13" s="1"/>
  <c r="AT209" i="13"/>
  <c r="AX209" i="13" s="1"/>
  <c r="AB209" i="13"/>
  <c r="AL209" i="13" s="1"/>
  <c r="AC209" i="13"/>
  <c r="AM209" i="13" s="1"/>
  <c r="AO209" i="13" s="1"/>
  <c r="S209" i="16" s="1"/>
  <c r="AU209" i="13"/>
  <c r="AY209" i="13" s="1"/>
  <c r="AD209" i="13"/>
  <c r="AN209" i="13" s="1"/>
  <c r="CK209" i="13" s="1"/>
  <c r="AW209" i="13"/>
  <c r="BA209" i="13" s="1"/>
  <c r="CN209" i="13" s="1"/>
  <c r="AK209" i="13"/>
  <c r="AV209" i="13"/>
  <c r="AZ209" i="13" s="1"/>
  <c r="BB209" i="13" s="1"/>
  <c r="AD204" i="13"/>
  <c r="AN204" i="13" s="1"/>
  <c r="CK204" i="13" s="1"/>
  <c r="AV204" i="13"/>
  <c r="AZ204" i="13" s="1"/>
  <c r="BB204" i="13" s="1"/>
  <c r="AW204" i="13"/>
  <c r="BA204" i="13" s="1"/>
  <c r="CN204" i="13" s="1"/>
  <c r="AC204" i="13"/>
  <c r="AM204" i="13" s="1"/>
  <c r="AO204" i="13" s="1"/>
  <c r="S204" i="16" s="1"/>
  <c r="AU204" i="13"/>
  <c r="AY204" i="13" s="1"/>
  <c r="AT204" i="13"/>
  <c r="AX204" i="13" s="1"/>
  <c r="AB204" i="13"/>
  <c r="AL204" i="13" s="1"/>
  <c r="AK204" i="13"/>
  <c r="AK111" i="13"/>
  <c r="AB111" i="13"/>
  <c r="AL111" i="13" s="1"/>
  <c r="AD111" i="13"/>
  <c r="AN111" i="13" s="1"/>
  <c r="CK111" i="13" s="1"/>
  <c r="AC111" i="13"/>
  <c r="AM111" i="13" s="1"/>
  <c r="AO111" i="13" s="1"/>
  <c r="S111" i="16" s="1"/>
  <c r="AW111" i="13"/>
  <c r="BA111" i="13" s="1"/>
  <c r="CN111" i="13" s="1"/>
  <c r="AT111" i="13"/>
  <c r="AX111" i="13" s="1"/>
  <c r="AV111" i="13"/>
  <c r="AZ111" i="13" s="1"/>
  <c r="BB111" i="13" s="1"/>
  <c r="AU111" i="13"/>
  <c r="AY111" i="13" s="1"/>
  <c r="AD183" i="13"/>
  <c r="AN183" i="13" s="1"/>
  <c r="CK183" i="13" s="1"/>
  <c r="AW183" i="13"/>
  <c r="BA183" i="13" s="1"/>
  <c r="CN183" i="13" s="1"/>
  <c r="AV183" i="13"/>
  <c r="AZ183" i="13" s="1"/>
  <c r="BB183" i="13" s="1"/>
  <c r="AU183" i="13"/>
  <c r="AY183" i="13" s="1"/>
  <c r="AC183" i="13"/>
  <c r="AM183" i="13" s="1"/>
  <c r="AO183" i="13" s="1"/>
  <c r="S183" i="16" s="1"/>
  <c r="AT183" i="13"/>
  <c r="AX183" i="13" s="1"/>
  <c r="AB183" i="13"/>
  <c r="AL183" i="13" s="1"/>
  <c r="AK183" i="13"/>
  <c r="AD91" i="13"/>
  <c r="AN91" i="13" s="1"/>
  <c r="CK91" i="13" s="1"/>
  <c r="AW91" i="13"/>
  <c r="BA91" i="13" s="1"/>
  <c r="CN91" i="13" s="1"/>
  <c r="AU91" i="13"/>
  <c r="AY91" i="13" s="1"/>
  <c r="AV91" i="13"/>
  <c r="AZ91" i="13" s="1"/>
  <c r="AA91" i="13"/>
  <c r="AK91" i="13" s="1"/>
  <c r="AB91" i="13"/>
  <c r="AL91" i="13" s="1"/>
  <c r="AT91" i="13"/>
  <c r="AX91" i="13" s="1"/>
  <c r="AC91" i="13"/>
  <c r="AM91" i="13" s="1"/>
  <c r="AW76" i="13"/>
  <c r="BA76" i="13" s="1"/>
  <c r="CN76" i="13" s="1"/>
  <c r="AT76" i="13"/>
  <c r="AX76" i="13" s="1"/>
  <c r="AV76" i="13"/>
  <c r="AZ76" i="13" s="1"/>
  <c r="BB76" i="13" s="1"/>
  <c r="AA76" i="13"/>
  <c r="AK76" i="13" s="1"/>
  <c r="AB76" i="13"/>
  <c r="AL76" i="13" s="1"/>
  <c r="AC76" i="13"/>
  <c r="AM76" i="13" s="1"/>
  <c r="AO76" i="13" s="1"/>
  <c r="S76" i="16" s="1"/>
  <c r="AD76" i="13"/>
  <c r="AN76" i="13" s="1"/>
  <c r="CK76" i="13" s="1"/>
  <c r="AU76" i="13"/>
  <c r="AY76" i="13" s="1"/>
  <c r="AC113" i="13"/>
  <c r="AM113" i="13" s="1"/>
  <c r="AO113" i="13" s="1"/>
  <c r="S113" i="16" s="1"/>
  <c r="AK113" i="13"/>
  <c r="AT113" i="13"/>
  <c r="AX113" i="13" s="1"/>
  <c r="AW113" i="13"/>
  <c r="BA113" i="13" s="1"/>
  <c r="CN113" i="13" s="1"/>
  <c r="AV113" i="13"/>
  <c r="AZ113" i="13" s="1"/>
  <c r="BB113" i="13" s="1"/>
  <c r="AB113" i="13"/>
  <c r="AL113" i="13" s="1"/>
  <c r="AU113" i="13"/>
  <c r="AY113" i="13" s="1"/>
  <c r="AD113" i="13"/>
  <c r="AN113" i="13" s="1"/>
  <c r="CK113" i="13" s="1"/>
  <c r="AB210" i="13"/>
  <c r="AL210" i="13" s="1"/>
  <c r="AW210" i="13"/>
  <c r="BA210" i="13" s="1"/>
  <c r="CN210" i="13" s="1"/>
  <c r="AT210" i="13"/>
  <c r="AX210" i="13" s="1"/>
  <c r="AD210" i="13"/>
  <c r="AN210" i="13" s="1"/>
  <c r="CK210" i="13" s="1"/>
  <c r="AV210" i="13"/>
  <c r="AZ210" i="13" s="1"/>
  <c r="BB210" i="13" s="1"/>
  <c r="AC210" i="13"/>
  <c r="AM210" i="13" s="1"/>
  <c r="AO210" i="13" s="1"/>
  <c r="S210" i="16" s="1"/>
  <c r="AU210" i="13"/>
  <c r="AY210" i="13" s="1"/>
  <c r="AK210" i="13"/>
  <c r="AV68" i="13"/>
  <c r="AZ68" i="13" s="1"/>
  <c r="BB68" i="13" s="1"/>
  <c r="AT60" i="13"/>
  <c r="AX60" i="13" s="1"/>
  <c r="AT143" i="13"/>
  <c r="AX143" i="13" s="1"/>
  <c r="AT243" i="13"/>
  <c r="AX243" i="13" s="1"/>
  <c r="AW200" i="13"/>
  <c r="BA200" i="13" s="1"/>
  <c r="CN200" i="13" s="1"/>
  <c r="AV227" i="13"/>
  <c r="AZ227" i="13" s="1"/>
  <c r="AT187" i="13"/>
  <c r="AX187" i="13" s="1"/>
  <c r="AT89" i="13"/>
  <c r="AX89" i="13" s="1"/>
  <c r="AW126" i="13"/>
  <c r="BA126" i="13" s="1"/>
  <c r="CN126" i="13" s="1"/>
  <c r="AT195" i="13"/>
  <c r="AX195" i="13" s="1"/>
  <c r="AW231" i="13"/>
  <c r="BA231" i="13" s="1"/>
  <c r="CN231" i="13" s="1"/>
  <c r="AC200" i="13"/>
  <c r="AM200" i="13" s="1"/>
  <c r="AO200" i="13" s="1"/>
  <c r="S200" i="16" s="1"/>
  <c r="AK216" i="13"/>
  <c r="AB119" i="13"/>
  <c r="AL119" i="13" s="1"/>
  <c r="AO119" i="13" s="1"/>
  <c r="S119" i="16" s="1"/>
  <c r="AC227" i="13"/>
  <c r="AM227" i="13" s="1"/>
  <c r="AD232" i="13"/>
  <c r="AN232" i="13" s="1"/>
  <c r="CK232" i="13" s="1"/>
  <c r="AD195" i="13"/>
  <c r="AN195" i="13" s="1"/>
  <c r="CK195" i="13" s="1"/>
  <c r="AB126" i="13"/>
  <c r="AL126" i="13" s="1"/>
  <c r="AK143" i="13"/>
  <c r="AT68" i="13"/>
  <c r="AX68" i="13" s="1"/>
  <c r="AW232" i="13"/>
  <c r="BA232" i="13" s="1"/>
  <c r="CN232" i="13" s="1"/>
  <c r="AV60" i="13"/>
  <c r="AZ60" i="13" s="1"/>
  <c r="BB60" i="13" s="1"/>
  <c r="AW143" i="13"/>
  <c r="BA143" i="13" s="1"/>
  <c r="CN143" i="13" s="1"/>
  <c r="AU243" i="13"/>
  <c r="AY243" i="13" s="1"/>
  <c r="AT119" i="13"/>
  <c r="AX119" i="13" s="1"/>
  <c r="AU200" i="13"/>
  <c r="AY200" i="13" s="1"/>
  <c r="AT227" i="13"/>
  <c r="AX227" i="13" s="1"/>
  <c r="AU189" i="13"/>
  <c r="AY189" i="13" s="1"/>
  <c r="AV187" i="13"/>
  <c r="AZ187" i="13" s="1"/>
  <c r="BB187" i="13" s="1"/>
  <c r="W187" i="16" s="1"/>
  <c r="AV89" i="13"/>
  <c r="AZ89" i="13" s="1"/>
  <c r="BB89" i="13" s="1"/>
  <c r="AW195" i="13"/>
  <c r="BA195" i="13" s="1"/>
  <c r="CN195" i="13" s="1"/>
  <c r="AB200" i="13"/>
  <c r="AL200" i="13" s="1"/>
  <c r="AB232" i="13"/>
  <c r="AL232" i="13" s="1"/>
  <c r="AB195" i="13"/>
  <c r="AL195" i="13" s="1"/>
  <c r="AC243" i="13"/>
  <c r="AM243" i="13" s="1"/>
  <c r="AO243" i="13" s="1"/>
  <c r="S243" i="16" s="1"/>
  <c r="AC126" i="13"/>
  <c r="AM126" i="13" s="1"/>
  <c r="AO126" i="13" s="1"/>
  <c r="S126" i="16" s="1"/>
  <c r="AB238" i="13"/>
  <c r="AL238" i="13" s="1"/>
  <c r="AA88" i="13"/>
  <c r="AK88" i="13" s="1"/>
  <c r="AD143" i="13"/>
  <c r="AN143" i="13" s="1"/>
  <c r="CK143" i="13" s="1"/>
  <c r="AU143" i="13"/>
  <c r="AY143" i="13" s="1"/>
  <c r="AK232" i="13"/>
  <c r="AB243" i="13"/>
  <c r="AL243" i="13" s="1"/>
  <c r="AB189" i="13"/>
  <c r="AL189" i="13" s="1"/>
  <c r="AU232" i="13"/>
  <c r="AY232" i="13" s="1"/>
  <c r="AV75" i="13"/>
  <c r="AZ75" i="13" s="1"/>
  <c r="BB75" i="13" s="1"/>
  <c r="AV119" i="13"/>
  <c r="AZ119" i="13" s="1"/>
  <c r="AW189" i="13"/>
  <c r="BA189" i="13" s="1"/>
  <c r="CN189" i="13" s="1"/>
  <c r="AW172" i="13"/>
  <c r="BA172" i="13" s="1"/>
  <c r="CN172" i="13" s="1"/>
  <c r="AV88" i="13"/>
  <c r="AZ88" i="13" s="1"/>
  <c r="BB88" i="13" s="1"/>
  <c r="AT32" i="13"/>
  <c r="AX32" i="13" s="1"/>
  <c r="AD231" i="13"/>
  <c r="AN231" i="13" s="1"/>
  <c r="CK231" i="13" s="1"/>
  <c r="AD60" i="13"/>
  <c r="AN60" i="13" s="1"/>
  <c r="CK60" i="13" s="1"/>
  <c r="AC75" i="13"/>
  <c r="AM75" i="13" s="1"/>
  <c r="AO75" i="13" s="1"/>
  <c r="S75" i="16" s="1"/>
  <c r="AD68" i="13"/>
  <c r="AN68" i="13" s="1"/>
  <c r="CK68" i="13" s="1"/>
  <c r="AK189" i="13"/>
  <c r="AD187" i="13"/>
  <c r="AN187" i="13" s="1"/>
  <c r="CK187" i="13" s="1"/>
  <c r="AD89" i="13"/>
  <c r="AN89" i="13" s="1"/>
  <c r="CK89" i="13" s="1"/>
  <c r="AD172" i="13"/>
  <c r="AN172" i="13" s="1"/>
  <c r="CK172" i="13" s="1"/>
  <c r="AW187" i="13"/>
  <c r="BA187" i="13" s="1"/>
  <c r="CN187" i="13" s="1"/>
  <c r="AT172" i="13"/>
  <c r="AX172" i="13" s="1"/>
  <c r="AK126" i="13"/>
  <c r="AW75" i="13"/>
  <c r="BA75" i="13" s="1"/>
  <c r="CN75" i="13" s="1"/>
  <c r="AW119" i="13"/>
  <c r="BA119" i="13" s="1"/>
  <c r="CN119" i="13" s="1"/>
  <c r="AU172" i="13"/>
  <c r="AY172" i="13" s="1"/>
  <c r="AC231" i="13"/>
  <c r="AM231" i="13" s="1"/>
  <c r="AB60" i="13"/>
  <c r="AL60" i="13" s="1"/>
  <c r="AD75" i="13"/>
  <c r="AN75" i="13" s="1"/>
  <c r="CK75" i="13" s="1"/>
  <c r="AB68" i="13"/>
  <c r="AL68" i="13" s="1"/>
  <c r="AC189" i="13"/>
  <c r="AM189" i="13" s="1"/>
  <c r="AO189" i="13" s="1"/>
  <c r="S189" i="16" s="1"/>
  <c r="AC187" i="13"/>
  <c r="AM187" i="13" s="1"/>
  <c r="AO187" i="13" s="1"/>
  <c r="S187" i="16" s="1"/>
  <c r="AC89" i="13"/>
  <c r="AM89" i="13" s="1"/>
  <c r="AO89" i="13" s="1"/>
  <c r="S89" i="16" s="1"/>
  <c r="AB172" i="13"/>
  <c r="AL172" i="13" s="1"/>
  <c r="AW60" i="13"/>
  <c r="BA60" i="13" s="1"/>
  <c r="CN60" i="13" s="1"/>
  <c r="AU119" i="13"/>
  <c r="AY119" i="13" s="1"/>
  <c r="BB119" i="13" s="1"/>
  <c r="AW89" i="13"/>
  <c r="BA89" i="13" s="1"/>
  <c r="CN89" i="13" s="1"/>
  <c r="AT75" i="13"/>
  <c r="AX75" i="13" s="1"/>
  <c r="AV172" i="13"/>
  <c r="AZ172" i="13" s="1"/>
  <c r="BB172" i="13" s="1"/>
  <c r="AT231" i="13"/>
  <c r="AX231" i="13" s="1"/>
  <c r="AB190" i="13"/>
  <c r="AL190" i="13" s="1"/>
  <c r="AK233" i="13"/>
  <c r="AD206" i="13"/>
  <c r="AN206" i="13" s="1"/>
  <c r="CK206" i="13" s="1"/>
  <c r="AD151" i="13"/>
  <c r="AN151" i="13" s="1"/>
  <c r="CK151" i="13" s="1"/>
  <c r="AC5" i="13"/>
  <c r="AM5" i="13" s="1"/>
  <c r="AO5" i="13" s="1"/>
  <c r="S5" i="16" s="1"/>
  <c r="AD112" i="13"/>
  <c r="AN112" i="13" s="1"/>
  <c r="CK112" i="13" s="1"/>
  <c r="AT129" i="13"/>
  <c r="AX129" i="13" s="1"/>
  <c r="AU219" i="13"/>
  <c r="AY219" i="13" s="1"/>
  <c r="AU223" i="13"/>
  <c r="AY223" i="13" s="1"/>
  <c r="AU155" i="13"/>
  <c r="AY155" i="13" s="1"/>
  <c r="AU158" i="13"/>
  <c r="AY158" i="13" s="1"/>
  <c r="AV234" i="13"/>
  <c r="AZ234" i="13" s="1"/>
  <c r="BB234" i="13" s="1"/>
  <c r="AT196" i="13"/>
  <c r="AX196" i="13" s="1"/>
  <c r="AU129" i="13"/>
  <c r="AY129" i="13" s="1"/>
  <c r="AV161" i="13"/>
  <c r="AZ161" i="13" s="1"/>
  <c r="BB161" i="13" s="1"/>
  <c r="AV219" i="13"/>
  <c r="AZ219" i="13" s="1"/>
  <c r="BB219" i="13" s="1"/>
  <c r="AW165" i="13"/>
  <c r="BA165" i="13" s="1"/>
  <c r="CN165" i="13" s="1"/>
  <c r="AK142" i="13"/>
  <c r="AD155" i="13"/>
  <c r="AN155" i="13" s="1"/>
  <c r="CK155" i="13" s="1"/>
  <c r="AB158" i="13"/>
  <c r="AL158" i="13" s="1"/>
  <c r="AC115" i="13"/>
  <c r="AM115" i="13" s="1"/>
  <c r="AO115" i="13" s="1"/>
  <c r="S115" i="16" s="1"/>
  <c r="AK219" i="13"/>
  <c r="AK123" i="13"/>
  <c r="AD129" i="13"/>
  <c r="AN129" i="13" s="1"/>
  <c r="CK129" i="13" s="1"/>
  <c r="AK203" i="13"/>
  <c r="AC165" i="13"/>
  <c r="AM165" i="13" s="1"/>
  <c r="AO165" i="13" s="1"/>
  <c r="S165" i="16" s="1"/>
  <c r="AW129" i="13"/>
  <c r="BA129" i="13" s="1"/>
  <c r="CN129" i="13" s="1"/>
  <c r="AW219" i="13"/>
  <c r="BA219" i="13" s="1"/>
  <c r="CN219" i="13" s="1"/>
  <c r="AD158" i="13"/>
  <c r="AN158" i="13" s="1"/>
  <c r="CK158" i="13" s="1"/>
  <c r="AD115" i="13"/>
  <c r="AN115" i="13" s="1"/>
  <c r="CK115" i="13" s="1"/>
  <c r="AB133" i="13"/>
  <c r="AL133" i="13" s="1"/>
  <c r="AB102" i="13"/>
  <c r="AL102" i="13" s="1"/>
  <c r="AO102" i="13" s="1"/>
  <c r="S102" i="16" s="1"/>
  <c r="AT142" i="13"/>
  <c r="AX142" i="13" s="1"/>
  <c r="AB219" i="13"/>
  <c r="AL219" i="13" s="1"/>
  <c r="AT223" i="13"/>
  <c r="AX223" i="13" s="1"/>
  <c r="AW161" i="13"/>
  <c r="BA161" i="13" s="1"/>
  <c r="CN161" i="13" s="1"/>
  <c r="AU102" i="13"/>
  <c r="AY102" i="13" s="1"/>
  <c r="AC129" i="13"/>
  <c r="AM129" i="13" s="1"/>
  <c r="AO129" i="13" s="1"/>
  <c r="S129" i="16" s="1"/>
  <c r="AD161" i="13"/>
  <c r="AN161" i="13" s="1"/>
  <c r="CK161" i="13" s="1"/>
  <c r="AV50" i="13"/>
  <c r="AZ50" i="13" s="1"/>
  <c r="BB50" i="13" s="1"/>
  <c r="AU115" i="13"/>
  <c r="AY115" i="13" s="1"/>
  <c r="AV133" i="13"/>
  <c r="AZ133" i="13" s="1"/>
  <c r="BB133" i="13" s="1"/>
  <c r="AU234" i="13"/>
  <c r="AY234" i="13" s="1"/>
  <c r="AU203" i="13"/>
  <c r="AY203" i="13" s="1"/>
  <c r="AV74" i="13"/>
  <c r="AZ74" i="13" s="1"/>
  <c r="BB74" i="13" s="1"/>
  <c r="AV129" i="13"/>
  <c r="AZ129" i="13" s="1"/>
  <c r="BB129" i="13" s="1"/>
  <c r="AT161" i="13"/>
  <c r="AX161" i="13" s="1"/>
  <c r="AV52" i="13"/>
  <c r="AZ52" i="13" s="1"/>
  <c r="BB52" i="13" s="1"/>
  <c r="AV102" i="13"/>
  <c r="AZ102" i="13" s="1"/>
  <c r="AU63" i="13"/>
  <c r="AY63" i="13" s="1"/>
  <c r="AC158" i="13"/>
  <c r="AM158" i="13" s="1"/>
  <c r="AO158" i="13" s="1"/>
  <c r="S158" i="16" s="1"/>
  <c r="AB115" i="13"/>
  <c r="AL115" i="13" s="1"/>
  <c r="AK133" i="13"/>
  <c r="AK129" i="13"/>
  <c r="AD52" i="13"/>
  <c r="AN52" i="13" s="1"/>
  <c r="CK52" i="13" s="1"/>
  <c r="AD102" i="13"/>
  <c r="AN102" i="13" s="1"/>
  <c r="CK102" i="13" s="1"/>
  <c r="AC161" i="13"/>
  <c r="AM161" i="13" s="1"/>
  <c r="AO161" i="13" s="1"/>
  <c r="S161" i="16" s="1"/>
  <c r="AW158" i="13"/>
  <c r="BA158" i="13" s="1"/>
  <c r="CN158" i="13" s="1"/>
  <c r="AC142" i="13"/>
  <c r="AM142" i="13" s="1"/>
  <c r="AO142" i="13" s="1"/>
  <c r="S142" i="16" s="1"/>
  <c r="AB203" i="13"/>
  <c r="AL203" i="13" s="1"/>
  <c r="AT203" i="13"/>
  <c r="AX203" i="13" s="1"/>
  <c r="AW52" i="13"/>
  <c r="BA52" i="13" s="1"/>
  <c r="CN52" i="13" s="1"/>
  <c r="AW102" i="13"/>
  <c r="BA102" i="13" s="1"/>
  <c r="CN102" i="13" s="1"/>
  <c r="AK158" i="13"/>
  <c r="AK115" i="13"/>
  <c r="AD133" i="13"/>
  <c r="AN133" i="13" s="1"/>
  <c r="CK133" i="13" s="1"/>
  <c r="AC116" i="13"/>
  <c r="AM116" i="13" s="1"/>
  <c r="AO116" i="13" s="1"/>
  <c r="S116" i="16" s="1"/>
  <c r="AB74" i="13"/>
  <c r="AL74" i="13" s="1"/>
  <c r="AB52" i="13"/>
  <c r="AL52" i="13" s="1"/>
  <c r="AC102" i="13"/>
  <c r="AM102" i="13" s="1"/>
  <c r="AK161" i="13"/>
  <c r="AK196" i="13"/>
  <c r="AV142" i="13"/>
  <c r="AZ142" i="13" s="1"/>
  <c r="BB142" i="13" s="1"/>
  <c r="AD142" i="13"/>
  <c r="AN142" i="13" s="1"/>
  <c r="CK142" i="13" s="1"/>
  <c r="AW223" i="13"/>
  <c r="BA223" i="13" s="1"/>
  <c r="CN223" i="13" s="1"/>
  <c r="AK223" i="13"/>
  <c r="AT50" i="13"/>
  <c r="AX50" i="13" s="1"/>
  <c r="AV115" i="13"/>
  <c r="AZ115" i="13" s="1"/>
  <c r="BB115" i="13" s="1"/>
  <c r="AW74" i="13"/>
  <c r="BA74" i="13" s="1"/>
  <c r="CN74" i="13" s="1"/>
  <c r="AU161" i="13"/>
  <c r="AY161" i="13" s="1"/>
  <c r="AD50" i="13"/>
  <c r="AN50" i="13" s="1"/>
  <c r="CK50" i="13" s="1"/>
  <c r="AW115" i="13"/>
  <c r="BA115" i="13" s="1"/>
  <c r="CN115" i="13" s="1"/>
  <c r="AU142" i="13"/>
  <c r="AY142" i="13" s="1"/>
  <c r="AU133" i="13"/>
  <c r="AY133" i="13" s="1"/>
  <c r="AW203" i="13"/>
  <c r="BA203" i="13" s="1"/>
  <c r="CN203" i="13" s="1"/>
  <c r="AT74" i="13"/>
  <c r="AX74" i="13" s="1"/>
  <c r="AT52" i="13"/>
  <c r="AX52" i="13" s="1"/>
  <c r="AT102" i="13"/>
  <c r="AX102" i="13" s="1"/>
  <c r="AT116" i="13"/>
  <c r="AX116" i="13" s="1"/>
  <c r="AC50" i="13"/>
  <c r="AM50" i="13" s="1"/>
  <c r="AO50" i="13" s="1"/>
  <c r="S50" i="16" s="1"/>
  <c r="AD223" i="13"/>
  <c r="AN223" i="13" s="1"/>
  <c r="CK223" i="13" s="1"/>
  <c r="AD234" i="13"/>
  <c r="AN234" i="13" s="1"/>
  <c r="CK234" i="13" s="1"/>
  <c r="AC133" i="13"/>
  <c r="AM133" i="13" s="1"/>
  <c r="AO133" i="13" s="1"/>
  <c r="S133" i="16" s="1"/>
  <c r="AD74" i="13"/>
  <c r="AN74" i="13" s="1"/>
  <c r="CK74" i="13" s="1"/>
  <c r="AC52" i="13"/>
  <c r="AM52" i="13" s="1"/>
  <c r="AO52" i="13" s="1"/>
  <c r="S52" i="16" s="1"/>
  <c r="AW133" i="13"/>
  <c r="BA133" i="13" s="1"/>
  <c r="CN133" i="13" s="1"/>
  <c r="AV203" i="13"/>
  <c r="AZ203" i="13" s="1"/>
  <c r="BB203" i="13" s="1"/>
  <c r="AW142" i="13"/>
  <c r="BA142" i="13" s="1"/>
  <c r="CN142" i="13" s="1"/>
  <c r="AU74" i="13"/>
  <c r="AY74" i="13" s="1"/>
  <c r="AU52" i="13"/>
  <c r="AY52" i="13" s="1"/>
  <c r="AT179" i="13"/>
  <c r="AX179" i="13" s="1"/>
  <c r="AT208" i="13"/>
  <c r="AX208" i="13" s="1"/>
  <c r="AW151" i="13"/>
  <c r="BA151" i="13" s="1"/>
  <c r="CN151" i="13" s="1"/>
  <c r="AW86" i="13"/>
  <c r="BA86" i="13" s="1"/>
  <c r="CN86" i="13" s="1"/>
  <c r="AV23" i="13"/>
  <c r="AZ23" i="13" s="1"/>
  <c r="BB23" i="13" s="1"/>
  <c r="AU164" i="13"/>
  <c r="AY164" i="13" s="1"/>
  <c r="AT71" i="13"/>
  <c r="AX71" i="13" s="1"/>
  <c r="AT5" i="13"/>
  <c r="AX5" i="13" s="1"/>
  <c r="AW79" i="13"/>
  <c r="BA79" i="13" s="1"/>
  <c r="CN79" i="13" s="1"/>
  <c r="AU188" i="13"/>
  <c r="AY188" i="13" s="1"/>
  <c r="AW257" i="13"/>
  <c r="BA257" i="13" s="1"/>
  <c r="CN257" i="13" s="1"/>
  <c r="AW54" i="13"/>
  <c r="BA54" i="13" s="1"/>
  <c r="CN54" i="13" s="1"/>
  <c r="AU112" i="13"/>
  <c r="AY112" i="13" s="1"/>
  <c r="AB257" i="13"/>
  <c r="AL257" i="13" s="1"/>
  <c r="AC179" i="13"/>
  <c r="AM179" i="13" s="1"/>
  <c r="AO179" i="13" s="1"/>
  <c r="S179" i="16" s="1"/>
  <c r="AD238" i="13"/>
  <c r="AN238" i="13" s="1"/>
  <c r="CK238" i="13" s="1"/>
  <c r="AC86" i="13"/>
  <c r="AM86" i="13" s="1"/>
  <c r="AB5" i="13"/>
  <c r="AL5" i="13" s="1"/>
  <c r="AB54" i="13"/>
  <c r="AL54" i="13" s="1"/>
  <c r="AC112" i="13"/>
  <c r="AM112" i="13" s="1"/>
  <c r="AO112" i="13" s="1"/>
  <c r="S112" i="16" s="1"/>
  <c r="AD70" i="13"/>
  <c r="AN70" i="13" s="1"/>
  <c r="CK70" i="13" s="1"/>
  <c r="AC213" i="13"/>
  <c r="AM213" i="13" s="1"/>
  <c r="AO213" i="13" s="1"/>
  <c r="S213" i="16" s="1"/>
  <c r="AV151" i="13"/>
  <c r="AZ151" i="13" s="1"/>
  <c r="BB151" i="13" s="1"/>
  <c r="AW71" i="13"/>
  <c r="BA71" i="13" s="1"/>
  <c r="CN71" i="13" s="1"/>
  <c r="AD86" i="13"/>
  <c r="AN86" i="13" s="1"/>
  <c r="CK86" i="13" s="1"/>
  <c r="AA5" i="13"/>
  <c r="AK5" i="13" s="1"/>
  <c r="AB112" i="13"/>
  <c r="AL112" i="13" s="1"/>
  <c r="AD213" i="13"/>
  <c r="AN213" i="13" s="1"/>
  <c r="CK213" i="13" s="1"/>
  <c r="AU179" i="13"/>
  <c r="AY179" i="13" s="1"/>
  <c r="AV208" i="13"/>
  <c r="AZ208" i="13" s="1"/>
  <c r="BB208" i="13" s="1"/>
  <c r="AV173" i="13"/>
  <c r="AZ173" i="13" s="1"/>
  <c r="BB173" i="13" s="1"/>
  <c r="AT118" i="13"/>
  <c r="AX118" i="13" s="1"/>
  <c r="AV164" i="13"/>
  <c r="AZ164" i="13" s="1"/>
  <c r="AU5" i="13"/>
  <c r="AY5" i="13" s="1"/>
  <c r="AV188" i="13"/>
  <c r="AZ188" i="13" s="1"/>
  <c r="BB188" i="13" s="1"/>
  <c r="AU257" i="13"/>
  <c r="AY257" i="13" s="1"/>
  <c r="AT112" i="13"/>
  <c r="AX112" i="13" s="1"/>
  <c r="AD257" i="13"/>
  <c r="AN257" i="13" s="1"/>
  <c r="CK257" i="13" s="1"/>
  <c r="AC188" i="13"/>
  <c r="AM188" i="13" s="1"/>
  <c r="AO188" i="13" s="1"/>
  <c r="S188" i="16" s="1"/>
  <c r="AD179" i="13"/>
  <c r="AN179" i="13" s="1"/>
  <c r="CK179" i="13" s="1"/>
  <c r="AC163" i="13"/>
  <c r="AM163" i="13" s="1"/>
  <c r="AA86" i="13"/>
  <c r="AK86" i="13" s="1"/>
  <c r="AD5" i="13"/>
  <c r="AN5" i="13" s="1"/>
  <c r="CK5" i="13" s="1"/>
  <c r="AD54" i="13"/>
  <c r="AN54" i="13" s="1"/>
  <c r="CK54" i="13" s="1"/>
  <c r="AK112" i="13"/>
  <c r="AB213" i="13"/>
  <c r="AL213" i="13" s="1"/>
  <c r="AV112" i="13"/>
  <c r="AZ112" i="13" s="1"/>
  <c r="BB112" i="13" s="1"/>
  <c r="AB179" i="13"/>
  <c r="AL179" i="13" s="1"/>
  <c r="AV86" i="13"/>
  <c r="AZ86" i="13" s="1"/>
  <c r="BB86" i="13" s="1"/>
  <c r="AT164" i="13"/>
  <c r="AX164" i="13" s="1"/>
  <c r="AT54" i="13"/>
  <c r="AX54" i="13" s="1"/>
  <c r="AA71" i="13"/>
  <c r="AK71" i="13" s="1"/>
  <c r="AD103" i="13"/>
  <c r="AN103" i="13" s="1"/>
  <c r="CK103" i="13" s="1"/>
  <c r="AT173" i="13"/>
  <c r="AX173" i="13" s="1"/>
  <c r="AV190" i="13"/>
  <c r="AZ190" i="13" s="1"/>
  <c r="BB190" i="13" s="1"/>
  <c r="AT186" i="13"/>
  <c r="AX186" i="13" s="1"/>
  <c r="AT72" i="13"/>
  <c r="AX72" i="13" s="1"/>
  <c r="AB188" i="13"/>
  <c r="AL188" i="13" s="1"/>
  <c r="AD164" i="13"/>
  <c r="AN164" i="13" s="1"/>
  <c r="CK164" i="13" s="1"/>
  <c r="AK179" i="13"/>
  <c r="AB163" i="13"/>
  <c r="AL163" i="13" s="1"/>
  <c r="AD71" i="13"/>
  <c r="AN71" i="13" s="1"/>
  <c r="CK71" i="13" s="1"/>
  <c r="AB105" i="13"/>
  <c r="AL105" i="13" s="1"/>
  <c r="AC103" i="13"/>
  <c r="AM103" i="13" s="1"/>
  <c r="AA54" i="13"/>
  <c r="AK54" i="13" s="1"/>
  <c r="AB173" i="13"/>
  <c r="AL173" i="13" s="1"/>
  <c r="AC151" i="13"/>
  <c r="AM151" i="13" s="1"/>
  <c r="AC186" i="13"/>
  <c r="AM186" i="13" s="1"/>
  <c r="AO186" i="13" s="1"/>
  <c r="S186" i="16" s="1"/>
  <c r="AW164" i="13"/>
  <c r="BA164" i="13" s="1"/>
  <c r="CN164" i="13" s="1"/>
  <c r="AW188" i="13"/>
  <c r="BA188" i="13" s="1"/>
  <c r="CN188" i="13" s="1"/>
  <c r="AD188" i="13"/>
  <c r="AN188" i="13" s="1"/>
  <c r="CK188" i="13" s="1"/>
  <c r="AB164" i="13"/>
  <c r="AL164" i="13" s="1"/>
  <c r="AW103" i="13"/>
  <c r="BA103" i="13" s="1"/>
  <c r="CN103" i="13" s="1"/>
  <c r="AT163" i="13"/>
  <c r="AX163" i="13" s="1"/>
  <c r="AU173" i="13"/>
  <c r="AY173" i="13" s="1"/>
  <c r="AT103" i="13"/>
  <c r="AX103" i="13" s="1"/>
  <c r="AU186" i="13"/>
  <c r="AY186" i="13" s="1"/>
  <c r="AT213" i="13"/>
  <c r="AX213" i="13" s="1"/>
  <c r="AK188" i="13"/>
  <c r="AC164" i="13"/>
  <c r="AM164" i="13" s="1"/>
  <c r="AK163" i="13"/>
  <c r="AC71" i="13"/>
  <c r="AM71" i="13" s="1"/>
  <c r="AB103" i="13"/>
  <c r="AL103" i="13" s="1"/>
  <c r="AO103" i="13" s="1"/>
  <c r="S103" i="16" s="1"/>
  <c r="AD72" i="13"/>
  <c r="AN72" i="13" s="1"/>
  <c r="CK72" i="13" s="1"/>
  <c r="AD173" i="13"/>
  <c r="AN173" i="13" s="1"/>
  <c r="CK173" i="13" s="1"/>
  <c r="AB151" i="13"/>
  <c r="AL151" i="13" s="1"/>
  <c r="AO151" i="13" s="1"/>
  <c r="S151" i="16" s="1"/>
  <c r="AD186" i="13"/>
  <c r="AN186" i="13" s="1"/>
  <c r="CK186" i="13" s="1"/>
  <c r="AU213" i="13"/>
  <c r="AY213" i="13" s="1"/>
  <c r="AV179" i="13"/>
  <c r="AZ179" i="13" s="1"/>
  <c r="BB179" i="13" s="1"/>
  <c r="AW173" i="13"/>
  <c r="BA173" i="13" s="1"/>
  <c r="CN173" i="13" s="1"/>
  <c r="AV103" i="13"/>
  <c r="AZ103" i="13" s="1"/>
  <c r="AC54" i="13"/>
  <c r="AM54" i="13" s="1"/>
  <c r="AO54" i="13" s="1"/>
  <c r="S54" i="16" s="1"/>
  <c r="AK173" i="13"/>
  <c r="AD182" i="13"/>
  <c r="AN182" i="13" s="1"/>
  <c r="CK182" i="13" s="1"/>
  <c r="AT151" i="13"/>
  <c r="AX151" i="13" s="1"/>
  <c r="AT238" i="13"/>
  <c r="AX238" i="13" s="1"/>
  <c r="AU216" i="13"/>
  <c r="AY216" i="13" s="1"/>
  <c r="AU71" i="13"/>
  <c r="AY71" i="13" s="1"/>
  <c r="BB71" i="13" s="1"/>
  <c r="AU105" i="13"/>
  <c r="AY105" i="13" s="1"/>
  <c r="AU103" i="13"/>
  <c r="AY103" i="13" s="1"/>
  <c r="AV186" i="13"/>
  <c r="AZ186" i="13" s="1"/>
  <c r="BB186" i="13" s="1"/>
  <c r="AC208" i="13"/>
  <c r="AM208" i="13" s="1"/>
  <c r="AO208" i="13" s="1"/>
  <c r="S208" i="16" s="1"/>
  <c r="AC72" i="13"/>
  <c r="AM72" i="13" s="1"/>
  <c r="AO72" i="13" s="1"/>
  <c r="S72" i="16" s="1"/>
  <c r="AC70" i="13"/>
  <c r="AM70" i="13" s="1"/>
  <c r="AO70" i="13" s="1"/>
  <c r="S70" i="16" s="1"/>
  <c r="AU70" i="13"/>
  <c r="AY70" i="13" s="1"/>
  <c r="AD141" i="13"/>
  <c r="AN141" i="13" s="1"/>
  <c r="CK141" i="13" s="1"/>
  <c r="AA6" i="13"/>
  <c r="AK6" i="13" s="1"/>
  <c r="AA70" i="13"/>
  <c r="AK70" i="13" s="1"/>
  <c r="AV109" i="13"/>
  <c r="AZ109" i="13" s="1"/>
  <c r="AV70" i="13"/>
  <c r="AZ70" i="13" s="1"/>
  <c r="BB70" i="13" s="1"/>
  <c r="AA79" i="13"/>
  <c r="AK79" i="13" s="1"/>
  <c r="AW70" i="13"/>
  <c r="BA70" i="13" s="1"/>
  <c r="CN70" i="13" s="1"/>
  <c r="AT70" i="13"/>
  <c r="AX70" i="13" s="1"/>
  <c r="AV137" i="13"/>
  <c r="AZ137" i="13" s="1"/>
  <c r="BB137" i="13" s="1"/>
  <c r="AD7" i="13"/>
  <c r="AN7" i="13" s="1"/>
  <c r="CK7" i="13" s="1"/>
  <c r="AB191" i="13"/>
  <c r="AL191" i="13" s="1"/>
  <c r="AT191" i="13"/>
  <c r="AX191" i="13" s="1"/>
  <c r="AC137" i="13"/>
  <c r="AM137" i="13" s="1"/>
  <c r="AO137" i="13" s="1"/>
  <c r="S137" i="16" s="1"/>
  <c r="AC141" i="13"/>
  <c r="AM141" i="13" s="1"/>
  <c r="AO141" i="13" s="1"/>
  <c r="S141" i="16" s="1"/>
  <c r="AV6" i="13"/>
  <c r="AZ6" i="13" s="1"/>
  <c r="BB6" i="13" s="1"/>
  <c r="AW228" i="13"/>
  <c r="BA228" i="13" s="1"/>
  <c r="CN228" i="13" s="1"/>
  <c r="AT140" i="13"/>
  <c r="AX140" i="13" s="1"/>
  <c r="AV7" i="13"/>
  <c r="AZ7" i="13" s="1"/>
  <c r="BB7" i="13" s="1"/>
  <c r="AT193" i="13"/>
  <c r="AX193" i="13" s="1"/>
  <c r="AU220" i="13"/>
  <c r="AY220" i="13" s="1"/>
  <c r="AT141" i="13"/>
  <c r="AX141" i="13" s="1"/>
  <c r="AK156" i="13"/>
  <c r="AC174" i="13"/>
  <c r="AM174" i="13" s="1"/>
  <c r="AO174" i="13" s="1"/>
  <c r="S174" i="16" s="1"/>
  <c r="AB193" i="13"/>
  <c r="AL193" i="13" s="1"/>
  <c r="AD134" i="13"/>
  <c r="AN134" i="13" s="1"/>
  <c r="CK134" i="13" s="1"/>
  <c r="AK220" i="13"/>
  <c r="AK206" i="13"/>
  <c r="AD130" i="13"/>
  <c r="AN130" i="13" s="1"/>
  <c r="CK130" i="13" s="1"/>
  <c r="AD73" i="13"/>
  <c r="AN73" i="13" s="1"/>
  <c r="CK73" i="13" s="1"/>
  <c r="AB206" i="13"/>
  <c r="AL206" i="13" s="1"/>
  <c r="AT246" i="13"/>
  <c r="AX246" i="13" s="1"/>
  <c r="AW6" i="13"/>
  <c r="BA6" i="13" s="1"/>
  <c r="CN6" i="13" s="1"/>
  <c r="AV73" i="13"/>
  <c r="AZ73" i="13" s="1"/>
  <c r="BB73" i="13" s="1"/>
  <c r="AU134" i="13"/>
  <c r="AY134" i="13" s="1"/>
  <c r="BB134" i="13" s="1"/>
  <c r="AU140" i="13"/>
  <c r="AY140" i="13" s="1"/>
  <c r="AW7" i="13"/>
  <c r="BA7" i="13" s="1"/>
  <c r="CN7" i="13" s="1"/>
  <c r="AV193" i="13"/>
  <c r="AZ193" i="13" s="1"/>
  <c r="BB193" i="13" s="1"/>
  <c r="AV220" i="13"/>
  <c r="AZ220" i="13" s="1"/>
  <c r="BB220" i="13" s="1"/>
  <c r="AV141" i="13"/>
  <c r="AZ141" i="13" s="1"/>
  <c r="BB141" i="13" s="1"/>
  <c r="AK174" i="13"/>
  <c r="AD246" i="13"/>
  <c r="AN246" i="13" s="1"/>
  <c r="CK246" i="13" s="1"/>
  <c r="AC134" i="13"/>
  <c r="AM134" i="13" s="1"/>
  <c r="AC83" i="13"/>
  <c r="AM83" i="13" s="1"/>
  <c r="AO83" i="13" s="1"/>
  <c r="S83" i="16" s="1"/>
  <c r="AC130" i="13"/>
  <c r="AM130" i="13" s="1"/>
  <c r="AO130" i="13" s="1"/>
  <c r="S130" i="16" s="1"/>
  <c r="AC73" i="13"/>
  <c r="AM73" i="13" s="1"/>
  <c r="AO73" i="13" s="1"/>
  <c r="S73" i="16" s="1"/>
  <c r="AC212" i="13"/>
  <c r="AM212" i="13" s="1"/>
  <c r="AO212" i="13" s="1"/>
  <c r="S212" i="16" s="1"/>
  <c r="AT206" i="13"/>
  <c r="AX206" i="13" s="1"/>
  <c r="AU206" i="13"/>
  <c r="AY206" i="13" s="1"/>
  <c r="AW246" i="13"/>
  <c r="BA246" i="13" s="1"/>
  <c r="CN246" i="13" s="1"/>
  <c r="AT6" i="13"/>
  <c r="AX6" i="13" s="1"/>
  <c r="AW73" i="13"/>
  <c r="BA73" i="13" s="1"/>
  <c r="CN73" i="13" s="1"/>
  <c r="AV134" i="13"/>
  <c r="AZ134" i="13" s="1"/>
  <c r="AW140" i="13"/>
  <c r="BA140" i="13" s="1"/>
  <c r="CN140" i="13" s="1"/>
  <c r="AT7" i="13"/>
  <c r="AX7" i="13" s="1"/>
  <c r="AU193" i="13"/>
  <c r="AY193" i="13" s="1"/>
  <c r="AW220" i="13"/>
  <c r="BA220" i="13" s="1"/>
  <c r="CN220" i="13" s="1"/>
  <c r="AW141" i="13"/>
  <c r="BA141" i="13" s="1"/>
  <c r="CN141" i="13" s="1"/>
  <c r="AC246" i="13"/>
  <c r="AM246" i="13" s="1"/>
  <c r="AO246" i="13" s="1"/>
  <c r="S246" i="16" s="1"/>
  <c r="AK134" i="13"/>
  <c r="AD83" i="13"/>
  <c r="AN83" i="13" s="1"/>
  <c r="CK83" i="13" s="1"/>
  <c r="AK130" i="13"/>
  <c r="AA73" i="13"/>
  <c r="AK73" i="13" s="1"/>
  <c r="AD140" i="13"/>
  <c r="AN140" i="13" s="1"/>
  <c r="CK140" i="13" s="1"/>
  <c r="AU6" i="13"/>
  <c r="AY6" i="13" s="1"/>
  <c r="AW134" i="13"/>
  <c r="BA134" i="13" s="1"/>
  <c r="CN134" i="13" s="1"/>
  <c r="AV140" i="13"/>
  <c r="AZ140" i="13" s="1"/>
  <c r="BB140" i="13" s="1"/>
  <c r="AT156" i="13"/>
  <c r="AX156" i="13" s="1"/>
  <c r="AU141" i="13"/>
  <c r="AY141" i="13" s="1"/>
  <c r="AA7" i="13"/>
  <c r="AK7" i="13" s="1"/>
  <c r="AB246" i="13"/>
  <c r="AL246" i="13" s="1"/>
  <c r="AB83" i="13"/>
  <c r="AL83" i="13" s="1"/>
  <c r="AB73" i="13"/>
  <c r="AL73" i="13" s="1"/>
  <c r="AD6" i="13"/>
  <c r="AN6" i="13" s="1"/>
  <c r="CK6" i="13" s="1"/>
  <c r="AB140" i="13"/>
  <c r="AL140" i="13" s="1"/>
  <c r="AV206" i="13"/>
  <c r="AZ206" i="13" s="1"/>
  <c r="BB206" i="13" s="1"/>
  <c r="AU177" i="13"/>
  <c r="AY177" i="13" s="1"/>
  <c r="AT73" i="13"/>
  <c r="AX73" i="13" s="1"/>
  <c r="AT192" i="13"/>
  <c r="AX192" i="13" s="1"/>
  <c r="AU7" i="13"/>
  <c r="AY7" i="13" s="1"/>
  <c r="AW193" i="13"/>
  <c r="BA193" i="13" s="1"/>
  <c r="CN193" i="13" s="1"/>
  <c r="AW206" i="13"/>
  <c r="BA206" i="13" s="1"/>
  <c r="CN206" i="13" s="1"/>
  <c r="AU130" i="13"/>
  <c r="AY130" i="13" s="1"/>
  <c r="AU97" i="13"/>
  <c r="AY97" i="13" s="1"/>
  <c r="BB97" i="13" s="1"/>
  <c r="AU174" i="13"/>
  <c r="AY174" i="13" s="1"/>
  <c r="AU246" i="13"/>
  <c r="AY246" i="13" s="1"/>
  <c r="AU192" i="13"/>
  <c r="AY192" i="13" s="1"/>
  <c r="AT83" i="13"/>
  <c r="AX83" i="13" s="1"/>
  <c r="AW156" i="13"/>
  <c r="BA156" i="13" s="1"/>
  <c r="CN156" i="13" s="1"/>
  <c r="AB40" i="13"/>
  <c r="AL40" i="13" s="1"/>
  <c r="AO40" i="13" s="1"/>
  <c r="S40" i="16" s="1"/>
  <c r="AC7" i="13"/>
  <c r="AM7" i="13" s="1"/>
  <c r="AO7" i="13" s="1"/>
  <c r="S7" i="16" s="1"/>
  <c r="AD97" i="13"/>
  <c r="AN97" i="13" s="1"/>
  <c r="CK97" i="13" s="1"/>
  <c r="AK246" i="13"/>
  <c r="AA83" i="13"/>
  <c r="AK83" i="13" s="1"/>
  <c r="AB141" i="13"/>
  <c r="AL141" i="13" s="1"/>
  <c r="AB6" i="13"/>
  <c r="AL6" i="13" s="1"/>
  <c r="AC140" i="13"/>
  <c r="AM140" i="13" s="1"/>
  <c r="AO140" i="13" s="1"/>
  <c r="S140" i="16" s="1"/>
  <c r="AV97" i="13"/>
  <c r="AZ97" i="13" s="1"/>
  <c r="AV192" i="13"/>
  <c r="AZ192" i="13" s="1"/>
  <c r="BB192" i="13" s="1"/>
  <c r="AU156" i="13"/>
  <c r="AY156" i="13" s="1"/>
  <c r="AD177" i="13"/>
  <c r="AN177" i="13" s="1"/>
  <c r="CK177" i="13" s="1"/>
  <c r="AU208" i="13"/>
  <c r="AY208" i="13" s="1"/>
  <c r="AW50" i="13"/>
  <c r="BA50" i="13" s="1"/>
  <c r="CN50" i="13" s="1"/>
  <c r="AW23" i="13"/>
  <c r="BA23" i="13" s="1"/>
  <c r="CN23" i="13" s="1"/>
  <c r="AW190" i="13"/>
  <c r="BA190" i="13" s="1"/>
  <c r="CN190" i="13" s="1"/>
  <c r="AV105" i="13"/>
  <c r="AZ105" i="13" s="1"/>
  <c r="BB105" i="13" s="1"/>
  <c r="AU88" i="13"/>
  <c r="AY88" i="13" s="1"/>
  <c r="AT63" i="13"/>
  <c r="AX63" i="13" s="1"/>
  <c r="AU32" i="13"/>
  <c r="AY32" i="13" s="1"/>
  <c r="BB32" i="13" s="1"/>
  <c r="AT114" i="13"/>
  <c r="AX114" i="13" s="1"/>
  <c r="AD208" i="13"/>
  <c r="AN208" i="13" s="1"/>
  <c r="CK208" i="13" s="1"/>
  <c r="AB50" i="13"/>
  <c r="AL50" i="13" s="1"/>
  <c r="AK190" i="13"/>
  <c r="AK116" i="13"/>
  <c r="AC105" i="13"/>
  <c r="AM105" i="13" s="1"/>
  <c r="AO105" i="13" s="1"/>
  <c r="S105" i="16" s="1"/>
  <c r="AK238" i="13"/>
  <c r="AC88" i="13"/>
  <c r="AM88" i="13" s="1"/>
  <c r="AO88" i="13" s="1"/>
  <c r="S88" i="16" s="1"/>
  <c r="AB72" i="13"/>
  <c r="AL72" i="13" s="1"/>
  <c r="AC182" i="13"/>
  <c r="AM182" i="13" s="1"/>
  <c r="AO182" i="13" s="1"/>
  <c r="S182" i="16" s="1"/>
  <c r="AW208" i="13"/>
  <c r="BA208" i="13" s="1"/>
  <c r="CN208" i="13" s="1"/>
  <c r="AU50" i="13"/>
  <c r="AY50" i="13" s="1"/>
  <c r="AW238" i="13"/>
  <c r="BA238" i="13" s="1"/>
  <c r="CN238" i="13" s="1"/>
  <c r="AT216" i="13"/>
  <c r="AX216" i="13" s="1"/>
  <c r="AT182" i="13"/>
  <c r="AX182" i="13" s="1"/>
  <c r="AW196" i="13"/>
  <c r="BA196" i="13" s="1"/>
  <c r="CN196" i="13" s="1"/>
  <c r="AU107" i="13"/>
  <c r="AY107" i="13" s="1"/>
  <c r="BB107" i="13" s="1"/>
  <c r="AW88" i="13"/>
  <c r="BA88" i="13" s="1"/>
  <c r="CN88" i="13" s="1"/>
  <c r="AV63" i="13"/>
  <c r="AZ63" i="13" s="1"/>
  <c r="BB63" i="13" s="1"/>
  <c r="AV32" i="13"/>
  <c r="AZ32" i="13" s="1"/>
  <c r="AV114" i="13"/>
  <c r="AZ114" i="13" s="1"/>
  <c r="BB114" i="13" s="1"/>
  <c r="AU116" i="13"/>
  <c r="AY116" i="13" s="1"/>
  <c r="AC107" i="13"/>
  <c r="AM107" i="13" s="1"/>
  <c r="AB23" i="13"/>
  <c r="AL23" i="13" s="1"/>
  <c r="AA72" i="13"/>
  <c r="AK72" i="13" s="1"/>
  <c r="AB182" i="13"/>
  <c r="AL182" i="13" s="1"/>
  <c r="AV8" i="13"/>
  <c r="AZ8" i="13" s="1"/>
  <c r="BB8" i="13" s="1"/>
  <c r="AW32" i="13"/>
  <c r="BA32" i="13" s="1"/>
  <c r="CN32" i="13" s="1"/>
  <c r="AW114" i="13"/>
  <c r="BA114" i="13" s="1"/>
  <c r="CN114" i="13" s="1"/>
  <c r="AV116" i="13"/>
  <c r="AZ116" i="13" s="1"/>
  <c r="BB116" i="13" s="1"/>
  <c r="AB8" i="13"/>
  <c r="AL8" i="13" s="1"/>
  <c r="AD107" i="13"/>
  <c r="AN107" i="13" s="1"/>
  <c r="CK107" i="13" s="1"/>
  <c r="AC23" i="13"/>
  <c r="AM23" i="13" s="1"/>
  <c r="AO23" i="13" s="1"/>
  <c r="S23" i="16" s="1"/>
  <c r="AD32" i="13"/>
  <c r="AN32" i="13" s="1"/>
  <c r="CK32" i="13" s="1"/>
  <c r="AD114" i="13"/>
  <c r="AN114" i="13" s="1"/>
  <c r="CK114" i="13" s="1"/>
  <c r="AK182" i="13"/>
  <c r="AT107" i="13"/>
  <c r="AX107" i="13" s="1"/>
  <c r="AW63" i="13"/>
  <c r="BA63" i="13" s="1"/>
  <c r="CN63" i="13" s="1"/>
  <c r="AD63" i="13"/>
  <c r="AN63" i="13" s="1"/>
  <c r="CK63" i="13" s="1"/>
  <c r="AW8" i="13"/>
  <c r="BA8" i="13" s="1"/>
  <c r="CN8" i="13" s="1"/>
  <c r="AV238" i="13"/>
  <c r="AZ238" i="13" s="1"/>
  <c r="BB238" i="13" s="1"/>
  <c r="AW216" i="13"/>
  <c r="BA216" i="13" s="1"/>
  <c r="CN216" i="13" s="1"/>
  <c r="AV182" i="13"/>
  <c r="AZ182" i="13" s="1"/>
  <c r="BB182" i="13" s="1"/>
  <c r="AV196" i="13"/>
  <c r="AZ196" i="13" s="1"/>
  <c r="BB196" i="13" s="1"/>
  <c r="AV107" i="13"/>
  <c r="AZ107" i="13" s="1"/>
  <c r="AU72" i="13"/>
  <c r="AY72" i="13" s="1"/>
  <c r="AT165" i="13"/>
  <c r="AX165" i="13" s="1"/>
  <c r="AT233" i="13"/>
  <c r="AX233" i="13" s="1"/>
  <c r="AW116" i="13"/>
  <c r="BA116" i="13" s="1"/>
  <c r="CN116" i="13" s="1"/>
  <c r="AC63" i="13"/>
  <c r="AM63" i="13" s="1"/>
  <c r="AO63" i="13" s="1"/>
  <c r="S63" i="16" s="1"/>
  <c r="AD8" i="13"/>
  <c r="AN8" i="13" s="1"/>
  <c r="CK8" i="13" s="1"/>
  <c r="AC216" i="13"/>
  <c r="AM216" i="13" s="1"/>
  <c r="AO216" i="13" s="1"/>
  <c r="S216" i="16" s="1"/>
  <c r="AB107" i="13"/>
  <c r="AL107" i="13" s="1"/>
  <c r="AO107" i="13" s="1"/>
  <c r="S107" i="16" s="1"/>
  <c r="AA23" i="13"/>
  <c r="AK23" i="13" s="1"/>
  <c r="AB32" i="13"/>
  <c r="AL32" i="13" s="1"/>
  <c r="AO32" i="13" s="1"/>
  <c r="S32" i="16" s="1"/>
  <c r="AB114" i="13"/>
  <c r="AL114" i="13" s="1"/>
  <c r="AC196" i="13"/>
  <c r="AM196" i="13" s="1"/>
  <c r="AO196" i="13" s="1"/>
  <c r="S196" i="16" s="1"/>
  <c r="AB165" i="13"/>
  <c r="AL165" i="13" s="1"/>
  <c r="AD233" i="13"/>
  <c r="AN233" i="13" s="1"/>
  <c r="CK233" i="13" s="1"/>
  <c r="AU196" i="13"/>
  <c r="AY196" i="13" s="1"/>
  <c r="AT8" i="13"/>
  <c r="AX8" i="13" s="1"/>
  <c r="AV216" i="13"/>
  <c r="AZ216" i="13" s="1"/>
  <c r="BB216" i="13" s="1"/>
  <c r="AT190" i="13"/>
  <c r="AX190" i="13" s="1"/>
  <c r="AW107" i="13"/>
  <c r="BA107" i="13" s="1"/>
  <c r="CN107" i="13" s="1"/>
  <c r="AV72" i="13"/>
  <c r="AZ72" i="13" s="1"/>
  <c r="BB72" i="13" s="1"/>
  <c r="AU165" i="13"/>
  <c r="AY165" i="13" s="1"/>
  <c r="AV233" i="13"/>
  <c r="AZ233" i="13" s="1"/>
  <c r="BB233" i="13" s="1"/>
  <c r="AB63" i="13"/>
  <c r="AL63" i="13" s="1"/>
  <c r="AC8" i="13"/>
  <c r="AM8" i="13" s="1"/>
  <c r="AO8" i="13" s="1"/>
  <c r="S8" i="16" s="1"/>
  <c r="AD216" i="13"/>
  <c r="AN216" i="13" s="1"/>
  <c r="CK216" i="13" s="1"/>
  <c r="AC190" i="13"/>
  <c r="AM190" i="13" s="1"/>
  <c r="AO190" i="13" s="1"/>
  <c r="S190" i="16" s="1"/>
  <c r="AD116" i="13"/>
  <c r="AN116" i="13" s="1"/>
  <c r="CK116" i="13" s="1"/>
  <c r="AD23" i="13"/>
  <c r="AN23" i="13" s="1"/>
  <c r="CK23" i="13" s="1"/>
  <c r="AC32" i="13"/>
  <c r="AM32" i="13" s="1"/>
  <c r="AC114" i="13"/>
  <c r="AM114" i="13" s="1"/>
  <c r="AO114" i="13" s="1"/>
  <c r="S114" i="16" s="1"/>
  <c r="AD196" i="13"/>
  <c r="AN196" i="13" s="1"/>
  <c r="CK196" i="13" s="1"/>
  <c r="AK165" i="13"/>
  <c r="AC233" i="13"/>
  <c r="AM233" i="13" s="1"/>
  <c r="AO233" i="13" s="1"/>
  <c r="S233" i="16" s="1"/>
  <c r="AU8" i="13"/>
  <c r="AY8" i="13" s="1"/>
  <c r="AU190" i="13"/>
  <c r="AY190" i="13" s="1"/>
  <c r="AT105" i="13"/>
  <c r="AX105" i="13" s="1"/>
  <c r="AV165" i="13"/>
  <c r="AZ165" i="13" s="1"/>
  <c r="BB165" i="13" s="1"/>
  <c r="AW233" i="13"/>
  <c r="BA233" i="13" s="1"/>
  <c r="CN233" i="13" s="1"/>
  <c r="AW109" i="13"/>
  <c r="BA109" i="13" s="1"/>
  <c r="CN109" i="13" s="1"/>
  <c r="AT79" i="13"/>
  <c r="AX79" i="13" s="1"/>
  <c r="AT137" i="13"/>
  <c r="AX137" i="13" s="1"/>
  <c r="AK191" i="13"/>
  <c r="AD79" i="13"/>
  <c r="AN79" i="13" s="1"/>
  <c r="CK79" i="13" s="1"/>
  <c r="AK137" i="13"/>
  <c r="AU79" i="13"/>
  <c r="AY79" i="13" s="1"/>
  <c r="AW137" i="13"/>
  <c r="BA137" i="13" s="1"/>
  <c r="CN137" i="13" s="1"/>
  <c r="AC79" i="13"/>
  <c r="AM79" i="13" s="1"/>
  <c r="AO79" i="13" s="1"/>
  <c r="S79" i="16" s="1"/>
  <c r="AB137" i="13"/>
  <c r="AL137" i="13" s="1"/>
  <c r="AT106" i="13"/>
  <c r="AX106" i="13" s="1"/>
  <c r="AC211" i="13"/>
  <c r="AM211" i="13" s="1"/>
  <c r="AO211" i="13" s="1"/>
  <c r="S211" i="16" s="1"/>
  <c r="AD250" i="13"/>
  <c r="AN250" i="13" s="1"/>
  <c r="CK250" i="13" s="1"/>
  <c r="AD106" i="13"/>
  <c r="AN106" i="13" s="1"/>
  <c r="CK106" i="13" s="1"/>
  <c r="AK109" i="13"/>
  <c r="AT211" i="13"/>
  <c r="AX211" i="13" s="1"/>
  <c r="AT250" i="13"/>
  <c r="AX250" i="13" s="1"/>
  <c r="AU211" i="13"/>
  <c r="AY211" i="13" s="1"/>
  <c r="AU191" i="13"/>
  <c r="AY191" i="13" s="1"/>
  <c r="AU106" i="13"/>
  <c r="AY106" i="13" s="1"/>
  <c r="AB211" i="13"/>
  <c r="AL211" i="13" s="1"/>
  <c r="AC250" i="13"/>
  <c r="AM250" i="13" s="1"/>
  <c r="AO250" i="13" s="1"/>
  <c r="S250" i="16" s="1"/>
  <c r="AB106" i="13"/>
  <c r="AL106" i="13" s="1"/>
  <c r="AB109" i="13"/>
  <c r="AL109" i="13" s="1"/>
  <c r="AO109" i="13" s="1"/>
  <c r="S109" i="16" s="1"/>
  <c r="AV250" i="13"/>
  <c r="AZ250" i="13" s="1"/>
  <c r="BB250" i="13" s="1"/>
  <c r="AV211" i="13"/>
  <c r="AZ211" i="13" s="1"/>
  <c r="BB211" i="13" s="1"/>
  <c r="AV191" i="13"/>
  <c r="AZ191" i="13" s="1"/>
  <c r="BB191" i="13" s="1"/>
  <c r="AV106" i="13"/>
  <c r="AZ106" i="13" s="1"/>
  <c r="BB106" i="13" s="1"/>
  <c r="AK211" i="13"/>
  <c r="AB250" i="13"/>
  <c r="AL250" i="13" s="1"/>
  <c r="AC106" i="13"/>
  <c r="AM106" i="13" s="1"/>
  <c r="AO106" i="13" s="1"/>
  <c r="S106" i="16" s="1"/>
  <c r="AD109" i="13"/>
  <c r="AN109" i="13" s="1"/>
  <c r="CK109" i="13" s="1"/>
  <c r="AU250" i="13"/>
  <c r="AY250" i="13" s="1"/>
  <c r="AU109" i="13"/>
  <c r="AY109" i="13" s="1"/>
  <c r="BB109" i="13" s="1"/>
  <c r="AW250" i="13"/>
  <c r="BA250" i="13" s="1"/>
  <c r="CN250" i="13" s="1"/>
  <c r="AW211" i="13"/>
  <c r="BA211" i="13" s="1"/>
  <c r="CN211" i="13" s="1"/>
  <c r="AW191" i="13"/>
  <c r="BA191" i="13" s="1"/>
  <c r="CN191" i="13" s="1"/>
  <c r="AW106" i="13"/>
  <c r="BA106" i="13" s="1"/>
  <c r="CN106" i="13" s="1"/>
  <c r="AD191" i="13"/>
  <c r="AN191" i="13" s="1"/>
  <c r="CK191" i="13" s="1"/>
  <c r="AC109" i="13"/>
  <c r="AM109" i="13" s="1"/>
  <c r="AV79" i="13"/>
  <c r="AZ79" i="13" s="1"/>
  <c r="BB79" i="13" s="1"/>
  <c r="AU137" i="13"/>
  <c r="AY137" i="13" s="1"/>
  <c r="AV177" i="13"/>
  <c r="AZ177" i="13" s="1"/>
  <c r="BB177" i="13" s="1"/>
  <c r="AT228" i="13"/>
  <c r="AX228" i="13" s="1"/>
  <c r="AC40" i="13"/>
  <c r="AM40" i="13" s="1"/>
  <c r="AC177" i="13"/>
  <c r="AM177" i="13" s="1"/>
  <c r="AO177" i="13" s="1"/>
  <c r="S177" i="16" s="1"/>
  <c r="AD212" i="13"/>
  <c r="AN212" i="13" s="1"/>
  <c r="CK212" i="13" s="1"/>
  <c r="AW177" i="13"/>
  <c r="BA177" i="13" s="1"/>
  <c r="CN177" i="13" s="1"/>
  <c r="AT212" i="13"/>
  <c r="AX212" i="13" s="1"/>
  <c r="AT40" i="13"/>
  <c r="AX40" i="13" s="1"/>
  <c r="AA40" i="13"/>
  <c r="AK40" i="13" s="1"/>
  <c r="AB177" i="13"/>
  <c r="AL177" i="13" s="1"/>
  <c r="AB212" i="13"/>
  <c r="AL212" i="13" s="1"/>
  <c r="AU212" i="13"/>
  <c r="AY212" i="13" s="1"/>
  <c r="AU40" i="13"/>
  <c r="AY40" i="13" s="1"/>
  <c r="BB40" i="13" s="1"/>
  <c r="AK212" i="13"/>
  <c r="AW212" i="13"/>
  <c r="BA212" i="13" s="1"/>
  <c r="CN212" i="13" s="1"/>
  <c r="AV40" i="13"/>
  <c r="AZ40" i="13" s="1"/>
  <c r="AC228" i="13"/>
  <c r="AM228" i="13" s="1"/>
  <c r="AW40" i="13"/>
  <c r="BA40" i="13" s="1"/>
  <c r="CN40" i="13" s="1"/>
  <c r="AD228" i="13"/>
  <c r="AN228" i="13" s="1"/>
  <c r="CK228" i="13" s="1"/>
  <c r="AU228" i="13"/>
  <c r="AY228" i="13" s="1"/>
  <c r="AB228" i="13"/>
  <c r="AL228" i="13" s="1"/>
  <c r="AT177" i="13"/>
  <c r="AX177" i="13" s="1"/>
  <c r="AV228" i="13"/>
  <c r="AZ228" i="13" s="1"/>
  <c r="AT123" i="13"/>
  <c r="AX123" i="13" s="1"/>
  <c r="AU123" i="13"/>
  <c r="AY123" i="13" s="1"/>
  <c r="AC123" i="13"/>
  <c r="AM123" i="13" s="1"/>
  <c r="AO123" i="13" s="1"/>
  <c r="S123" i="16" s="1"/>
  <c r="AW123" i="13"/>
  <c r="BA123" i="13" s="1"/>
  <c r="CN123" i="13" s="1"/>
  <c r="AD123" i="13"/>
  <c r="AN123" i="13" s="1"/>
  <c r="CK123" i="13" s="1"/>
  <c r="AV123" i="13"/>
  <c r="AZ123" i="13" s="1"/>
  <c r="BB123" i="13" s="1"/>
  <c r="AW62" i="13"/>
  <c r="BA62" i="13" s="1"/>
  <c r="CN62" i="13" s="1"/>
  <c r="AC62" i="13"/>
  <c r="AM62" i="13" s="1"/>
  <c r="AV62" i="13"/>
  <c r="AZ62" i="13" s="1"/>
  <c r="AD62" i="13"/>
  <c r="AN62" i="13" s="1"/>
  <c r="CK62" i="13" s="1"/>
  <c r="AU62" i="13"/>
  <c r="AY62" i="13" s="1"/>
  <c r="AB62" i="13"/>
  <c r="AL62" i="13" s="1"/>
  <c r="AT62" i="13"/>
  <c r="AX62" i="13" s="1"/>
  <c r="AA62" i="13"/>
  <c r="AK62" i="13" s="1"/>
  <c r="AA42" i="13"/>
  <c r="AK42" i="13" s="1"/>
  <c r="AC42" i="13"/>
  <c r="AM42" i="13" s="1"/>
  <c r="AB42" i="13"/>
  <c r="AL42" i="13" s="1"/>
  <c r="AD42" i="13"/>
  <c r="AN42" i="13" s="1"/>
  <c r="CK42" i="13" s="1"/>
  <c r="AW42" i="13"/>
  <c r="BA42" i="13" s="1"/>
  <c r="CN42" i="13" s="1"/>
  <c r="AT42" i="13"/>
  <c r="AX42" i="13" s="1"/>
  <c r="AU42" i="13"/>
  <c r="AY42" i="13" s="1"/>
  <c r="AV42" i="13"/>
  <c r="AZ42" i="13" s="1"/>
  <c r="AB118" i="13"/>
  <c r="AL118" i="13" s="1"/>
  <c r="AD118" i="13"/>
  <c r="AN118" i="13" s="1"/>
  <c r="CK118" i="13" s="1"/>
  <c r="AC118" i="13"/>
  <c r="AM118" i="13" s="1"/>
  <c r="AU118" i="13"/>
  <c r="AY118" i="13" s="1"/>
  <c r="BB118" i="13" s="1"/>
  <c r="AK118" i="13"/>
  <c r="AW118" i="13"/>
  <c r="BA118" i="13" s="1"/>
  <c r="CN118" i="13" s="1"/>
  <c r="AQ148" i="13" l="1"/>
  <c r="U148" i="16" s="1"/>
  <c r="AQ98" i="13"/>
  <c r="U98" i="16" s="1"/>
  <c r="AQ197" i="13"/>
  <c r="U197" i="16" s="1"/>
  <c r="W123" i="16"/>
  <c r="BE123" i="13"/>
  <c r="W165" i="16"/>
  <c r="BE165" i="13"/>
  <c r="W134" i="16"/>
  <c r="BE134" i="13"/>
  <c r="W190" i="16"/>
  <c r="BE190" i="13"/>
  <c r="Z190" i="16" s="1"/>
  <c r="W173" i="16"/>
  <c r="BE173" i="13"/>
  <c r="W172" i="16"/>
  <c r="BE172" i="13"/>
  <c r="Z172" i="16" s="1"/>
  <c r="W54" i="16"/>
  <c r="BE54" i="13"/>
  <c r="W253" i="16"/>
  <c r="BE253" i="13"/>
  <c r="W214" i="16"/>
  <c r="BE214" i="13"/>
  <c r="W80" i="16"/>
  <c r="BE80" i="13"/>
  <c r="Z80" i="16" s="1"/>
  <c r="C128" i="20"/>
  <c r="M128" i="23"/>
  <c r="C218" i="20"/>
  <c r="M218" i="23"/>
  <c r="C197" i="20"/>
  <c r="M197" i="23"/>
  <c r="C139" i="20"/>
  <c r="M139" i="23"/>
  <c r="C13" i="20"/>
  <c r="M13" i="23"/>
  <c r="C147" i="20"/>
  <c r="M147" i="23"/>
  <c r="C199" i="20"/>
  <c r="M199" i="23"/>
  <c r="C46" i="20"/>
  <c r="M46" i="23"/>
  <c r="C256" i="20"/>
  <c r="M256" i="23"/>
  <c r="C43" i="20"/>
  <c r="M43" i="23"/>
  <c r="C47" i="20"/>
  <c r="M47" i="23"/>
  <c r="W109" i="16"/>
  <c r="BE109" i="13"/>
  <c r="Z109" i="16" s="1"/>
  <c r="W114" i="16"/>
  <c r="BE114" i="13"/>
  <c r="W105" i="16"/>
  <c r="BE105" i="13"/>
  <c r="Z105" i="16" s="1"/>
  <c r="W73" i="16"/>
  <c r="BE73" i="13"/>
  <c r="W137" i="16"/>
  <c r="BE137" i="13"/>
  <c r="W208" i="16"/>
  <c r="BE208" i="13"/>
  <c r="W129" i="16"/>
  <c r="BE129" i="13"/>
  <c r="Z129" i="16" s="1"/>
  <c r="W209" i="16"/>
  <c r="BE209" i="13"/>
  <c r="W189" i="16"/>
  <c r="BE189" i="13"/>
  <c r="Z189" i="16" s="1"/>
  <c r="W200" i="16"/>
  <c r="BE200" i="13"/>
  <c r="W143" i="16"/>
  <c r="BE143" i="13"/>
  <c r="W252" i="16"/>
  <c r="BE252" i="13"/>
  <c r="W248" i="16"/>
  <c r="BE248" i="13"/>
  <c r="W213" i="16"/>
  <c r="BE213" i="13"/>
  <c r="W247" i="16"/>
  <c r="BE247" i="13"/>
  <c r="Z247" i="16" s="1"/>
  <c r="W201" i="16"/>
  <c r="BE201" i="13"/>
  <c r="W81" i="16"/>
  <c r="BE81" i="13"/>
  <c r="W4" i="16"/>
  <c r="BE4" i="13"/>
  <c r="W29" i="16"/>
  <c r="BE29" i="13"/>
  <c r="W82" i="16"/>
  <c r="BE82" i="13"/>
  <c r="W196" i="16"/>
  <c r="BE196" i="13"/>
  <c r="Z196" i="16" s="1"/>
  <c r="W186" i="16"/>
  <c r="BE186" i="13"/>
  <c r="W179" i="16"/>
  <c r="BE179" i="13"/>
  <c r="Z179" i="16" s="1"/>
  <c r="W23" i="16"/>
  <c r="BE23" i="13"/>
  <c r="W74" i="16"/>
  <c r="BE74" i="13"/>
  <c r="Z74" i="16" s="1"/>
  <c r="W76" i="16"/>
  <c r="BE76" i="13"/>
  <c r="W66" i="16"/>
  <c r="BE66" i="13"/>
  <c r="Z66" i="16" s="1"/>
  <c r="W110" i="16"/>
  <c r="BE110" i="13"/>
  <c r="W26" i="16"/>
  <c r="BE26" i="13"/>
  <c r="Z26" i="16" s="1"/>
  <c r="W222" i="16"/>
  <c r="BE222" i="13"/>
  <c r="W245" i="16"/>
  <c r="BE245" i="13"/>
  <c r="Z245" i="16" s="1"/>
  <c r="C145" i="20"/>
  <c r="M145" i="23"/>
  <c r="C154" i="20"/>
  <c r="M154" i="23"/>
  <c r="C83" i="20"/>
  <c r="M83" i="23"/>
  <c r="C14" i="20"/>
  <c r="M14" i="23"/>
  <c r="C58" i="20"/>
  <c r="M58" i="23"/>
  <c r="C122" i="20"/>
  <c r="M122" i="23"/>
  <c r="C48" i="20"/>
  <c r="M48" i="23"/>
  <c r="C251" i="20"/>
  <c r="M251" i="23"/>
  <c r="C236" i="20"/>
  <c r="M236" i="23"/>
  <c r="C157" i="20"/>
  <c r="M157" i="23"/>
  <c r="C61" i="20"/>
  <c r="M61" i="23"/>
  <c r="C38" i="20"/>
  <c r="M38" i="23"/>
  <c r="W233" i="16"/>
  <c r="BE233" i="13"/>
  <c r="W182" i="16"/>
  <c r="BE182" i="13"/>
  <c r="Z182" i="16" s="1"/>
  <c r="W63" i="16"/>
  <c r="BE63" i="13"/>
  <c r="W119" i="16"/>
  <c r="BE119" i="13"/>
  <c r="Z119" i="16" s="1"/>
  <c r="W181" i="16"/>
  <c r="BE181" i="13"/>
  <c r="Z181" i="16" s="1"/>
  <c r="W51" i="16"/>
  <c r="BE51" i="13"/>
  <c r="Z51" i="16" s="1"/>
  <c r="W130" i="16"/>
  <c r="BE130" i="13"/>
  <c r="W243" i="16"/>
  <c r="BE243" i="13"/>
  <c r="Z243" i="16" s="1"/>
  <c r="W167" i="16"/>
  <c r="BE167" i="13"/>
  <c r="W246" i="16"/>
  <c r="BE246" i="13"/>
  <c r="W65" i="16"/>
  <c r="BE65" i="13"/>
  <c r="W22" i="16"/>
  <c r="BE22" i="13"/>
  <c r="W249" i="16"/>
  <c r="BE249" i="13"/>
  <c r="W223" i="16"/>
  <c r="BE223" i="13"/>
  <c r="Z223" i="16" s="1"/>
  <c r="W7" i="16"/>
  <c r="BE7" i="13"/>
  <c r="W88" i="16"/>
  <c r="BE88" i="13"/>
  <c r="Z88" i="16" s="1"/>
  <c r="W68" i="16"/>
  <c r="BE68" i="13"/>
  <c r="Z68" i="16" s="1"/>
  <c r="W113" i="16"/>
  <c r="BE113" i="13"/>
  <c r="Z113" i="16" s="1"/>
  <c r="W101" i="16"/>
  <c r="BE101" i="13"/>
  <c r="W155" i="16"/>
  <c r="BE155" i="13"/>
  <c r="Z155" i="16" s="1"/>
  <c r="W156" i="16"/>
  <c r="BE156" i="13"/>
  <c r="W174" i="16"/>
  <c r="BE174" i="13"/>
  <c r="Z174" i="16" s="1"/>
  <c r="W254" i="16"/>
  <c r="BE254" i="13"/>
  <c r="Z254" i="16" s="1"/>
  <c r="W202" i="16"/>
  <c r="BE202" i="13"/>
  <c r="Z202" i="16" s="1"/>
  <c r="W185" i="16"/>
  <c r="BE185" i="13"/>
  <c r="W108" i="16"/>
  <c r="BE108" i="13"/>
  <c r="Z108" i="16" s="1"/>
  <c r="W3" i="16"/>
  <c r="BE3" i="13"/>
  <c r="W135" i="16"/>
  <c r="BE135" i="13"/>
  <c r="C64" i="20"/>
  <c r="M64" i="23"/>
  <c r="C33" i="20"/>
  <c r="M33" i="23"/>
  <c r="C149" i="20"/>
  <c r="M149" i="23"/>
  <c r="C34" i="20"/>
  <c r="M34" i="23"/>
  <c r="C126" i="20"/>
  <c r="M126" i="23"/>
  <c r="C125" i="20"/>
  <c r="M125" i="23"/>
  <c r="C215" i="20"/>
  <c r="M215" i="23"/>
  <c r="C98" i="20"/>
  <c r="M98" i="23"/>
  <c r="C30" i="20"/>
  <c r="M30" i="23"/>
  <c r="C95" i="20"/>
  <c r="M95" i="23"/>
  <c r="C237" i="20"/>
  <c r="M237" i="23"/>
  <c r="W118" i="16"/>
  <c r="BE118" i="13"/>
  <c r="Z118" i="16" s="1"/>
  <c r="W72" i="16"/>
  <c r="BE72" i="13"/>
  <c r="Z72" i="16" s="1"/>
  <c r="W238" i="16"/>
  <c r="BE238" i="13"/>
  <c r="Z238" i="16" s="1"/>
  <c r="W107" i="16"/>
  <c r="BE107" i="13"/>
  <c r="W70" i="16"/>
  <c r="BE70" i="13"/>
  <c r="Z70" i="16" s="1"/>
  <c r="W71" i="16"/>
  <c r="BE71" i="13"/>
  <c r="W115" i="16"/>
  <c r="BE115" i="13"/>
  <c r="Z115" i="16" s="1"/>
  <c r="W133" i="16"/>
  <c r="BE133" i="13"/>
  <c r="W69" i="16"/>
  <c r="BE69" i="13"/>
  <c r="Z69" i="16" s="1"/>
  <c r="W90" i="16"/>
  <c r="BE90" i="13"/>
  <c r="W232" i="16"/>
  <c r="BE232" i="13"/>
  <c r="Z232" i="16" s="1"/>
  <c r="W235" i="16"/>
  <c r="BE235" i="13"/>
  <c r="W59" i="16"/>
  <c r="BE59" i="13"/>
  <c r="Z59" i="16" s="1"/>
  <c r="W159" i="16"/>
  <c r="BE159" i="13"/>
  <c r="Z159" i="16" s="1"/>
  <c r="W205" i="16"/>
  <c r="BE205" i="13"/>
  <c r="Z205" i="16" s="1"/>
  <c r="W53" i="16"/>
  <c r="BE53" i="13"/>
  <c r="W9" i="16"/>
  <c r="BE9" i="13"/>
  <c r="Z9" i="16" s="1"/>
  <c r="W229" i="16"/>
  <c r="BE229" i="13"/>
  <c r="W116" i="16"/>
  <c r="BE116" i="13"/>
  <c r="Z116" i="16" s="1"/>
  <c r="W79" i="16"/>
  <c r="BE79" i="13"/>
  <c r="Z79" i="16" s="1"/>
  <c r="W86" i="16"/>
  <c r="BE86" i="13"/>
  <c r="Z86" i="16" s="1"/>
  <c r="W183" i="16"/>
  <c r="BE183" i="13"/>
  <c r="W195" i="16"/>
  <c r="BE195" i="13"/>
  <c r="Z195" i="16" s="1"/>
  <c r="W87" i="16"/>
  <c r="BE87" i="13"/>
  <c r="W84" i="16"/>
  <c r="BE84" i="13"/>
  <c r="Z84" i="16" s="1"/>
  <c r="W207" i="16"/>
  <c r="BE207" i="13"/>
  <c r="W178" i="16"/>
  <c r="BE178" i="13"/>
  <c r="Z178" i="16" s="1"/>
  <c r="W67" i="16"/>
  <c r="BE67" i="13"/>
  <c r="W28" i="16"/>
  <c r="BE28" i="13"/>
  <c r="BF28" i="13" s="1"/>
  <c r="C127" i="20"/>
  <c r="M127" i="23"/>
  <c r="C55" i="20"/>
  <c r="M55" i="23"/>
  <c r="C35" i="20"/>
  <c r="M35" i="23"/>
  <c r="C198" i="20"/>
  <c r="M198" i="23"/>
  <c r="C132" i="20"/>
  <c r="M132" i="23"/>
  <c r="C131" i="20"/>
  <c r="M131" i="23"/>
  <c r="C10" i="20"/>
  <c r="M10" i="23"/>
  <c r="C148" i="20"/>
  <c r="M148" i="23"/>
  <c r="C169" i="20"/>
  <c r="M169" i="23"/>
  <c r="C168" i="20"/>
  <c r="M168" i="23"/>
  <c r="C136" i="20"/>
  <c r="M136" i="23"/>
  <c r="C92" i="20"/>
  <c r="M92" i="23"/>
  <c r="C41" i="20"/>
  <c r="M41" i="23"/>
  <c r="W177" i="16"/>
  <c r="BE177" i="13"/>
  <c r="Z177" i="16" s="1"/>
  <c r="W106" i="16"/>
  <c r="BE106" i="13"/>
  <c r="W8" i="16"/>
  <c r="BE8" i="13"/>
  <c r="Z8" i="16" s="1"/>
  <c r="W206" i="16"/>
  <c r="BE206" i="13"/>
  <c r="W141" i="16"/>
  <c r="BE141" i="13"/>
  <c r="Z141" i="16" s="1"/>
  <c r="W6" i="16"/>
  <c r="BE6" i="13"/>
  <c r="W50" i="16"/>
  <c r="BE50" i="13"/>
  <c r="W219" i="16"/>
  <c r="BE219" i="13"/>
  <c r="W60" i="16"/>
  <c r="BE60" i="13"/>
  <c r="Z60" i="16" s="1"/>
  <c r="W224" i="16"/>
  <c r="BE224" i="13"/>
  <c r="S192" i="16"/>
  <c r="AQ192" i="13"/>
  <c r="W57" i="16"/>
  <c r="BE57" i="13"/>
  <c r="W24" i="16"/>
  <c r="BE24" i="13"/>
  <c r="W166" i="16"/>
  <c r="BE166" i="13"/>
  <c r="W37" i="16"/>
  <c r="BE37" i="13"/>
  <c r="W31" i="16"/>
  <c r="BE31" i="13"/>
  <c r="W191" i="16"/>
  <c r="BE191" i="13"/>
  <c r="Z191" i="16" s="1"/>
  <c r="W216" i="16"/>
  <c r="BE216" i="13"/>
  <c r="W192" i="16"/>
  <c r="BE192" i="13"/>
  <c r="Z192" i="16" s="1"/>
  <c r="W220" i="16"/>
  <c r="BE220" i="13"/>
  <c r="W112" i="16"/>
  <c r="BE112" i="13"/>
  <c r="Z112" i="16" s="1"/>
  <c r="W188" i="16"/>
  <c r="BE188" i="13"/>
  <c r="W151" i="16"/>
  <c r="BE151" i="13"/>
  <c r="Z151" i="16" s="1"/>
  <c r="W161" i="16"/>
  <c r="BE161" i="13"/>
  <c r="W75" i="16"/>
  <c r="BE75" i="13"/>
  <c r="W210" i="16"/>
  <c r="BE210" i="13"/>
  <c r="Z210" i="16" s="1"/>
  <c r="W5" i="16"/>
  <c r="BE5" i="13"/>
  <c r="W56" i="16"/>
  <c r="BE56" i="13"/>
  <c r="W176" i="16"/>
  <c r="BE176" i="13"/>
  <c r="Z176" i="16" s="1"/>
  <c r="W221" i="16"/>
  <c r="BE221" i="13"/>
  <c r="W194" i="16"/>
  <c r="BE194" i="13"/>
  <c r="C144" i="20"/>
  <c r="M144" i="23"/>
  <c r="C20" i="20"/>
  <c r="M20" i="23"/>
  <c r="C240" i="20"/>
  <c r="M240" i="23"/>
  <c r="C120" i="20"/>
  <c r="M120" i="23"/>
  <c r="C146" i="20"/>
  <c r="M146" i="23"/>
  <c r="C45" i="20"/>
  <c r="M45" i="23"/>
  <c r="C171" i="20"/>
  <c r="M171" i="23"/>
  <c r="C12" i="20"/>
  <c r="M12" i="23"/>
  <c r="C85" i="20"/>
  <c r="M85" i="23"/>
  <c r="C19" i="20"/>
  <c r="M19" i="23"/>
  <c r="C93" i="20"/>
  <c r="M93" i="23"/>
  <c r="C170" i="20"/>
  <c r="M170" i="23"/>
  <c r="W40" i="16"/>
  <c r="BE40" i="13"/>
  <c r="Z40" i="16" s="1"/>
  <c r="W211" i="16"/>
  <c r="BE211" i="13"/>
  <c r="Z211" i="16" s="1"/>
  <c r="W193" i="16"/>
  <c r="BE193" i="13"/>
  <c r="W217" i="16"/>
  <c r="BE217" i="13"/>
  <c r="Z217" i="16" s="1"/>
  <c r="W260" i="16"/>
  <c r="BE260" i="13"/>
  <c r="W244" i="16"/>
  <c r="BE244" i="13"/>
  <c r="Z154" i="16"/>
  <c r="W140" i="16"/>
  <c r="BE140" i="13"/>
  <c r="Z140" i="16" s="1"/>
  <c r="W250" i="16"/>
  <c r="BE250" i="13"/>
  <c r="Z250" i="16" s="1"/>
  <c r="W32" i="16"/>
  <c r="BE32" i="13"/>
  <c r="Z32" i="16" s="1"/>
  <c r="W203" i="16"/>
  <c r="BE203" i="13"/>
  <c r="W142" i="16"/>
  <c r="BE142" i="13"/>
  <c r="W111" i="16"/>
  <c r="BE111" i="13"/>
  <c r="W36" i="16"/>
  <c r="BE36" i="13"/>
  <c r="Z36" i="16" s="1"/>
  <c r="W258" i="16"/>
  <c r="BE258" i="13"/>
  <c r="Z258" i="16" s="1"/>
  <c r="W96" i="16"/>
  <c r="BE96" i="13"/>
  <c r="Z96" i="16" s="1"/>
  <c r="W162" i="16"/>
  <c r="BE162" i="13"/>
  <c r="W21" i="16"/>
  <c r="BE21" i="13"/>
  <c r="C230" i="20"/>
  <c r="M230" i="23"/>
  <c r="C11" i="20"/>
  <c r="M11" i="23"/>
  <c r="C117" i="20"/>
  <c r="M117" i="23"/>
  <c r="C44" i="20"/>
  <c r="M44" i="23"/>
  <c r="C124" i="20"/>
  <c r="M124" i="23"/>
  <c r="C121" i="20"/>
  <c r="M121" i="23"/>
  <c r="C259" i="20"/>
  <c r="M259" i="23"/>
  <c r="C77" i="20"/>
  <c r="M77" i="23"/>
  <c r="C94" i="20"/>
  <c r="M94" i="23"/>
  <c r="C16" i="20"/>
  <c r="M16" i="23"/>
  <c r="C150" i="20"/>
  <c r="M150" i="23"/>
  <c r="C27" i="20"/>
  <c r="M27" i="23"/>
  <c r="W97" i="16"/>
  <c r="BE97" i="13"/>
  <c r="W52" i="16"/>
  <c r="BE52" i="13"/>
  <c r="Z52" i="16" s="1"/>
  <c r="W234" i="16"/>
  <c r="BE234" i="13"/>
  <c r="Z234" i="16" s="1"/>
  <c r="W89" i="16"/>
  <c r="BE89" i="13"/>
  <c r="Z89" i="16" s="1"/>
  <c r="W204" i="16"/>
  <c r="BE204" i="13"/>
  <c r="W180" i="16"/>
  <c r="BE180" i="13"/>
  <c r="W78" i="16"/>
  <c r="BE78" i="13"/>
  <c r="Z78" i="16" s="1"/>
  <c r="W231" i="16"/>
  <c r="BE231" i="13"/>
  <c r="Z231" i="16" s="1"/>
  <c r="W257" i="16"/>
  <c r="BE257" i="13"/>
  <c r="Z257" i="16" s="1"/>
  <c r="W212" i="16"/>
  <c r="BE212" i="13"/>
  <c r="Z212" i="16" s="1"/>
  <c r="W49" i="16"/>
  <c r="BE49" i="13"/>
  <c r="W160" i="16"/>
  <c r="BE160" i="13"/>
  <c r="W25" i="16"/>
  <c r="BE25" i="13"/>
  <c r="Z25" i="16" s="1"/>
  <c r="W39" i="16"/>
  <c r="BE39" i="13"/>
  <c r="Z39" i="16" s="1"/>
  <c r="W239" i="16"/>
  <c r="BE239" i="13"/>
  <c r="Z239" i="16" s="1"/>
  <c r="W158" i="16"/>
  <c r="BE158" i="13"/>
  <c r="Z158" i="16" s="1"/>
  <c r="AR171" i="13"/>
  <c r="V171" i="16" s="1"/>
  <c r="U171" i="16"/>
  <c r="AR136" i="13"/>
  <c r="V136" i="16" s="1"/>
  <c r="U136" i="16"/>
  <c r="AR61" i="13"/>
  <c r="V61" i="16" s="1"/>
  <c r="U61" i="16"/>
  <c r="AR218" i="13"/>
  <c r="V218" i="16" s="1"/>
  <c r="U218" i="16"/>
  <c r="AR30" i="13"/>
  <c r="V30" i="16" s="1"/>
  <c r="U30" i="16"/>
  <c r="AB149" i="16"/>
  <c r="K149" i="23"/>
  <c r="AB198" i="16"/>
  <c r="AI198" i="16" s="1"/>
  <c r="K198" i="23"/>
  <c r="AB237" i="16"/>
  <c r="K237" i="23"/>
  <c r="AB145" i="16"/>
  <c r="AD145" i="16" s="1"/>
  <c r="K145" i="23"/>
  <c r="AB154" i="16"/>
  <c r="AD154" i="16" s="1"/>
  <c r="K154" i="23"/>
  <c r="AR20" i="13"/>
  <c r="V20" i="16" s="1"/>
  <c r="U20" i="16"/>
  <c r="K184" i="23"/>
  <c r="AA138" i="16"/>
  <c r="D138" i="20"/>
  <c r="AA152" i="16"/>
  <c r="D152" i="20"/>
  <c r="CU154" i="13"/>
  <c r="CY154" i="13"/>
  <c r="CS154" i="13"/>
  <c r="CU237" i="13"/>
  <c r="CS237" i="13"/>
  <c r="CY237" i="13"/>
  <c r="BH121" i="13"/>
  <c r="BI121" i="13" s="1"/>
  <c r="BH144" i="13"/>
  <c r="BH240" i="13"/>
  <c r="BI240" i="13" s="1"/>
  <c r="BH94" i="13"/>
  <c r="BI94" i="13" s="1"/>
  <c r="BH12" i="13"/>
  <c r="BH153" i="13"/>
  <c r="BH147" i="13"/>
  <c r="BH128" i="13"/>
  <c r="BI128" i="13" s="1"/>
  <c r="BH11" i="13"/>
  <c r="BI11" i="13" s="1"/>
  <c r="BH139" i="13"/>
  <c r="BI139" i="13" s="1"/>
  <c r="BH120" i="13"/>
  <c r="BI120" i="13" s="1"/>
  <c r="BH16" i="13"/>
  <c r="BI16" i="13" s="1"/>
  <c r="BH169" i="13"/>
  <c r="BI169" i="13" s="1"/>
  <c r="BH92" i="13"/>
  <c r="BH95" i="13"/>
  <c r="BI95" i="13" s="1"/>
  <c r="BH98" i="13"/>
  <c r="BI98" i="13" s="1"/>
  <c r="BH150" i="13"/>
  <c r="BI150" i="13" s="1"/>
  <c r="BH125" i="13"/>
  <c r="BH43" i="13"/>
  <c r="BH170" i="13"/>
  <c r="BI170" i="13" s="1"/>
  <c r="BH259" i="13"/>
  <c r="BI259" i="13" s="1"/>
  <c r="BH197" i="13"/>
  <c r="BI197" i="13" s="1"/>
  <c r="BH35" i="13"/>
  <c r="BI35" i="13" s="1"/>
  <c r="BH157" i="13"/>
  <c r="BH28" i="13"/>
  <c r="BH67" i="13"/>
  <c r="BI67" i="13" s="1"/>
  <c r="BH81" i="13"/>
  <c r="BI81" i="13" s="1"/>
  <c r="BH84" i="13"/>
  <c r="BI84" i="13" s="1"/>
  <c r="BH93" i="13"/>
  <c r="BI93" i="13" s="1"/>
  <c r="BH148" i="13"/>
  <c r="BI148" i="13" s="1"/>
  <c r="BH127" i="13"/>
  <c r="BI127" i="13" s="1"/>
  <c r="BH14" i="13"/>
  <c r="BI14" i="13" s="1"/>
  <c r="BH236" i="13"/>
  <c r="BI236" i="13" s="1"/>
  <c r="BH19" i="13"/>
  <c r="BI19" i="13" s="1"/>
  <c r="BH64" i="13"/>
  <c r="BI64" i="13" s="1"/>
  <c r="BH132" i="13"/>
  <c r="BI132" i="13" s="1"/>
  <c r="BH124" i="13"/>
  <c r="BI124" i="13" s="1"/>
  <c r="BH58" i="13"/>
  <c r="BI58" i="13" s="1"/>
  <c r="BH135" i="13"/>
  <c r="BI135" i="13" s="1"/>
  <c r="BH26" i="13"/>
  <c r="BI26" i="13" s="1"/>
  <c r="BH168" i="13"/>
  <c r="BI168" i="13" s="1"/>
  <c r="BH27" i="13"/>
  <c r="BI27" i="13" s="1"/>
  <c r="BH80" i="13"/>
  <c r="BI80" i="13" s="1"/>
  <c r="BH45" i="13"/>
  <c r="BI45" i="13" s="1"/>
  <c r="BH77" i="13"/>
  <c r="BI77" i="13" s="1"/>
  <c r="BH55" i="13"/>
  <c r="BI55" i="13" s="1"/>
  <c r="BH138" i="13"/>
  <c r="BI138" i="13" s="1"/>
  <c r="BH34" i="13"/>
  <c r="BH218" i="13"/>
  <c r="BI218" i="13" s="1"/>
  <c r="BH20" i="13"/>
  <c r="BI20" i="13" s="1"/>
  <c r="BH10" i="13"/>
  <c r="BI10" i="13" s="1"/>
  <c r="BH44" i="13"/>
  <c r="BI44" i="13" s="1"/>
  <c r="BH41" i="13"/>
  <c r="BH85" i="13"/>
  <c r="BH256" i="13"/>
  <c r="BI256" i="13" s="1"/>
  <c r="BH31" i="13"/>
  <c r="BI31" i="13" s="1"/>
  <c r="BH61" i="13"/>
  <c r="BI61" i="13" s="1"/>
  <c r="BH171" i="13"/>
  <c r="BI171" i="13" s="1"/>
  <c r="BH136" i="13"/>
  <c r="BI136" i="13" s="1"/>
  <c r="BH46" i="13"/>
  <c r="BI46" i="13" s="1"/>
  <c r="BH47" i="13"/>
  <c r="BI47" i="13" s="1"/>
  <c r="BH13" i="13"/>
  <c r="BI13" i="13" s="1"/>
  <c r="BH33" i="13"/>
  <c r="BI33" i="13" s="1"/>
  <c r="BH146" i="13"/>
  <c r="BI146" i="13" s="1"/>
  <c r="BH48" i="13"/>
  <c r="BI48" i="13" s="1"/>
  <c r="BH30" i="13"/>
  <c r="BI30" i="13" s="1"/>
  <c r="BH152" i="13"/>
  <c r="BI152" i="13" s="1"/>
  <c r="CU149" i="13"/>
  <c r="AR125" i="13"/>
  <c r="V125" i="16" s="1"/>
  <c r="AR67" i="13"/>
  <c r="V67" i="16" s="1"/>
  <c r="AR10" i="13"/>
  <c r="V10" i="16" s="1"/>
  <c r="AR34" i="13"/>
  <c r="V34" i="16" s="1"/>
  <c r="AR236" i="13"/>
  <c r="V236" i="16" s="1"/>
  <c r="AR168" i="13"/>
  <c r="V168" i="16" s="1"/>
  <c r="CY145" i="13"/>
  <c r="AR27" i="13"/>
  <c r="V27" i="16" s="1"/>
  <c r="BF41" i="13"/>
  <c r="CS145" i="13"/>
  <c r="AR45" i="13"/>
  <c r="V45" i="16" s="1"/>
  <c r="AR150" i="13"/>
  <c r="V150" i="16" s="1"/>
  <c r="CU145" i="13"/>
  <c r="AR13" i="13"/>
  <c r="V13" i="16" s="1"/>
  <c r="BF197" i="13"/>
  <c r="BF169" i="13"/>
  <c r="BF168" i="13"/>
  <c r="BF218" i="13"/>
  <c r="BF64" i="13"/>
  <c r="BF85" i="13"/>
  <c r="BF27" i="13"/>
  <c r="BF170" i="13"/>
  <c r="BF58" i="13"/>
  <c r="AR169" i="13"/>
  <c r="V169" i="16" s="1"/>
  <c r="AR127" i="13"/>
  <c r="V127" i="16" s="1"/>
  <c r="AR14" i="13"/>
  <c r="V14" i="16" s="1"/>
  <c r="CS149" i="13"/>
  <c r="AR16" i="13"/>
  <c r="V16" i="16" s="1"/>
  <c r="AR132" i="13"/>
  <c r="V132" i="16" s="1"/>
  <c r="AR139" i="13"/>
  <c r="V139" i="16" s="1"/>
  <c r="CY149" i="13"/>
  <c r="BF55" i="13"/>
  <c r="AR64" i="13"/>
  <c r="V64" i="16" s="1"/>
  <c r="AR120" i="13"/>
  <c r="V120" i="16" s="1"/>
  <c r="AR19" i="13"/>
  <c r="V19" i="16" s="1"/>
  <c r="AR11" i="13"/>
  <c r="V11" i="16" s="1"/>
  <c r="BF259" i="13"/>
  <c r="BF20" i="13"/>
  <c r="BF240" i="13"/>
  <c r="BF12" i="13"/>
  <c r="BF11" i="13"/>
  <c r="BF145" i="13"/>
  <c r="BF45" i="13"/>
  <c r="BF10" i="13"/>
  <c r="BF33" i="13"/>
  <c r="BF92" i="13"/>
  <c r="BF148" i="13"/>
  <c r="BF136" i="13"/>
  <c r="BF46" i="13"/>
  <c r="BF124" i="13"/>
  <c r="BF47" i="13"/>
  <c r="BF256" i="13"/>
  <c r="BF147" i="13"/>
  <c r="AR35" i="13"/>
  <c r="V35" i="16" s="1"/>
  <c r="BF13" i="13"/>
  <c r="BF19" i="13"/>
  <c r="BF35" i="13"/>
  <c r="BF236" i="13"/>
  <c r="AR259" i="13"/>
  <c r="V259" i="16" s="1"/>
  <c r="BF128" i="13"/>
  <c r="BF132" i="13"/>
  <c r="BF98" i="13"/>
  <c r="AR94" i="13"/>
  <c r="V94" i="16" s="1"/>
  <c r="BF199" i="13"/>
  <c r="BF77" i="13"/>
  <c r="AR12" i="13"/>
  <c r="V12" i="16" s="1"/>
  <c r="BF14" i="13"/>
  <c r="AD198" i="16"/>
  <c r="AI149" i="16"/>
  <c r="AD149" i="16"/>
  <c r="AH149" i="16"/>
  <c r="AH154" i="16"/>
  <c r="BF121" i="13"/>
  <c r="AI145" i="16"/>
  <c r="AD237" i="16"/>
  <c r="AI237" i="16"/>
  <c r="AH237" i="16"/>
  <c r="AQ108" i="13"/>
  <c r="U108" i="16" s="1"/>
  <c r="Z107" i="16"/>
  <c r="AQ50" i="13"/>
  <c r="U50" i="16" s="1"/>
  <c r="AQ126" i="13"/>
  <c r="U126" i="16" s="1"/>
  <c r="AR152" i="13"/>
  <c r="V152" i="16" s="1"/>
  <c r="AQ244" i="13"/>
  <c r="U244" i="16" s="1"/>
  <c r="AO62" i="13"/>
  <c r="S62" i="16" s="1"/>
  <c r="AQ5" i="13"/>
  <c r="U5" i="16" s="1"/>
  <c r="Z183" i="16"/>
  <c r="Z90" i="16"/>
  <c r="AQ235" i="13"/>
  <c r="U235" i="16" s="1"/>
  <c r="Z235" i="16"/>
  <c r="AQ172" i="13"/>
  <c r="U172" i="16" s="1"/>
  <c r="CF108" i="13"/>
  <c r="AG108" i="16" s="1"/>
  <c r="AQ57" i="13"/>
  <c r="AQ82" i="13"/>
  <c r="U82" i="16" s="1"/>
  <c r="BF94" i="13"/>
  <c r="BF237" i="13"/>
  <c r="AO118" i="13"/>
  <c r="S118" i="16" s="1"/>
  <c r="BB62" i="13"/>
  <c r="Z106" i="16"/>
  <c r="AQ114" i="13"/>
  <c r="U114" i="16" s="1"/>
  <c r="Z206" i="16"/>
  <c r="Z6" i="16"/>
  <c r="AQ210" i="13"/>
  <c r="U210" i="16" s="1"/>
  <c r="AQ68" i="13"/>
  <c r="U68" i="16" s="1"/>
  <c r="AO231" i="13"/>
  <c r="S231" i="16" s="1"/>
  <c r="BS107" i="13"/>
  <c r="AC107" i="16" s="1"/>
  <c r="BS109" i="13"/>
  <c r="AC109" i="16" s="1"/>
  <c r="BS40" i="13"/>
  <c r="AC40" i="16" s="1"/>
  <c r="CF103" i="13"/>
  <c r="AG103" i="16" s="1"/>
  <c r="AQ38" i="13"/>
  <c r="U38" i="16" s="1"/>
  <c r="Z207" i="16"/>
  <c r="BF43" i="13"/>
  <c r="BF171" i="13"/>
  <c r="BS231" i="13"/>
  <c r="AC231" i="16" s="1"/>
  <c r="AR157" i="13"/>
  <c r="V157" i="16" s="1"/>
  <c r="Z135" i="16"/>
  <c r="BF154" i="13"/>
  <c r="AQ107" i="13"/>
  <c r="U107" i="16" s="1"/>
  <c r="Z101" i="16"/>
  <c r="Z220" i="16"/>
  <c r="AQ141" i="13"/>
  <c r="U141" i="16" s="1"/>
  <c r="Z188" i="16"/>
  <c r="AQ158" i="13"/>
  <c r="U158" i="16" s="1"/>
  <c r="Z161" i="16"/>
  <c r="AQ189" i="13"/>
  <c r="U189" i="16" s="1"/>
  <c r="Z75" i="16"/>
  <c r="AQ90" i="13"/>
  <c r="U90" i="16" s="1"/>
  <c r="AQ195" i="13"/>
  <c r="U195" i="16" s="1"/>
  <c r="Z224" i="16"/>
  <c r="BF126" i="13"/>
  <c r="Z166" i="16"/>
  <c r="Z37" i="16"/>
  <c r="BF61" i="13"/>
  <c r="AQ29" i="13"/>
  <c r="U29" i="16" s="1"/>
  <c r="BF93" i="13"/>
  <c r="BB42" i="13"/>
  <c r="Z193" i="16"/>
  <c r="AQ137" i="13"/>
  <c r="U137" i="16" s="1"/>
  <c r="AQ129" i="13"/>
  <c r="U129" i="16" s="1"/>
  <c r="AQ165" i="13"/>
  <c r="U165" i="16" s="1"/>
  <c r="AO134" i="13"/>
  <c r="S134" i="16" s="1"/>
  <c r="Z5" i="16"/>
  <c r="Z56" i="16"/>
  <c r="AO225" i="13"/>
  <c r="S225" i="16" s="1"/>
  <c r="AO104" i="13"/>
  <c r="S104" i="16" s="1"/>
  <c r="BB104" i="13"/>
  <c r="CF100" i="13"/>
  <c r="AG100" i="16" s="1"/>
  <c r="BB100" i="13"/>
  <c r="BF117" i="13"/>
  <c r="BF44" i="13"/>
  <c r="BF157" i="13"/>
  <c r="BI12" i="13"/>
  <c r="BI153" i="13"/>
  <c r="AR153" i="13"/>
  <c r="V153" i="16" s="1"/>
  <c r="AQ25" i="13"/>
  <c r="U25" i="16" s="1"/>
  <c r="AQ22" i="13"/>
  <c r="U22" i="16" s="1"/>
  <c r="Z244" i="16"/>
  <c r="AQ194" i="13"/>
  <c r="U194" i="16" s="1"/>
  <c r="AR170" i="13"/>
  <c r="V170" i="16" s="1"/>
  <c r="BF125" i="13"/>
  <c r="AR256" i="13"/>
  <c r="V256" i="16" s="1"/>
  <c r="Z142" i="16"/>
  <c r="AQ70" i="13"/>
  <c r="U70" i="16" s="1"/>
  <c r="AO60" i="13"/>
  <c r="S60" i="16" s="1"/>
  <c r="Z204" i="16"/>
  <c r="CF97" i="13"/>
  <c r="AG97" i="16" s="1"/>
  <c r="CF109" i="13"/>
  <c r="AG109" i="16" s="1"/>
  <c r="AQ162" i="13"/>
  <c r="U162" i="16" s="1"/>
  <c r="Z162" i="16"/>
  <c r="AQ201" i="13"/>
  <c r="U201" i="16" s="1"/>
  <c r="AO100" i="13"/>
  <c r="S100" i="16" s="1"/>
  <c r="Z21" i="16"/>
  <c r="BI144" i="13"/>
  <c r="BF127" i="13"/>
  <c r="BF30" i="13"/>
  <c r="BF131" i="13"/>
  <c r="BJ145" i="13"/>
  <c r="BF34" i="13"/>
  <c r="BI125" i="13"/>
  <c r="AQ247" i="13"/>
  <c r="U247" i="16" s="1"/>
  <c r="AQ190" i="13"/>
  <c r="U190" i="16" s="1"/>
  <c r="AQ174" i="13"/>
  <c r="U174" i="16" s="1"/>
  <c r="AQ182" i="13"/>
  <c r="U182" i="16" s="1"/>
  <c r="AQ212" i="13"/>
  <c r="U212" i="16" s="1"/>
  <c r="Z134" i="16"/>
  <c r="AQ72" i="13"/>
  <c r="U72" i="16" s="1"/>
  <c r="Z173" i="16"/>
  <c r="AQ142" i="13"/>
  <c r="U142" i="16" s="1"/>
  <c r="AQ75" i="13"/>
  <c r="U75" i="16" s="1"/>
  <c r="AQ66" i="13"/>
  <c r="U66" i="16" s="1"/>
  <c r="Z49" i="16"/>
  <c r="BS103" i="13"/>
  <c r="AC103" i="16" s="1"/>
  <c r="CF102" i="13"/>
  <c r="AG102" i="16" s="1"/>
  <c r="BI147" i="13"/>
  <c r="CF231" i="13"/>
  <c r="AG231" i="16" s="1"/>
  <c r="BJ149" i="13"/>
  <c r="BF139" i="13"/>
  <c r="AQ117" i="13"/>
  <c r="U117" i="16" s="1"/>
  <c r="AQ140" i="13"/>
  <c r="U140" i="16" s="1"/>
  <c r="Z203" i="16"/>
  <c r="BB102" i="13"/>
  <c r="AQ211" i="13"/>
  <c r="U211" i="16" s="1"/>
  <c r="Z97" i="16"/>
  <c r="AQ186" i="13"/>
  <c r="U186" i="16" s="1"/>
  <c r="Z123" i="16"/>
  <c r="Z165" i="16"/>
  <c r="AO42" i="13"/>
  <c r="S42" i="16" s="1"/>
  <c r="AQ196" i="13"/>
  <c r="U196" i="16" s="1"/>
  <c r="Z114" i="16"/>
  <c r="Z73" i="16"/>
  <c r="Z137" i="16"/>
  <c r="AQ208" i="13"/>
  <c r="Z208" i="16"/>
  <c r="Z209" i="16"/>
  <c r="AO101" i="13"/>
  <c r="S101" i="16" s="1"/>
  <c r="Z54" i="16"/>
  <c r="BB225" i="13"/>
  <c r="Z253" i="16"/>
  <c r="BF48" i="13"/>
  <c r="BJ237" i="13"/>
  <c r="Z67" i="16"/>
  <c r="Z111" i="16"/>
  <c r="AQ79" i="13"/>
  <c r="U79" i="16" s="1"/>
  <c r="AQ88" i="13"/>
  <c r="U88" i="16" s="1"/>
  <c r="Z23" i="16"/>
  <c r="AQ133" i="13"/>
  <c r="U133" i="16" s="1"/>
  <c r="AQ161" i="13"/>
  <c r="U161" i="16" s="1"/>
  <c r="Z252" i="16"/>
  <c r="AO71" i="13"/>
  <c r="S71" i="16" s="1"/>
  <c r="BS225" i="13"/>
  <c r="AC225" i="16" s="1"/>
  <c r="Z201" i="16"/>
  <c r="AQ37" i="13"/>
  <c r="U37" i="16" s="1"/>
  <c r="AO97" i="13"/>
  <c r="S97" i="16" s="1"/>
  <c r="Z29" i="16"/>
  <c r="BF16" i="13"/>
  <c r="BF120" i="13"/>
  <c r="BF146" i="13"/>
  <c r="BB103" i="13"/>
  <c r="AQ155" i="13"/>
  <c r="U155" i="16" s="1"/>
  <c r="Z110" i="16"/>
  <c r="BS97" i="13"/>
  <c r="AC97" i="16" s="1"/>
  <c r="AO86" i="13"/>
  <c r="S86" i="16" s="1"/>
  <c r="AQ21" i="13"/>
  <c r="U21" i="16" s="1"/>
  <c r="BF198" i="13"/>
  <c r="AQ3" i="13"/>
  <c r="U3" i="16" s="1"/>
  <c r="BJ154" i="13"/>
  <c r="BF17" i="13"/>
  <c r="AQ123" i="13"/>
  <c r="U123" i="16" s="1"/>
  <c r="AQ32" i="13"/>
  <c r="U32" i="16" s="1"/>
  <c r="Z63" i="16"/>
  <c r="AQ7" i="13"/>
  <c r="U7" i="16" s="1"/>
  <c r="AQ188" i="13"/>
  <c r="U188" i="16" s="1"/>
  <c r="AQ116" i="13"/>
  <c r="U116" i="16" s="1"/>
  <c r="AQ183" i="13"/>
  <c r="U183" i="16" s="1"/>
  <c r="Z130" i="16"/>
  <c r="AQ238" i="13"/>
  <c r="AQ234" i="13"/>
  <c r="U234" i="16" s="1"/>
  <c r="Z246" i="16"/>
  <c r="BS108" i="13"/>
  <c r="AC108" i="16" s="1"/>
  <c r="CF86" i="13"/>
  <c r="AG86" i="16" s="1"/>
  <c r="BF95" i="13"/>
  <c r="AR26" i="13"/>
  <c r="V26" i="16" s="1"/>
  <c r="BF38" i="13"/>
  <c r="AQ52" i="13"/>
  <c r="U52" i="16" s="1"/>
  <c r="AQ243" i="13"/>
  <c r="U243" i="16" s="1"/>
  <c r="AQ110" i="13"/>
  <c r="U110" i="16" s="1"/>
  <c r="AQ205" i="13"/>
  <c r="U205" i="16" s="1"/>
  <c r="BJ198" i="13"/>
  <c r="BI255" i="13"/>
  <c r="BF230" i="13"/>
  <c r="CU61" i="13"/>
  <c r="CY198" i="13"/>
  <c r="CU198" i="13"/>
  <c r="CS198" i="13"/>
  <c r="CY184" i="13"/>
  <c r="CU184" i="13"/>
  <c r="CS184" i="13"/>
  <c r="CY136" i="13"/>
  <c r="CU136" i="13"/>
  <c r="CS136" i="13"/>
  <c r="AR31" i="13"/>
  <c r="V31" i="16" s="1"/>
  <c r="BF83" i="13"/>
  <c r="AR84" i="13"/>
  <c r="V84" i="16" s="1"/>
  <c r="BF122" i="13"/>
  <c r="BF251" i="13"/>
  <c r="BF215" i="13"/>
  <c r="Z186" i="16"/>
  <c r="Z213" i="16"/>
  <c r="Z167" i="16"/>
  <c r="Z222" i="16"/>
  <c r="Z160" i="16"/>
  <c r="Z221" i="16"/>
  <c r="Z31" i="16"/>
  <c r="Z233" i="16"/>
  <c r="Z7" i="16"/>
  <c r="Z50" i="16"/>
  <c r="Z219" i="16"/>
  <c r="Z87" i="16"/>
  <c r="Z65" i="16"/>
  <c r="Z24" i="16"/>
  <c r="Z249" i="16"/>
  <c r="AR81" i="13"/>
  <c r="V81" i="16" s="1"/>
  <c r="Z214" i="16"/>
  <c r="Z194" i="16"/>
  <c r="Z82" i="16"/>
  <c r="Z216" i="16"/>
  <c r="Z180" i="16"/>
  <c r="Z143" i="16"/>
  <c r="Z248" i="16"/>
  <c r="Z22" i="16"/>
  <c r="Z57" i="16"/>
  <c r="Z53" i="16"/>
  <c r="Z229" i="16"/>
  <c r="Z71" i="16"/>
  <c r="Z133" i="16"/>
  <c r="Z200" i="16"/>
  <c r="Z156" i="16"/>
  <c r="Z260" i="16"/>
  <c r="Z81" i="16"/>
  <c r="Z4" i="16"/>
  <c r="Z185" i="16"/>
  <c r="Z3" i="16"/>
  <c r="AR80" i="13"/>
  <c r="V80" i="16" s="1"/>
  <c r="AR197" i="13"/>
  <c r="V197" i="16" s="1"/>
  <c r="AR148" i="13"/>
  <c r="V148" i="16" s="1"/>
  <c r="AR41" i="13"/>
  <c r="V41" i="16" s="1"/>
  <c r="AR95" i="13"/>
  <c r="V95" i="16" s="1"/>
  <c r="AR138" i="13"/>
  <c r="V138" i="16" s="1"/>
  <c r="AR93" i="13"/>
  <c r="V93" i="16" s="1"/>
  <c r="AR44" i="13"/>
  <c r="V44" i="16" s="1"/>
  <c r="AR33" i="13"/>
  <c r="V33" i="16" s="1"/>
  <c r="AR28" i="13"/>
  <c r="V28" i="16" s="1"/>
  <c r="AR146" i="13"/>
  <c r="V146" i="16" s="1"/>
  <c r="AR147" i="13"/>
  <c r="V147" i="16" s="1"/>
  <c r="AR47" i="13"/>
  <c r="V47" i="16" s="1"/>
  <c r="AR240" i="13"/>
  <c r="V240" i="16" s="1"/>
  <c r="AR98" i="13"/>
  <c r="V98" i="16" s="1"/>
  <c r="AQ163" i="13"/>
  <c r="AR124" i="13"/>
  <c r="V124" i="16" s="1"/>
  <c r="AR46" i="13"/>
  <c r="V46" i="16" s="1"/>
  <c r="AR121" i="13"/>
  <c r="V121" i="16" s="1"/>
  <c r="AR92" i="13"/>
  <c r="V92" i="16" s="1"/>
  <c r="AR144" i="13"/>
  <c r="V144" i="16" s="1"/>
  <c r="AR128" i="13"/>
  <c r="V128" i="16" s="1"/>
  <c r="AR77" i="13"/>
  <c r="V77" i="16" s="1"/>
  <c r="AR43" i="13"/>
  <c r="V43" i="16" s="1"/>
  <c r="AR58" i="13"/>
  <c r="V58" i="16" s="1"/>
  <c r="AR55" i="13"/>
  <c r="V55" i="16" s="1"/>
  <c r="AR135" i="13"/>
  <c r="V135" i="16" s="1"/>
  <c r="AR85" i="13"/>
  <c r="V85" i="16" s="1"/>
  <c r="AR48" i="13"/>
  <c r="V48" i="16" s="1"/>
  <c r="AQ8" i="13"/>
  <c r="U8" i="16" s="1"/>
  <c r="AQ63" i="13"/>
  <c r="U63" i="16" s="1"/>
  <c r="AQ105" i="13"/>
  <c r="U105" i="16" s="1"/>
  <c r="AQ151" i="13"/>
  <c r="U151" i="16" s="1"/>
  <c r="AQ179" i="13"/>
  <c r="U179" i="16" s="1"/>
  <c r="AQ102" i="13"/>
  <c r="U102" i="16" s="1"/>
  <c r="AQ200" i="13"/>
  <c r="U200" i="16" s="1"/>
  <c r="AQ113" i="13"/>
  <c r="U113" i="16" s="1"/>
  <c r="AQ78" i="13"/>
  <c r="U78" i="16" s="1"/>
  <c r="AQ74" i="13"/>
  <c r="U74" i="16" s="1"/>
  <c r="AQ224" i="13"/>
  <c r="U224" i="16" s="1"/>
  <c r="AQ176" i="13"/>
  <c r="U176" i="16" s="1"/>
  <c r="AQ251" i="13"/>
  <c r="U251" i="16" s="1"/>
  <c r="AQ215" i="13"/>
  <c r="U215" i="16" s="1"/>
  <c r="AQ65" i="13"/>
  <c r="U65" i="16" s="1"/>
  <c r="AQ249" i="13"/>
  <c r="U249" i="16" s="1"/>
  <c r="AQ53" i="13"/>
  <c r="U53" i="16" s="1"/>
  <c r="AQ166" i="13"/>
  <c r="U166" i="16" s="1"/>
  <c r="AQ254" i="13"/>
  <c r="U254" i="16" s="1"/>
  <c r="AQ160" i="13"/>
  <c r="U160" i="16" s="1"/>
  <c r="AQ177" i="13"/>
  <c r="U177" i="16" s="1"/>
  <c r="AQ109" i="13"/>
  <c r="U109" i="16" s="1"/>
  <c r="AQ73" i="13"/>
  <c r="U73" i="16" s="1"/>
  <c r="AQ213" i="13"/>
  <c r="U213" i="16" s="1"/>
  <c r="AQ115" i="13"/>
  <c r="U115" i="16" s="1"/>
  <c r="AQ111" i="13"/>
  <c r="U111" i="16" s="1"/>
  <c r="AQ204" i="13"/>
  <c r="U204" i="16" s="1"/>
  <c r="AQ180" i="13"/>
  <c r="U180" i="16" s="1"/>
  <c r="AQ220" i="13"/>
  <c r="U220" i="16" s="1"/>
  <c r="AQ232" i="13"/>
  <c r="U232" i="16" s="1"/>
  <c r="AQ156" i="13"/>
  <c r="U156" i="16" s="1"/>
  <c r="AQ257" i="13"/>
  <c r="U257" i="16" s="1"/>
  <c r="AQ252" i="13"/>
  <c r="U252" i="16" s="1"/>
  <c r="AQ223" i="13"/>
  <c r="U223" i="16" s="1"/>
  <c r="AQ59" i="13"/>
  <c r="U59" i="16" s="1"/>
  <c r="AQ239" i="13"/>
  <c r="U239" i="16" s="1"/>
  <c r="AQ87" i="13"/>
  <c r="U87" i="16" s="1"/>
  <c r="AQ260" i="13"/>
  <c r="U260" i="16" s="1"/>
  <c r="AQ122" i="13"/>
  <c r="U122" i="16" s="1"/>
  <c r="AQ230" i="13"/>
  <c r="U230" i="16" s="1"/>
  <c r="AQ222" i="13"/>
  <c r="U222" i="16" s="1"/>
  <c r="AQ4" i="13"/>
  <c r="U4" i="16" s="1"/>
  <c r="AQ9" i="13"/>
  <c r="U9" i="16" s="1"/>
  <c r="AQ42" i="13"/>
  <c r="U42" i="16" s="1"/>
  <c r="AQ106" i="13"/>
  <c r="U106" i="16" s="1"/>
  <c r="AQ216" i="13"/>
  <c r="U216" i="16" s="1"/>
  <c r="AQ40" i="13"/>
  <c r="U40" i="16" s="1"/>
  <c r="AQ130" i="13"/>
  <c r="U130" i="16" s="1"/>
  <c r="AQ54" i="13"/>
  <c r="U54" i="16" s="1"/>
  <c r="AQ119" i="13"/>
  <c r="U119" i="16" s="1"/>
  <c r="AQ209" i="13"/>
  <c r="U209" i="16" s="1"/>
  <c r="AQ69" i="13"/>
  <c r="U69" i="16" s="1"/>
  <c r="AQ193" i="13"/>
  <c r="U193" i="16" s="1"/>
  <c r="AQ96" i="13"/>
  <c r="U96" i="16" s="1"/>
  <c r="AQ173" i="13"/>
  <c r="U173" i="16" s="1"/>
  <c r="AQ6" i="13"/>
  <c r="U6" i="16" s="1"/>
  <c r="AQ191" i="13"/>
  <c r="U191" i="16" s="1"/>
  <c r="AQ248" i="13"/>
  <c r="U248" i="16" s="1"/>
  <c r="AQ258" i="13"/>
  <c r="U258" i="16" s="1"/>
  <c r="AQ24" i="13"/>
  <c r="U24" i="16" s="1"/>
  <c r="AQ39" i="13"/>
  <c r="U39" i="16" s="1"/>
  <c r="AQ245" i="13"/>
  <c r="U245" i="16" s="1"/>
  <c r="AQ207" i="13"/>
  <c r="U207" i="16" s="1"/>
  <c r="AQ250" i="13"/>
  <c r="U250" i="16" s="1"/>
  <c r="AQ233" i="13"/>
  <c r="U233" i="16" s="1"/>
  <c r="AQ23" i="13"/>
  <c r="U23" i="16" s="1"/>
  <c r="AQ246" i="13"/>
  <c r="U246" i="16" s="1"/>
  <c r="AQ83" i="13"/>
  <c r="U83" i="16" s="1"/>
  <c r="AQ103" i="13"/>
  <c r="U103" i="16" s="1"/>
  <c r="AQ112" i="13"/>
  <c r="U112" i="16" s="1"/>
  <c r="AQ89" i="13"/>
  <c r="U89" i="16" s="1"/>
  <c r="AQ76" i="13"/>
  <c r="U76" i="16" s="1"/>
  <c r="AQ217" i="13"/>
  <c r="U217" i="16" s="1"/>
  <c r="AQ181" i="13"/>
  <c r="U181" i="16" s="1"/>
  <c r="AQ219" i="13"/>
  <c r="U219" i="16" s="1"/>
  <c r="AQ203" i="13"/>
  <c r="U203" i="16" s="1"/>
  <c r="AQ159" i="13"/>
  <c r="U159" i="16" s="1"/>
  <c r="AQ143" i="13"/>
  <c r="U143" i="16" s="1"/>
  <c r="AQ36" i="13"/>
  <c r="U36" i="16" s="1"/>
  <c r="AQ206" i="13"/>
  <c r="U206" i="16" s="1"/>
  <c r="AQ167" i="13"/>
  <c r="U167" i="16" s="1"/>
  <c r="AQ253" i="13"/>
  <c r="U253" i="16" s="1"/>
  <c r="AQ178" i="13"/>
  <c r="U178" i="16" s="1"/>
  <c r="AQ202" i="13"/>
  <c r="U202" i="16" s="1"/>
  <c r="AQ214" i="13"/>
  <c r="U214" i="16" s="1"/>
  <c r="AQ221" i="13"/>
  <c r="U221" i="16" s="1"/>
  <c r="AQ185" i="13"/>
  <c r="U185" i="16" s="1"/>
  <c r="AQ229" i="13"/>
  <c r="U229" i="16" s="1"/>
  <c r="BF228" i="13"/>
  <c r="AQ227" i="13"/>
  <c r="AQ226" i="13"/>
  <c r="CY20" i="13" l="1"/>
  <c r="CU20" i="13"/>
  <c r="CY30" i="13"/>
  <c r="CU30" i="13"/>
  <c r="CS30" i="13"/>
  <c r="CS20" i="13"/>
  <c r="AQ71" i="13"/>
  <c r="U71" i="16" s="1"/>
  <c r="CS61" i="13"/>
  <c r="AH145" i="16"/>
  <c r="CY61" i="13"/>
  <c r="CU218" i="13"/>
  <c r="AI154" i="16"/>
  <c r="CH154" i="13" s="1"/>
  <c r="CS218" i="13"/>
  <c r="CY218" i="13"/>
  <c r="AQ134" i="13"/>
  <c r="U134" i="16" s="1"/>
  <c r="CS171" i="13"/>
  <c r="AQ97" i="13"/>
  <c r="U97" i="16" s="1"/>
  <c r="AQ101" i="13"/>
  <c r="U101" i="16" s="1"/>
  <c r="AQ62" i="13"/>
  <c r="U62" i="16" s="1"/>
  <c r="CU171" i="13"/>
  <c r="CY171" i="13"/>
  <c r="AQ104" i="13"/>
  <c r="U104" i="16" s="1"/>
  <c r="AH198" i="16"/>
  <c r="C217" i="20"/>
  <c r="M217" i="23"/>
  <c r="C176" i="20"/>
  <c r="M176" i="23"/>
  <c r="C151" i="20"/>
  <c r="M151" i="23"/>
  <c r="C191" i="20"/>
  <c r="M191" i="23"/>
  <c r="U192" i="16"/>
  <c r="BH192" i="13"/>
  <c r="BI192" i="13" s="1"/>
  <c r="AR192" i="13"/>
  <c r="V192" i="16" s="1"/>
  <c r="C141" i="20"/>
  <c r="M141" i="23"/>
  <c r="C28" i="20"/>
  <c r="M28" i="23"/>
  <c r="Z28" i="16"/>
  <c r="C195" i="20"/>
  <c r="M195" i="23"/>
  <c r="C9" i="20"/>
  <c r="M9" i="23"/>
  <c r="C232" i="20"/>
  <c r="M232" i="23"/>
  <c r="C70" i="20"/>
  <c r="M70" i="23"/>
  <c r="C108" i="20"/>
  <c r="M108" i="23"/>
  <c r="C155" i="20"/>
  <c r="M155" i="23"/>
  <c r="C223" i="20"/>
  <c r="M223" i="23"/>
  <c r="C243" i="20"/>
  <c r="M243" i="23"/>
  <c r="C182" i="20"/>
  <c r="M182" i="23"/>
  <c r="C66" i="20"/>
  <c r="M66" i="23"/>
  <c r="C196" i="20"/>
  <c r="M196" i="23"/>
  <c r="C247" i="20"/>
  <c r="M247" i="23"/>
  <c r="C189" i="20"/>
  <c r="M189" i="23"/>
  <c r="C105" i="20"/>
  <c r="M105" i="23"/>
  <c r="C172" i="20"/>
  <c r="M172" i="23"/>
  <c r="W62" i="16"/>
  <c r="BE62" i="13"/>
  <c r="Z62" i="16" s="1"/>
  <c r="C212" i="20"/>
  <c r="M212" i="23"/>
  <c r="C89" i="20"/>
  <c r="M89" i="23"/>
  <c r="C96" i="20"/>
  <c r="M96" i="23"/>
  <c r="C32" i="20"/>
  <c r="M32" i="23"/>
  <c r="C193" i="20"/>
  <c r="M193" i="23"/>
  <c r="C56" i="20"/>
  <c r="M56" i="23"/>
  <c r="C188" i="20"/>
  <c r="M188" i="23"/>
  <c r="C31" i="20"/>
  <c r="M31" i="23"/>
  <c r="C224" i="20"/>
  <c r="M224" i="23"/>
  <c r="M206" i="23"/>
  <c r="C206" i="20"/>
  <c r="C67" i="20"/>
  <c r="M67" i="23"/>
  <c r="C183" i="20"/>
  <c r="M183" i="23"/>
  <c r="C53" i="20"/>
  <c r="M53" i="23"/>
  <c r="C90" i="20"/>
  <c r="M90" i="23"/>
  <c r="C107" i="20"/>
  <c r="M107" i="23"/>
  <c r="C185" i="20"/>
  <c r="M185" i="23"/>
  <c r="C101" i="20"/>
  <c r="M101" i="23"/>
  <c r="C249" i="20"/>
  <c r="M249" i="23"/>
  <c r="C130" i="20"/>
  <c r="M130" i="23"/>
  <c r="C233" i="20"/>
  <c r="M233" i="23"/>
  <c r="M76" i="23"/>
  <c r="C76" i="20"/>
  <c r="BF76" i="13"/>
  <c r="Z76" i="16"/>
  <c r="C82" i="20"/>
  <c r="M82" i="23"/>
  <c r="C213" i="20"/>
  <c r="M213" i="23"/>
  <c r="C209" i="20"/>
  <c r="M209" i="23"/>
  <c r="C114" i="20"/>
  <c r="M114" i="23"/>
  <c r="C173" i="20"/>
  <c r="M173" i="23"/>
  <c r="W102" i="16"/>
  <c r="BE102" i="13"/>
  <c r="Z102" i="16" s="1"/>
  <c r="C257" i="20"/>
  <c r="M257" i="23"/>
  <c r="C234" i="20"/>
  <c r="M234" i="23"/>
  <c r="C258" i="20"/>
  <c r="M258" i="23"/>
  <c r="C250" i="20"/>
  <c r="M250" i="23"/>
  <c r="C211" i="20"/>
  <c r="M211" i="23"/>
  <c r="C5" i="20"/>
  <c r="M5" i="23"/>
  <c r="C112" i="20"/>
  <c r="M112" i="23"/>
  <c r="C37" i="20"/>
  <c r="M37" i="23"/>
  <c r="C60" i="20"/>
  <c r="M60" i="23"/>
  <c r="C8" i="20"/>
  <c r="M8" i="23"/>
  <c r="C178" i="20"/>
  <c r="M178" i="23"/>
  <c r="C86" i="20"/>
  <c r="M86" i="23"/>
  <c r="C205" i="20"/>
  <c r="M205" i="23"/>
  <c r="C69" i="20"/>
  <c r="M69" i="23"/>
  <c r="C238" i="20"/>
  <c r="M238" i="23"/>
  <c r="C202" i="20"/>
  <c r="M202" i="23"/>
  <c r="C113" i="20"/>
  <c r="M113" i="23"/>
  <c r="C22" i="20"/>
  <c r="M22" i="23"/>
  <c r="C51" i="20"/>
  <c r="M51" i="23"/>
  <c r="C245" i="20"/>
  <c r="M245" i="23"/>
  <c r="C74" i="20"/>
  <c r="M74" i="23"/>
  <c r="C29" i="20"/>
  <c r="M29" i="23"/>
  <c r="C248" i="20"/>
  <c r="M248" i="23"/>
  <c r="C129" i="20"/>
  <c r="M129" i="23"/>
  <c r="C109" i="20"/>
  <c r="M109" i="23"/>
  <c r="C80" i="20"/>
  <c r="M80" i="23"/>
  <c r="C190" i="20"/>
  <c r="M190" i="23"/>
  <c r="C39" i="20"/>
  <c r="M39" i="23"/>
  <c r="C231" i="20"/>
  <c r="M231" i="23"/>
  <c r="C52" i="20"/>
  <c r="M52" i="23"/>
  <c r="C36" i="20"/>
  <c r="M36" i="23"/>
  <c r="C140" i="20"/>
  <c r="M140" i="23"/>
  <c r="C40" i="20"/>
  <c r="M40" i="23"/>
  <c r="C210" i="20"/>
  <c r="M210" i="23"/>
  <c r="C220" i="20"/>
  <c r="M220" i="23"/>
  <c r="C166" i="20"/>
  <c r="M166" i="23"/>
  <c r="C219" i="20"/>
  <c r="M219" i="23"/>
  <c r="C106" i="20"/>
  <c r="M106" i="23"/>
  <c r="C207" i="20"/>
  <c r="M207" i="23"/>
  <c r="C79" i="20"/>
  <c r="M79" i="23"/>
  <c r="C159" i="20"/>
  <c r="M159" i="23"/>
  <c r="M133" i="23"/>
  <c r="C133" i="20"/>
  <c r="C72" i="20"/>
  <c r="M72" i="23"/>
  <c r="C254" i="20"/>
  <c r="M254" i="23"/>
  <c r="C68" i="20"/>
  <c r="M68" i="23"/>
  <c r="C65" i="20"/>
  <c r="M65" i="23"/>
  <c r="C181" i="20"/>
  <c r="M181" i="23"/>
  <c r="C222" i="20"/>
  <c r="M222" i="23"/>
  <c r="C23" i="20"/>
  <c r="M23" i="23"/>
  <c r="C4" i="20"/>
  <c r="M4" i="23"/>
  <c r="C252" i="20"/>
  <c r="M252" i="23"/>
  <c r="C208" i="20"/>
  <c r="M208" i="23"/>
  <c r="C214" i="20"/>
  <c r="M214" i="23"/>
  <c r="C134" i="20"/>
  <c r="M134" i="23"/>
  <c r="C25" i="20"/>
  <c r="M25" i="23"/>
  <c r="C78" i="20"/>
  <c r="M78" i="23"/>
  <c r="C97" i="20"/>
  <c r="M97" i="23"/>
  <c r="C111" i="20"/>
  <c r="M111" i="23"/>
  <c r="W100" i="16"/>
  <c r="BE100" i="13"/>
  <c r="C244" i="20"/>
  <c r="M244" i="23"/>
  <c r="C194" i="20"/>
  <c r="M194" i="23"/>
  <c r="C75" i="20"/>
  <c r="M75" i="23"/>
  <c r="C192" i="20"/>
  <c r="M192" i="23"/>
  <c r="C24" i="20"/>
  <c r="M24" i="23"/>
  <c r="C50" i="20"/>
  <c r="M50" i="23"/>
  <c r="C177" i="20"/>
  <c r="M177" i="23"/>
  <c r="C84" i="20"/>
  <c r="M84" i="23"/>
  <c r="C116" i="20"/>
  <c r="M116" i="23"/>
  <c r="C59" i="20"/>
  <c r="M59" i="23"/>
  <c r="C115" i="20"/>
  <c r="M115" i="23"/>
  <c r="C118" i="20"/>
  <c r="M118" i="23"/>
  <c r="C135" i="20"/>
  <c r="M135" i="23"/>
  <c r="C174" i="20"/>
  <c r="M174" i="23"/>
  <c r="C88" i="20"/>
  <c r="M88" i="23"/>
  <c r="C246" i="20"/>
  <c r="M246" i="23"/>
  <c r="C119" i="20"/>
  <c r="M119" i="23"/>
  <c r="C26" i="20"/>
  <c r="M26" i="23"/>
  <c r="C179" i="20"/>
  <c r="M179" i="23"/>
  <c r="C81" i="20"/>
  <c r="M81" i="23"/>
  <c r="C143" i="20"/>
  <c r="M143" i="23"/>
  <c r="C137" i="20"/>
  <c r="M137" i="23"/>
  <c r="C253" i="20"/>
  <c r="M253" i="23"/>
  <c r="C165" i="20"/>
  <c r="M165" i="23"/>
  <c r="W225" i="16"/>
  <c r="BE225" i="13"/>
  <c r="Z225" i="16" s="1"/>
  <c r="C160" i="20"/>
  <c r="M160" i="23"/>
  <c r="C180" i="20"/>
  <c r="M180" i="23"/>
  <c r="C21" i="20"/>
  <c r="M21" i="23"/>
  <c r="C142" i="20"/>
  <c r="M142" i="23"/>
  <c r="W103" i="16"/>
  <c r="BE103" i="13"/>
  <c r="W104" i="16"/>
  <c r="BE104" i="13"/>
  <c r="W42" i="16"/>
  <c r="BE42" i="13"/>
  <c r="C260" i="20"/>
  <c r="M260" i="23"/>
  <c r="M221" i="23"/>
  <c r="C221" i="20"/>
  <c r="C161" i="20"/>
  <c r="M161" i="23"/>
  <c r="C216" i="20"/>
  <c r="M216" i="23"/>
  <c r="C57" i="20"/>
  <c r="M57" i="23"/>
  <c r="C6" i="20"/>
  <c r="M6" i="23"/>
  <c r="C87" i="20"/>
  <c r="M87" i="23"/>
  <c r="C229" i="20"/>
  <c r="M229" i="23"/>
  <c r="C235" i="20"/>
  <c r="M235" i="23"/>
  <c r="C71" i="20"/>
  <c r="M71" i="23"/>
  <c r="C3" i="20"/>
  <c r="M3" i="23"/>
  <c r="C156" i="20"/>
  <c r="M156" i="23"/>
  <c r="C7" i="20"/>
  <c r="M7" i="23"/>
  <c r="C167" i="20"/>
  <c r="M167" i="23"/>
  <c r="C63" i="20"/>
  <c r="M63" i="23"/>
  <c r="C110" i="20"/>
  <c r="M110" i="23"/>
  <c r="C186" i="20"/>
  <c r="M186" i="23"/>
  <c r="C201" i="20"/>
  <c r="M201" i="23"/>
  <c r="C200" i="20"/>
  <c r="M200" i="23"/>
  <c r="C73" i="20"/>
  <c r="M73" i="23"/>
  <c r="M54" i="23"/>
  <c r="C54" i="20"/>
  <c r="C123" i="20"/>
  <c r="M123" i="23"/>
  <c r="C49" i="20"/>
  <c r="M49" i="23"/>
  <c r="C204" i="20"/>
  <c r="M204" i="23"/>
  <c r="C162" i="20"/>
  <c r="M162" i="23"/>
  <c r="C203" i="20"/>
  <c r="M203" i="23"/>
  <c r="C239" i="20"/>
  <c r="M239" i="23"/>
  <c r="C158" i="20"/>
  <c r="M158" i="23"/>
  <c r="W99" i="16"/>
  <c r="AB64" i="16"/>
  <c r="AI64" i="16" s="1"/>
  <c r="K64" i="23"/>
  <c r="AB33" i="16"/>
  <c r="K33" i="23"/>
  <c r="AB10" i="16"/>
  <c r="AH10" i="16" s="1"/>
  <c r="K10" i="23"/>
  <c r="AB135" i="16"/>
  <c r="K135" i="23"/>
  <c r="AB81" i="16"/>
  <c r="AD81" i="16" s="1"/>
  <c r="K81" i="23"/>
  <c r="AB95" i="16"/>
  <c r="K95" i="23"/>
  <c r="AB240" i="16"/>
  <c r="AD240" i="16" s="1"/>
  <c r="K240" i="23"/>
  <c r="BH238" i="13"/>
  <c r="U238" i="16"/>
  <c r="AR208" i="13"/>
  <c r="V208" i="16" s="1"/>
  <c r="U208" i="16"/>
  <c r="AB13" i="16"/>
  <c r="K13" i="23"/>
  <c r="AB20" i="16"/>
  <c r="AH20" i="16" s="1"/>
  <c r="K20" i="23"/>
  <c r="AB58" i="16"/>
  <c r="K58" i="23"/>
  <c r="AB67" i="16"/>
  <c r="AD67" i="16" s="1"/>
  <c r="K67" i="23"/>
  <c r="AB144" i="16"/>
  <c r="K144" i="23"/>
  <c r="AB153" i="16"/>
  <c r="AD153" i="16" s="1"/>
  <c r="K153" i="23"/>
  <c r="AB47" i="16"/>
  <c r="K47" i="23"/>
  <c r="AB218" i="16"/>
  <c r="AD218" i="16" s="1"/>
  <c r="K218" i="23"/>
  <c r="AB124" i="16"/>
  <c r="K124" i="23"/>
  <c r="AB169" i="16"/>
  <c r="AD169" i="16" s="1"/>
  <c r="BT169" i="13" s="1"/>
  <c r="K169" i="23"/>
  <c r="AB12" i="16"/>
  <c r="K12" i="23"/>
  <c r="AB46" i="16"/>
  <c r="AH46" i="16" s="1"/>
  <c r="K46" i="23"/>
  <c r="AB34" i="16"/>
  <c r="K34" i="23"/>
  <c r="AB132" i="16"/>
  <c r="AH132" i="16" s="1"/>
  <c r="K132" i="23"/>
  <c r="AB16" i="16"/>
  <c r="K16" i="23"/>
  <c r="AB157" i="16"/>
  <c r="K157" i="23"/>
  <c r="AB121" i="16"/>
  <c r="K121" i="23"/>
  <c r="AB136" i="16"/>
  <c r="AI136" i="16" s="1"/>
  <c r="CH136" i="13" s="1"/>
  <c r="K136" i="23"/>
  <c r="AB138" i="16"/>
  <c r="K138" i="23"/>
  <c r="AB35" i="16"/>
  <c r="K35" i="23"/>
  <c r="AB120" i="16"/>
  <c r="K120" i="23"/>
  <c r="AB171" i="16"/>
  <c r="AH171" i="16" s="1"/>
  <c r="CG171" i="13" s="1"/>
  <c r="K171" i="23"/>
  <c r="AB55" i="16"/>
  <c r="K55" i="23"/>
  <c r="AB19" i="16"/>
  <c r="AD19" i="16" s="1"/>
  <c r="K19" i="23"/>
  <c r="AB197" i="16"/>
  <c r="K197" i="23"/>
  <c r="AB139" i="16"/>
  <c r="AD139" i="16" s="1"/>
  <c r="BT139" i="13" s="1"/>
  <c r="K139" i="23"/>
  <c r="AB255" i="16"/>
  <c r="K255" i="23"/>
  <c r="AB61" i="16"/>
  <c r="AD61" i="16" s="1"/>
  <c r="K61" i="23"/>
  <c r="AB77" i="16"/>
  <c r="K77" i="23"/>
  <c r="AB236" i="16"/>
  <c r="AD236" i="16" s="1"/>
  <c r="BT236" i="13" s="1"/>
  <c r="K236" i="23"/>
  <c r="AB259" i="16"/>
  <c r="K259" i="23"/>
  <c r="AB11" i="16"/>
  <c r="AD11" i="16" s="1"/>
  <c r="K11" i="23"/>
  <c r="AB31" i="16"/>
  <c r="K31" i="23"/>
  <c r="AB45" i="16"/>
  <c r="AD45" i="16" s="1"/>
  <c r="K45" i="23"/>
  <c r="AB14" i="16"/>
  <c r="K14" i="23"/>
  <c r="AB170" i="16"/>
  <c r="AH170" i="16" s="1"/>
  <c r="K170" i="23"/>
  <c r="AB128" i="16"/>
  <c r="K128" i="23"/>
  <c r="BH226" i="13"/>
  <c r="BI226" i="13" s="1"/>
  <c r="U226" i="16"/>
  <c r="AB125" i="16"/>
  <c r="K125" i="23"/>
  <c r="AR57" i="13"/>
  <c r="V57" i="16" s="1"/>
  <c r="U57" i="16"/>
  <c r="AB152" i="16"/>
  <c r="K152" i="23"/>
  <c r="AB256" i="16"/>
  <c r="AI256" i="16" s="1"/>
  <c r="K256" i="23"/>
  <c r="AB80" i="16"/>
  <c r="K80" i="23"/>
  <c r="AB127" i="16"/>
  <c r="AH127" i="16" s="1"/>
  <c r="K127" i="23"/>
  <c r="BH227" i="13"/>
  <c r="U227" i="16"/>
  <c r="BH163" i="13"/>
  <c r="BI163" i="13" s="1"/>
  <c r="U163" i="16"/>
  <c r="AB147" i="16"/>
  <c r="K147" i="23"/>
  <c r="AB30" i="16"/>
  <c r="AH30" i="16" s="1"/>
  <c r="K30" i="23"/>
  <c r="AB27" i="16"/>
  <c r="K27" i="23"/>
  <c r="AB148" i="16"/>
  <c r="AI148" i="16" s="1"/>
  <c r="K148" i="23"/>
  <c r="AB48" i="16"/>
  <c r="K48" i="23"/>
  <c r="AB168" i="16"/>
  <c r="AD168" i="16" s="1"/>
  <c r="K168" i="23"/>
  <c r="AB93" i="16"/>
  <c r="K93" i="23"/>
  <c r="AB150" i="16"/>
  <c r="AI150" i="16" s="1"/>
  <c r="K150" i="23"/>
  <c r="AB146" i="16"/>
  <c r="K146" i="23"/>
  <c r="AB44" i="16"/>
  <c r="AD44" i="16" s="1"/>
  <c r="K44" i="23"/>
  <c r="AB26" i="16"/>
  <c r="K26" i="23"/>
  <c r="AB84" i="16"/>
  <c r="AI84" i="16" s="1"/>
  <c r="K84" i="23"/>
  <c r="AB98" i="16"/>
  <c r="K98" i="23"/>
  <c r="AB94" i="16"/>
  <c r="AH94" i="16" s="1"/>
  <c r="K94" i="23"/>
  <c r="AB175" i="16"/>
  <c r="K175" i="23"/>
  <c r="K187" i="23"/>
  <c r="AA58" i="16"/>
  <c r="D58" i="20"/>
  <c r="AA92" i="16"/>
  <c r="D92" i="20"/>
  <c r="AA131" i="16"/>
  <c r="D131" i="20"/>
  <c r="AA93" i="16"/>
  <c r="D93" i="20"/>
  <c r="AA35" i="16"/>
  <c r="D35" i="20"/>
  <c r="AA33" i="16"/>
  <c r="D33" i="20"/>
  <c r="AA27" i="16"/>
  <c r="D27" i="20"/>
  <c r="AA41" i="16"/>
  <c r="D41" i="20"/>
  <c r="AA38" i="16"/>
  <c r="D38" i="20"/>
  <c r="AA30" i="16"/>
  <c r="D30" i="20"/>
  <c r="AA19" i="16"/>
  <c r="D19" i="20"/>
  <c r="AA10" i="16"/>
  <c r="D10" i="20"/>
  <c r="AA55" i="16"/>
  <c r="D55" i="20"/>
  <c r="AA85" i="16"/>
  <c r="D85" i="20"/>
  <c r="AA236" i="16"/>
  <c r="D236" i="20"/>
  <c r="AA228" i="16"/>
  <c r="D228" i="20"/>
  <c r="AA215" i="16"/>
  <c r="D215" i="20"/>
  <c r="AA127" i="16"/>
  <c r="D127" i="20"/>
  <c r="AA14" i="16"/>
  <c r="D14" i="20"/>
  <c r="AA13" i="16"/>
  <c r="D13" i="20"/>
  <c r="AA45" i="16"/>
  <c r="D45" i="20"/>
  <c r="AA64" i="16"/>
  <c r="D64" i="20"/>
  <c r="AA148" i="16"/>
  <c r="D148" i="20"/>
  <c r="AA170" i="16"/>
  <c r="D170" i="20"/>
  <c r="AA251" i="16"/>
  <c r="D251" i="20"/>
  <c r="AA154" i="16"/>
  <c r="D154" i="20"/>
  <c r="AA145" i="16"/>
  <c r="D145" i="20"/>
  <c r="AA218" i="16"/>
  <c r="D218" i="20"/>
  <c r="AA17" i="16"/>
  <c r="AA121" i="16"/>
  <c r="D121" i="20"/>
  <c r="AA11" i="16"/>
  <c r="D11" i="20"/>
  <c r="AA61" i="16"/>
  <c r="D61" i="20"/>
  <c r="AA199" i="16"/>
  <c r="D199" i="20"/>
  <c r="AA256" i="16"/>
  <c r="D256" i="20"/>
  <c r="AA12" i="16"/>
  <c r="D12" i="20"/>
  <c r="AA169" i="16"/>
  <c r="D169" i="20"/>
  <c r="AA168" i="16"/>
  <c r="D168" i="20"/>
  <c r="AA83" i="16"/>
  <c r="D83" i="20"/>
  <c r="AA146" i="16"/>
  <c r="D146" i="20"/>
  <c r="AA157" i="16"/>
  <c r="D157" i="20"/>
  <c r="AA47" i="16"/>
  <c r="D47" i="20"/>
  <c r="AA240" i="16"/>
  <c r="D240" i="20"/>
  <c r="AA197" i="16"/>
  <c r="D197" i="20"/>
  <c r="AA122" i="16"/>
  <c r="D122" i="20"/>
  <c r="AA77" i="16"/>
  <c r="D77" i="20"/>
  <c r="AA120" i="16"/>
  <c r="D120" i="20"/>
  <c r="AA139" i="16"/>
  <c r="D139" i="20"/>
  <c r="AA44" i="16"/>
  <c r="D44" i="20"/>
  <c r="AA171" i="16"/>
  <c r="D171" i="20"/>
  <c r="AA237" i="16"/>
  <c r="D237" i="20"/>
  <c r="AA98" i="16"/>
  <c r="D98" i="20"/>
  <c r="AA124" i="16"/>
  <c r="D124" i="20"/>
  <c r="AA20" i="16"/>
  <c r="D20" i="20"/>
  <c r="AA95" i="16"/>
  <c r="D95" i="20"/>
  <c r="AA230" i="16"/>
  <c r="D230" i="20"/>
  <c r="AA198" i="16"/>
  <c r="D198" i="20"/>
  <c r="AA16" i="16"/>
  <c r="D16" i="20"/>
  <c r="AA125" i="16"/>
  <c r="D125" i="20"/>
  <c r="AA117" i="16"/>
  <c r="D117" i="20"/>
  <c r="AA43" i="16"/>
  <c r="D43" i="20"/>
  <c r="AA94" i="16"/>
  <c r="D94" i="20"/>
  <c r="AA132" i="16"/>
  <c r="D132" i="20"/>
  <c r="AA46" i="16"/>
  <c r="D46" i="20"/>
  <c r="AA259" i="16"/>
  <c r="D259" i="20"/>
  <c r="AA34" i="16"/>
  <c r="D34" i="20"/>
  <c r="AA48" i="16"/>
  <c r="D48" i="20"/>
  <c r="AA147" i="16"/>
  <c r="D147" i="20"/>
  <c r="AA126" i="16"/>
  <c r="D126" i="20"/>
  <c r="AA28" i="16"/>
  <c r="D28" i="20"/>
  <c r="AA128" i="16"/>
  <c r="D128" i="20"/>
  <c r="AA136" i="16"/>
  <c r="D136" i="20"/>
  <c r="CS67" i="13"/>
  <c r="CU67" i="13"/>
  <c r="CY67" i="13"/>
  <c r="CY10" i="13"/>
  <c r="CS125" i="13"/>
  <c r="CS34" i="13"/>
  <c r="CU10" i="13"/>
  <c r="CS10" i="13"/>
  <c r="CU34" i="13"/>
  <c r="CY34" i="13"/>
  <c r="CU125" i="13"/>
  <c r="CY125" i="13"/>
  <c r="CY94" i="13"/>
  <c r="CS236" i="13"/>
  <c r="CY236" i="13"/>
  <c r="CU236" i="13"/>
  <c r="CU94" i="13"/>
  <c r="CU139" i="13"/>
  <c r="CS168" i="13"/>
  <c r="CU168" i="13"/>
  <c r="CY168" i="13"/>
  <c r="BH54" i="13"/>
  <c r="BI54" i="13" s="1"/>
  <c r="BH111" i="13"/>
  <c r="BI111" i="13" s="1"/>
  <c r="BH7" i="13"/>
  <c r="BI7" i="13" s="1"/>
  <c r="BH155" i="13"/>
  <c r="BI155" i="13" s="1"/>
  <c r="BH79" i="13"/>
  <c r="BH212" i="13"/>
  <c r="BI212" i="13" s="1"/>
  <c r="BH162" i="13"/>
  <c r="BI162" i="13" s="1"/>
  <c r="BH90" i="13"/>
  <c r="BH210" i="13"/>
  <c r="BI210" i="13" s="1"/>
  <c r="BH258" i="13"/>
  <c r="BI258" i="13" s="1"/>
  <c r="BH87" i="13"/>
  <c r="BH215" i="13"/>
  <c r="BH105" i="13"/>
  <c r="BI105" i="13" s="1"/>
  <c r="BH37" i="13"/>
  <c r="BH167" i="13"/>
  <c r="BI167" i="13" s="1"/>
  <c r="BH103" i="13"/>
  <c r="BH248" i="13"/>
  <c r="BI248" i="13" s="1"/>
  <c r="BH130" i="13"/>
  <c r="BI130" i="13" s="1"/>
  <c r="BH239" i="13"/>
  <c r="BI239" i="13" s="1"/>
  <c r="BH115" i="13"/>
  <c r="BI115" i="13" s="1"/>
  <c r="BH251" i="13"/>
  <c r="BI251" i="13" s="1"/>
  <c r="BH63" i="13"/>
  <c r="BI63" i="13" s="1"/>
  <c r="BH205" i="13"/>
  <c r="BH182" i="13"/>
  <c r="BI182" i="13" s="1"/>
  <c r="BH83" i="13"/>
  <c r="BH40" i="13"/>
  <c r="BH213" i="13"/>
  <c r="BI213" i="13" s="1"/>
  <c r="BH110" i="13"/>
  <c r="BI110" i="13" s="1"/>
  <c r="BH234" i="13"/>
  <c r="BI234" i="13" s="1"/>
  <c r="BH174" i="13"/>
  <c r="BI174" i="13" s="1"/>
  <c r="BH165" i="13"/>
  <c r="BI165" i="13" s="1"/>
  <c r="BH107" i="13"/>
  <c r="BI107" i="13" s="1"/>
  <c r="BH206" i="13"/>
  <c r="BI206" i="13" s="1"/>
  <c r="BH191" i="13"/>
  <c r="BI191" i="13" s="1"/>
  <c r="BH59" i="13"/>
  <c r="BH176" i="13"/>
  <c r="BI176" i="13" s="1"/>
  <c r="BH8" i="13"/>
  <c r="BI8" i="13" s="1"/>
  <c r="BH36" i="13"/>
  <c r="BH246" i="13"/>
  <c r="BI246" i="13" s="1"/>
  <c r="BH6" i="13"/>
  <c r="BI6" i="13" s="1"/>
  <c r="BH216" i="13"/>
  <c r="BI216" i="13" s="1"/>
  <c r="BH223" i="13"/>
  <c r="BI223" i="13" s="1"/>
  <c r="BH73" i="13"/>
  <c r="BI73" i="13" s="1"/>
  <c r="BH224" i="13"/>
  <c r="BI224" i="13" s="1"/>
  <c r="BH243" i="13"/>
  <c r="BI243" i="13" s="1"/>
  <c r="BH190" i="13"/>
  <c r="BI190" i="13" s="1"/>
  <c r="BH194" i="13"/>
  <c r="BI194" i="13" s="1"/>
  <c r="BH129" i="13"/>
  <c r="BI129" i="13" s="1"/>
  <c r="BH189" i="13"/>
  <c r="BI189" i="13" s="1"/>
  <c r="BH5" i="13"/>
  <c r="BI5" i="13" s="1"/>
  <c r="BH126" i="13"/>
  <c r="BI126" i="13" s="1"/>
  <c r="BH3" i="13"/>
  <c r="BI3" i="13" s="1"/>
  <c r="BH186" i="13"/>
  <c r="BI186" i="13" s="1"/>
  <c r="BH66" i="13"/>
  <c r="BI66" i="13" s="1"/>
  <c r="BH247" i="13"/>
  <c r="BI247" i="13" s="1"/>
  <c r="BH137" i="13"/>
  <c r="BI137" i="13" s="1"/>
  <c r="BH50" i="13"/>
  <c r="BI50" i="13" s="1"/>
  <c r="BH109" i="13"/>
  <c r="BI109" i="13" s="1"/>
  <c r="BH52" i="13"/>
  <c r="BI52" i="13" s="1"/>
  <c r="BH229" i="13"/>
  <c r="BI229" i="13" s="1"/>
  <c r="BH159" i="13"/>
  <c r="BI159" i="13" s="1"/>
  <c r="BH233" i="13"/>
  <c r="BI233" i="13" s="1"/>
  <c r="BH71" i="13"/>
  <c r="BI71" i="13" s="1"/>
  <c r="BH42" i="13"/>
  <c r="BH257" i="13"/>
  <c r="BI257" i="13" s="1"/>
  <c r="BH177" i="13"/>
  <c r="BI177" i="13" s="1"/>
  <c r="BH134" i="13"/>
  <c r="BH75" i="13"/>
  <c r="BI75" i="13" s="1"/>
  <c r="BH22" i="13"/>
  <c r="BI22" i="13" s="1"/>
  <c r="BH158" i="13"/>
  <c r="BH38" i="13"/>
  <c r="BH114" i="13"/>
  <c r="BI114" i="13" s="1"/>
  <c r="BH82" i="13"/>
  <c r="BI82" i="13" s="1"/>
  <c r="BH252" i="13"/>
  <c r="BI252" i="13" s="1"/>
  <c r="BH185" i="13"/>
  <c r="BI185" i="13" s="1"/>
  <c r="BH250" i="13"/>
  <c r="BI250" i="13" s="1"/>
  <c r="BH156" i="13"/>
  <c r="BI156" i="13" s="1"/>
  <c r="BH208" i="13"/>
  <c r="BI208" i="13" s="1"/>
  <c r="BH211" i="13"/>
  <c r="BI211" i="13" s="1"/>
  <c r="BH25" i="13"/>
  <c r="BI25" i="13" s="1"/>
  <c r="BH57" i="13"/>
  <c r="BI57" i="13" s="1"/>
  <c r="BH143" i="13"/>
  <c r="BH74" i="13"/>
  <c r="BI74" i="13" s="1"/>
  <c r="BH203" i="13"/>
  <c r="BI203" i="13" s="1"/>
  <c r="BH173" i="13"/>
  <c r="BI173" i="13" s="1"/>
  <c r="BH9" i="13"/>
  <c r="BI9" i="13" s="1"/>
  <c r="BH160" i="13"/>
  <c r="BI160" i="13" s="1"/>
  <c r="BH78" i="13"/>
  <c r="BH97" i="13"/>
  <c r="BH219" i="13"/>
  <c r="BI219" i="13" s="1"/>
  <c r="BH207" i="13"/>
  <c r="BI207" i="13" s="1"/>
  <c r="BH96" i="13"/>
  <c r="BH4" i="13"/>
  <c r="BI4" i="13" s="1"/>
  <c r="BH232" i="13"/>
  <c r="BI232" i="13" s="1"/>
  <c r="BH254" i="13"/>
  <c r="BI254" i="13" s="1"/>
  <c r="BH113" i="13"/>
  <c r="BI113" i="13" s="1"/>
  <c r="BH183" i="13"/>
  <c r="BI183" i="13" s="1"/>
  <c r="BH32" i="13"/>
  <c r="BH161" i="13"/>
  <c r="BI161" i="13" s="1"/>
  <c r="BH142" i="13"/>
  <c r="BH244" i="13"/>
  <c r="BI244" i="13" s="1"/>
  <c r="BH112" i="13"/>
  <c r="BI112" i="13" s="1"/>
  <c r="BH221" i="13"/>
  <c r="BI221" i="13" s="1"/>
  <c r="BH193" i="13"/>
  <c r="BI193" i="13" s="1"/>
  <c r="BH220" i="13"/>
  <c r="BI220" i="13" s="1"/>
  <c r="BH62" i="13"/>
  <c r="BH123" i="13"/>
  <c r="BI123" i="13" s="1"/>
  <c r="BH21" i="13"/>
  <c r="BI21" i="13" s="1"/>
  <c r="BH133" i="13"/>
  <c r="BI133" i="13" s="1"/>
  <c r="BH70" i="13"/>
  <c r="BI70" i="13" s="1"/>
  <c r="BH141" i="13"/>
  <c r="BI141" i="13" s="1"/>
  <c r="BH106" i="13"/>
  <c r="BI106" i="13" s="1"/>
  <c r="BH245" i="13"/>
  <c r="BI245" i="13" s="1"/>
  <c r="BH222" i="13"/>
  <c r="BI222" i="13" s="1"/>
  <c r="BH166" i="13"/>
  <c r="BI166" i="13" s="1"/>
  <c r="BH200" i="13"/>
  <c r="BI200" i="13" s="1"/>
  <c r="BH214" i="13"/>
  <c r="BI214" i="13" s="1"/>
  <c r="BH217" i="13"/>
  <c r="BI217" i="13" s="1"/>
  <c r="BH39" i="13"/>
  <c r="BH69" i="13"/>
  <c r="BI69" i="13" s="1"/>
  <c r="BH230" i="13"/>
  <c r="BI230" i="13" s="1"/>
  <c r="BH53" i="13"/>
  <c r="BI53" i="13" s="1"/>
  <c r="BH102" i="13"/>
  <c r="BI102" i="13" s="1"/>
  <c r="BH116" i="13"/>
  <c r="BI116" i="13" s="1"/>
  <c r="BH140" i="13"/>
  <c r="BI140" i="13" s="1"/>
  <c r="BH172" i="13"/>
  <c r="BI172" i="13" s="1"/>
  <c r="BH108" i="13"/>
  <c r="BI108" i="13" s="1"/>
  <c r="BH181" i="13"/>
  <c r="BI181" i="13" s="1"/>
  <c r="BH76" i="13"/>
  <c r="BI76" i="13" s="1"/>
  <c r="BH209" i="13"/>
  <c r="BI209" i="13" s="1"/>
  <c r="BH180" i="13"/>
  <c r="BI180" i="13" s="1"/>
  <c r="BH188" i="13"/>
  <c r="BI188" i="13" s="1"/>
  <c r="BH72" i="13"/>
  <c r="BI72" i="13" s="1"/>
  <c r="BH201" i="13"/>
  <c r="BI201" i="13" s="1"/>
  <c r="BH253" i="13"/>
  <c r="BI253" i="13" s="1"/>
  <c r="BH23" i="13"/>
  <c r="BH202" i="13"/>
  <c r="BI202" i="13" s="1"/>
  <c r="BH122" i="13"/>
  <c r="BI122" i="13" s="1"/>
  <c r="BH249" i="13"/>
  <c r="BI249" i="13" s="1"/>
  <c r="BH179" i="13"/>
  <c r="BI179" i="13" s="1"/>
  <c r="BH178" i="13"/>
  <c r="BI178" i="13" s="1"/>
  <c r="BH89" i="13"/>
  <c r="BH24" i="13"/>
  <c r="BI24" i="13" s="1"/>
  <c r="BH119" i="13"/>
  <c r="BI119" i="13" s="1"/>
  <c r="BH260" i="13"/>
  <c r="BI260" i="13" s="1"/>
  <c r="BH204" i="13"/>
  <c r="BI204" i="13" s="1"/>
  <c r="BH65" i="13"/>
  <c r="BI65" i="13" s="1"/>
  <c r="BH151" i="13"/>
  <c r="BI151" i="13" s="1"/>
  <c r="BH88" i="13"/>
  <c r="BI88" i="13" s="1"/>
  <c r="BH196" i="13"/>
  <c r="BI196" i="13" s="1"/>
  <c r="BH117" i="13"/>
  <c r="BI117" i="13" s="1"/>
  <c r="BH29" i="13"/>
  <c r="BI29" i="13" s="1"/>
  <c r="BH195" i="13"/>
  <c r="BI195" i="13" s="1"/>
  <c r="BH68" i="13"/>
  <c r="BI68" i="13" s="1"/>
  <c r="BH235" i="13"/>
  <c r="BI235" i="13" s="1"/>
  <c r="BJ35" i="13"/>
  <c r="BJ26" i="13"/>
  <c r="AR186" i="13"/>
  <c r="V186" i="16" s="1"/>
  <c r="CS94" i="13"/>
  <c r="CS64" i="13"/>
  <c r="CY64" i="13"/>
  <c r="AR247" i="13"/>
  <c r="V247" i="16" s="1"/>
  <c r="AR190" i="13"/>
  <c r="V190" i="16" s="1"/>
  <c r="CU64" i="13"/>
  <c r="AR140" i="13"/>
  <c r="V140" i="16" s="1"/>
  <c r="AR107" i="13"/>
  <c r="V107" i="16" s="1"/>
  <c r="CS27" i="13"/>
  <c r="CY27" i="13"/>
  <c r="CU27" i="13"/>
  <c r="AR50" i="13"/>
  <c r="V50" i="16" s="1"/>
  <c r="AR174" i="13"/>
  <c r="V174" i="16" s="1"/>
  <c r="CU12" i="13"/>
  <c r="CS120" i="13"/>
  <c r="AR22" i="13"/>
  <c r="V22" i="16" s="1"/>
  <c r="CU120" i="13"/>
  <c r="CS12" i="13"/>
  <c r="AR196" i="13"/>
  <c r="V196" i="16" s="1"/>
  <c r="CY120" i="13"/>
  <c r="CY12" i="13"/>
  <c r="AR210" i="13"/>
  <c r="V210" i="16" s="1"/>
  <c r="AR88" i="13"/>
  <c r="V88" i="16" s="1"/>
  <c r="AR235" i="13"/>
  <c r="V235" i="16" s="1"/>
  <c r="AR158" i="13"/>
  <c r="V158" i="16" s="1"/>
  <c r="AR126" i="13"/>
  <c r="V126" i="16" s="1"/>
  <c r="AR155" i="13"/>
  <c r="V155" i="16" s="1"/>
  <c r="CY19" i="13"/>
  <c r="CU16" i="13"/>
  <c r="CS19" i="13"/>
  <c r="AR75" i="13"/>
  <c r="V75" i="16" s="1"/>
  <c r="CS45" i="13"/>
  <c r="AR68" i="13"/>
  <c r="V68" i="16" s="1"/>
  <c r="AR123" i="13"/>
  <c r="V123" i="16" s="1"/>
  <c r="CU259" i="13"/>
  <c r="CU45" i="13"/>
  <c r="CS259" i="13"/>
  <c r="CY45" i="13"/>
  <c r="CY259" i="13"/>
  <c r="AR137" i="13"/>
  <c r="V137" i="16" s="1"/>
  <c r="CU19" i="13"/>
  <c r="CS150" i="13"/>
  <c r="AR189" i="13"/>
  <c r="V189" i="16" s="1"/>
  <c r="AR183" i="13"/>
  <c r="V183" i="16" s="1"/>
  <c r="CU150" i="13"/>
  <c r="AR194" i="13"/>
  <c r="V194" i="16" s="1"/>
  <c r="CY150" i="13"/>
  <c r="AR129" i="13"/>
  <c r="V129" i="16" s="1"/>
  <c r="CS16" i="13"/>
  <c r="AR66" i="13"/>
  <c r="V66" i="16" s="1"/>
  <c r="CY16" i="13"/>
  <c r="AR165" i="13"/>
  <c r="V165" i="16" s="1"/>
  <c r="AR114" i="13"/>
  <c r="V114" i="16" s="1"/>
  <c r="CS132" i="13"/>
  <c r="CU132" i="13"/>
  <c r="CY132" i="13"/>
  <c r="CY139" i="13"/>
  <c r="CU35" i="13"/>
  <c r="CU13" i="13"/>
  <c r="AR211" i="13"/>
  <c r="V211" i="16" s="1"/>
  <c r="CY35" i="13"/>
  <c r="AR5" i="13"/>
  <c r="V5" i="16" s="1"/>
  <c r="AR161" i="13"/>
  <c r="V161" i="16" s="1"/>
  <c r="AR21" i="13"/>
  <c r="V21" i="16" s="1"/>
  <c r="CS13" i="13"/>
  <c r="CS35" i="13"/>
  <c r="AR72" i="13"/>
  <c r="V72" i="16" s="1"/>
  <c r="CY13" i="13"/>
  <c r="CS139" i="13"/>
  <c r="AR182" i="13"/>
  <c r="V182" i="16" s="1"/>
  <c r="AR3" i="13"/>
  <c r="V3" i="16" s="1"/>
  <c r="AR162" i="13"/>
  <c r="V162" i="16" s="1"/>
  <c r="AR172" i="13"/>
  <c r="V172" i="16" s="1"/>
  <c r="CS169" i="13"/>
  <c r="CY11" i="13"/>
  <c r="AR108" i="13"/>
  <c r="V108" i="16" s="1"/>
  <c r="CU169" i="13"/>
  <c r="CU11" i="13"/>
  <c r="CY169" i="13"/>
  <c r="CS11" i="13"/>
  <c r="CS127" i="13"/>
  <c r="CU127" i="13"/>
  <c r="CY127" i="13"/>
  <c r="CS14" i="13"/>
  <c r="CY14" i="13"/>
  <c r="CU14" i="13"/>
  <c r="AR37" i="13"/>
  <c r="V37" i="16" s="1"/>
  <c r="AR234" i="13"/>
  <c r="V234" i="16" s="1"/>
  <c r="AR201" i="13"/>
  <c r="V201" i="16" s="1"/>
  <c r="AR79" i="13"/>
  <c r="V79" i="16" s="1"/>
  <c r="BF134" i="13"/>
  <c r="BJ120" i="13"/>
  <c r="BF224" i="13"/>
  <c r="BF192" i="13"/>
  <c r="BF109" i="13"/>
  <c r="BF181" i="13"/>
  <c r="BF191" i="13"/>
  <c r="BF112" i="13"/>
  <c r="BF52" i="13"/>
  <c r="BF37" i="13"/>
  <c r="BF79" i="13"/>
  <c r="BF8" i="13"/>
  <c r="BF6" i="13"/>
  <c r="BF23" i="13"/>
  <c r="BF105" i="13"/>
  <c r="BF173" i="13"/>
  <c r="BF137" i="13"/>
  <c r="BF69" i="13"/>
  <c r="BF223" i="13"/>
  <c r="BF72" i="13"/>
  <c r="BF204" i="13"/>
  <c r="BF161" i="13"/>
  <c r="BF178" i="13"/>
  <c r="BF141" i="13"/>
  <c r="BF244" i="13"/>
  <c r="BF90" i="13"/>
  <c r="BF235" i="13"/>
  <c r="BF231" i="13"/>
  <c r="BF101" i="13"/>
  <c r="BF74" i="13"/>
  <c r="BF238" i="13"/>
  <c r="BJ16" i="13"/>
  <c r="BF123" i="13"/>
  <c r="BF75" i="13"/>
  <c r="BF182" i="13"/>
  <c r="BF158" i="13"/>
  <c r="BF177" i="13"/>
  <c r="BJ236" i="13"/>
  <c r="BF155" i="13"/>
  <c r="BF140" i="13"/>
  <c r="BJ218" i="13"/>
  <c r="BF60" i="13"/>
  <c r="BF220" i="13"/>
  <c r="BF116" i="13"/>
  <c r="BF246" i="13"/>
  <c r="BF142" i="13"/>
  <c r="BF190" i="13"/>
  <c r="BF239" i="13"/>
  <c r="BF253" i="13"/>
  <c r="BJ61" i="13"/>
  <c r="BF250" i="13"/>
  <c r="BF172" i="13"/>
  <c r="BF207" i="13"/>
  <c r="BF208" i="13"/>
  <c r="BF232" i="13"/>
  <c r="BJ139" i="13"/>
  <c r="BF32" i="13"/>
  <c r="BF88" i="13"/>
  <c r="BF107" i="13"/>
  <c r="BF106" i="13"/>
  <c r="AR70" i="13"/>
  <c r="V70" i="16" s="1"/>
  <c r="BJ10" i="13"/>
  <c r="AR141" i="13"/>
  <c r="V141" i="16" s="1"/>
  <c r="BF176" i="13"/>
  <c r="BF179" i="13"/>
  <c r="BF166" i="13"/>
  <c r="CS157" i="13"/>
  <c r="BF110" i="13"/>
  <c r="CY157" i="13"/>
  <c r="AR7" i="13"/>
  <c r="V7" i="16" s="1"/>
  <c r="BF21" i="13"/>
  <c r="BF70" i="13"/>
  <c r="BF86" i="13"/>
  <c r="BF63" i="13"/>
  <c r="BF115" i="13"/>
  <c r="BF254" i="13"/>
  <c r="BF59" i="13"/>
  <c r="BF49" i="13"/>
  <c r="BF118" i="13"/>
  <c r="BF202" i="13"/>
  <c r="BF243" i="13"/>
  <c r="BJ171" i="13"/>
  <c r="BF257" i="13"/>
  <c r="BF174" i="13"/>
  <c r="BF5" i="13"/>
  <c r="BF210" i="13"/>
  <c r="BJ127" i="13"/>
  <c r="BF119" i="13"/>
  <c r="BF151" i="13"/>
  <c r="BF56" i="13"/>
  <c r="AR244" i="13"/>
  <c r="V244" i="16" s="1"/>
  <c r="AR212" i="13"/>
  <c r="V212" i="16" s="1"/>
  <c r="BF111" i="13"/>
  <c r="BF162" i="13"/>
  <c r="BF201" i="13"/>
  <c r="AR195" i="13"/>
  <c r="V195" i="16" s="1"/>
  <c r="BF54" i="13"/>
  <c r="AR29" i="13"/>
  <c r="V29" i="16" s="1"/>
  <c r="BF51" i="13"/>
  <c r="AI121" i="16"/>
  <c r="AD121" i="16"/>
  <c r="AH121" i="16"/>
  <c r="AI138" i="16"/>
  <c r="AD138" i="16"/>
  <c r="AH138" i="16"/>
  <c r="AH48" i="16"/>
  <c r="AI48" i="16"/>
  <c r="AD48" i="16"/>
  <c r="AI95" i="16"/>
  <c r="AH95" i="16"/>
  <c r="AD95" i="16"/>
  <c r="AD170" i="16"/>
  <c r="AD31" i="16"/>
  <c r="AI31" i="16"/>
  <c r="AH31" i="16"/>
  <c r="AH259" i="16"/>
  <c r="AD259" i="16"/>
  <c r="AI259" i="16"/>
  <c r="AI197" i="16"/>
  <c r="CH197" i="13" s="1"/>
  <c r="AD197" i="16"/>
  <c r="AH197" i="16"/>
  <c r="BJ170" i="13"/>
  <c r="BJ150" i="13"/>
  <c r="AD128" i="16"/>
  <c r="AI128" i="16"/>
  <c r="AH128" i="16"/>
  <c r="AD55" i="16"/>
  <c r="AI55" i="16"/>
  <c r="AH55" i="16"/>
  <c r="AD33" i="16"/>
  <c r="AH33" i="16"/>
  <c r="AI33" i="16"/>
  <c r="AI93" i="16"/>
  <c r="AH93" i="16"/>
  <c r="AD93" i="16"/>
  <c r="BJ169" i="13"/>
  <c r="AD120" i="16"/>
  <c r="AI120" i="16"/>
  <c r="AH120" i="16"/>
  <c r="AH236" i="16"/>
  <c r="CG236" i="13" s="1"/>
  <c r="AI153" i="16"/>
  <c r="AH125" i="16"/>
  <c r="AD125" i="16"/>
  <c r="AI125" i="16"/>
  <c r="BF252" i="13"/>
  <c r="AH147" i="16"/>
  <c r="AI147" i="16"/>
  <c r="AD147" i="16"/>
  <c r="AH14" i="16"/>
  <c r="AI14" i="16"/>
  <c r="AD14" i="16"/>
  <c r="AR238" i="13"/>
  <c r="V238" i="16" s="1"/>
  <c r="AH12" i="16"/>
  <c r="AI12" i="16"/>
  <c r="AD12" i="16"/>
  <c r="AR188" i="13"/>
  <c r="V188" i="16" s="1"/>
  <c r="AD146" i="16"/>
  <c r="AI146" i="16"/>
  <c r="AH146" i="16"/>
  <c r="BJ11" i="13"/>
  <c r="BF78" i="13"/>
  <c r="AD135" i="16"/>
  <c r="AH135" i="16"/>
  <c r="AI135" i="16"/>
  <c r="AI144" i="16"/>
  <c r="AD144" i="16"/>
  <c r="AH144" i="16"/>
  <c r="BF97" i="13"/>
  <c r="AH58" i="16"/>
  <c r="AI58" i="16"/>
  <c r="AD58" i="16"/>
  <c r="BF211" i="13"/>
  <c r="BF25" i="13"/>
  <c r="AD16" i="16"/>
  <c r="AI16" i="16"/>
  <c r="AH16" i="16"/>
  <c r="BF183" i="13"/>
  <c r="AD27" i="16"/>
  <c r="AH27" i="16"/>
  <c r="AI27" i="16"/>
  <c r="AD77" i="16"/>
  <c r="AI77" i="16"/>
  <c r="AH77" i="16"/>
  <c r="AD13" i="16"/>
  <c r="BT13" i="13" s="1"/>
  <c r="AI13" i="16"/>
  <c r="CH13" i="13" s="1"/>
  <c r="AH13" i="16"/>
  <c r="CG13" i="13" s="1"/>
  <c r="AD47" i="16"/>
  <c r="AH47" i="16"/>
  <c r="AI47" i="16"/>
  <c r="AI171" i="16"/>
  <c r="CH171" i="13" s="1"/>
  <c r="AR142" i="13"/>
  <c r="V142" i="16" s="1"/>
  <c r="BF203" i="13"/>
  <c r="AI80" i="16"/>
  <c r="AD80" i="16"/>
  <c r="AH80" i="16"/>
  <c r="AD124" i="16"/>
  <c r="AI124" i="16"/>
  <c r="AH124" i="16"/>
  <c r="AD150" i="16"/>
  <c r="AH98" i="16"/>
  <c r="AD98" i="16"/>
  <c r="AI98" i="16"/>
  <c r="BJ259" i="13"/>
  <c r="BF73" i="13"/>
  <c r="BF206" i="13"/>
  <c r="AI240" i="16"/>
  <c r="BJ125" i="13"/>
  <c r="BJ168" i="13"/>
  <c r="AR25" i="13"/>
  <c r="V25" i="16" s="1"/>
  <c r="AD152" i="16"/>
  <c r="AI152" i="16"/>
  <c r="AH152" i="16"/>
  <c r="BF4" i="13"/>
  <c r="BJ14" i="13"/>
  <c r="BI79" i="13"/>
  <c r="BJ152" i="13"/>
  <c r="BF71" i="13"/>
  <c r="BF217" i="13"/>
  <c r="BF188" i="13"/>
  <c r="BF247" i="13"/>
  <c r="BF50" i="13"/>
  <c r="BF160" i="13"/>
  <c r="BF209" i="13"/>
  <c r="BF214" i="13"/>
  <c r="AR116" i="13"/>
  <c r="V116" i="16" s="1"/>
  <c r="BF221" i="13"/>
  <c r="BF143" i="13"/>
  <c r="BJ13" i="13"/>
  <c r="CY153" i="13"/>
  <c r="CU153" i="13"/>
  <c r="CS153" i="13"/>
  <c r="Z42" i="16"/>
  <c r="BF81" i="13"/>
  <c r="BF248" i="13"/>
  <c r="BF219" i="13"/>
  <c r="BF258" i="13"/>
  <c r="BF229" i="13"/>
  <c r="BF24" i="13"/>
  <c r="CS170" i="13"/>
  <c r="BF130" i="13"/>
  <c r="AR117" i="13"/>
  <c r="V117" i="16" s="1"/>
  <c r="BJ153" i="13"/>
  <c r="BF135" i="13"/>
  <c r="BF96" i="13"/>
  <c r="BF189" i="13"/>
  <c r="BF216" i="13"/>
  <c r="BF103" i="13"/>
  <c r="CY170" i="13"/>
  <c r="CU157" i="13"/>
  <c r="AQ231" i="13"/>
  <c r="U231" i="16" s="1"/>
  <c r="BI238" i="13"/>
  <c r="BF53" i="13"/>
  <c r="BF67" i="13"/>
  <c r="BF100" i="13"/>
  <c r="BF66" i="13"/>
  <c r="BF40" i="13"/>
  <c r="BF167" i="13"/>
  <c r="BF234" i="13"/>
  <c r="AR38" i="13"/>
  <c r="V38" i="16" s="1"/>
  <c r="BJ12" i="13"/>
  <c r="BF104" i="13"/>
  <c r="AR82" i="13"/>
  <c r="V82" i="16" s="1"/>
  <c r="BF3" i="13"/>
  <c r="BF200" i="13"/>
  <c r="BF196" i="13"/>
  <c r="BF193" i="13"/>
  <c r="BF26" i="13"/>
  <c r="BF29" i="13"/>
  <c r="AR90" i="13"/>
  <c r="V90" i="16" s="1"/>
  <c r="BF113" i="13"/>
  <c r="BF57" i="13"/>
  <c r="BF180" i="13"/>
  <c r="BF233" i="13"/>
  <c r="BF114" i="13"/>
  <c r="BF165" i="13"/>
  <c r="BF212" i="13"/>
  <c r="BF205" i="13"/>
  <c r="CU26" i="13"/>
  <c r="BJ20" i="13"/>
  <c r="BJ19" i="13"/>
  <c r="BF186" i="13"/>
  <c r="BF108" i="13"/>
  <c r="BF133" i="13"/>
  <c r="BF22" i="13"/>
  <c r="BF195" i="13"/>
  <c r="AQ60" i="13"/>
  <c r="U60" i="16" s="1"/>
  <c r="BI215" i="13"/>
  <c r="CU170" i="13"/>
  <c r="AQ86" i="13"/>
  <c r="U86" i="16" s="1"/>
  <c r="AR133" i="13"/>
  <c r="V133" i="16" s="1"/>
  <c r="BF185" i="13"/>
  <c r="BF129" i="13"/>
  <c r="BF68" i="13"/>
  <c r="BJ136" i="13"/>
  <c r="AR32" i="13"/>
  <c r="V32" i="16" s="1"/>
  <c r="AQ225" i="13"/>
  <c r="U225" i="16" s="1"/>
  <c r="CU152" i="13"/>
  <c r="CS152" i="13"/>
  <c r="CY152" i="13"/>
  <c r="CY26" i="13"/>
  <c r="CS26" i="13"/>
  <c r="AR243" i="13"/>
  <c r="V243" i="16" s="1"/>
  <c r="AR52" i="13"/>
  <c r="V52" i="16" s="1"/>
  <c r="CY17" i="13"/>
  <c r="CS17" i="13"/>
  <c r="CU17" i="13"/>
  <c r="AR62" i="13"/>
  <c r="V62" i="16" s="1"/>
  <c r="BI17" i="13"/>
  <c r="BF9" i="13"/>
  <c r="BF36" i="13"/>
  <c r="BF156" i="13"/>
  <c r="BF31" i="13"/>
  <c r="AR110" i="13"/>
  <c r="V110" i="16" s="1"/>
  <c r="BF260" i="13"/>
  <c r="BF80" i="13"/>
  <c r="BF249" i="13"/>
  <c r="CG154" i="13"/>
  <c r="BF7" i="13"/>
  <c r="BF222" i="13"/>
  <c r="BF213" i="13"/>
  <c r="BT154" i="13"/>
  <c r="CV154" i="13" s="1"/>
  <c r="BF89" i="13"/>
  <c r="BF82" i="13"/>
  <c r="BF84" i="13"/>
  <c r="AR205" i="13"/>
  <c r="V205" i="16" s="1"/>
  <c r="BJ94" i="13"/>
  <c r="BJ47" i="13"/>
  <c r="BJ255" i="13"/>
  <c r="BJ81" i="13"/>
  <c r="BJ135" i="13"/>
  <c r="BJ138" i="13"/>
  <c r="BJ55" i="13"/>
  <c r="BJ132" i="13"/>
  <c r="BJ144" i="13"/>
  <c r="BJ30" i="13"/>
  <c r="BJ95" i="13"/>
  <c r="BJ121" i="13"/>
  <c r="BJ27" i="13"/>
  <c r="BJ148" i="13"/>
  <c r="BJ84" i="13"/>
  <c r="BJ147" i="13"/>
  <c r="BJ80" i="13"/>
  <c r="BJ48" i="13"/>
  <c r="BJ64" i="13"/>
  <c r="BJ146" i="13"/>
  <c r="BJ33" i="13"/>
  <c r="BJ256" i="13"/>
  <c r="BJ67" i="13"/>
  <c r="BJ58" i="13"/>
  <c r="BJ98" i="13"/>
  <c r="BJ44" i="13"/>
  <c r="BJ77" i="13"/>
  <c r="BJ31" i="13"/>
  <c r="BJ46" i="13"/>
  <c r="BJ45" i="13"/>
  <c r="BJ240" i="13"/>
  <c r="BJ93" i="13"/>
  <c r="BJ128" i="13"/>
  <c r="BJ124" i="13"/>
  <c r="BJ197" i="13"/>
  <c r="BI41" i="13"/>
  <c r="BI28" i="13"/>
  <c r="BI92" i="13"/>
  <c r="BI85" i="13"/>
  <c r="BI43" i="13"/>
  <c r="BI227" i="13"/>
  <c r="AQ164" i="13"/>
  <c r="AQ228" i="13"/>
  <c r="CY43" i="13"/>
  <c r="CS43" i="13"/>
  <c r="CU43" i="13"/>
  <c r="BF65" i="13"/>
  <c r="CY31" i="13"/>
  <c r="CS31" i="13"/>
  <c r="CU31" i="13"/>
  <c r="CY47" i="13"/>
  <c r="CS47" i="13"/>
  <c r="CU47" i="13"/>
  <c r="CY33" i="13"/>
  <c r="CU33" i="13"/>
  <c r="CS33" i="13"/>
  <c r="CU55" i="13"/>
  <c r="CY55" i="13"/>
  <c r="CS55" i="13"/>
  <c r="CU48" i="13"/>
  <c r="CY48" i="13"/>
  <c r="CS48" i="13"/>
  <c r="CY58" i="13"/>
  <c r="CS58" i="13"/>
  <c r="CU58" i="13"/>
  <c r="CY46" i="13"/>
  <c r="CS46" i="13"/>
  <c r="CU46" i="13"/>
  <c r="CU28" i="13"/>
  <c r="CY28" i="13"/>
  <c r="CS28" i="13"/>
  <c r="CU44" i="13"/>
  <c r="CY44" i="13"/>
  <c r="CS44" i="13"/>
  <c r="CS41" i="13"/>
  <c r="CU41" i="13"/>
  <c r="CY41" i="13"/>
  <c r="CY128" i="13"/>
  <c r="CU128" i="13"/>
  <c r="CS128" i="13"/>
  <c r="CY147" i="13"/>
  <c r="CU147" i="13"/>
  <c r="CS147" i="13"/>
  <c r="CY148" i="13"/>
  <c r="CU148" i="13"/>
  <c r="CS148" i="13"/>
  <c r="BF245" i="13"/>
  <c r="CY85" i="13"/>
  <c r="CU85" i="13"/>
  <c r="CS85" i="13"/>
  <c r="CY144" i="13"/>
  <c r="CU144" i="13"/>
  <c r="CS144" i="13"/>
  <c r="CY121" i="13"/>
  <c r="CU121" i="13"/>
  <c r="CS121" i="13"/>
  <c r="CY124" i="13"/>
  <c r="CU124" i="13"/>
  <c r="CS124" i="13"/>
  <c r="CY240" i="13"/>
  <c r="CU240" i="13"/>
  <c r="CS240" i="13"/>
  <c r="CY138" i="13"/>
  <c r="CU138" i="13"/>
  <c r="CS138" i="13"/>
  <c r="CY175" i="13"/>
  <c r="CU175" i="13"/>
  <c r="CS175" i="13"/>
  <c r="CY255" i="13"/>
  <c r="CS255" i="13"/>
  <c r="CU255" i="13"/>
  <c r="CY98" i="13"/>
  <c r="CU98" i="13"/>
  <c r="CS98" i="13"/>
  <c r="CY146" i="13"/>
  <c r="CU146" i="13"/>
  <c r="CS146" i="13"/>
  <c r="CY93" i="13"/>
  <c r="CU93" i="13"/>
  <c r="CS93" i="13"/>
  <c r="CY95" i="13"/>
  <c r="CU95" i="13"/>
  <c r="CS95" i="13"/>
  <c r="CY256" i="13"/>
  <c r="CS256" i="13"/>
  <c r="CU256" i="13"/>
  <c r="CY197" i="13"/>
  <c r="CU197" i="13"/>
  <c r="CS197" i="13"/>
  <c r="BF194" i="13"/>
  <c r="CY81" i="13"/>
  <c r="CU81" i="13"/>
  <c r="CS81" i="13"/>
  <c r="CS135" i="13"/>
  <c r="CU135" i="13"/>
  <c r="CY135" i="13"/>
  <c r="CY77" i="13"/>
  <c r="CU77" i="13"/>
  <c r="CS77" i="13"/>
  <c r="CY187" i="13"/>
  <c r="CU187" i="13"/>
  <c r="CS187" i="13"/>
  <c r="CY208" i="13"/>
  <c r="CY92" i="13"/>
  <c r="CU92" i="13"/>
  <c r="CS92" i="13"/>
  <c r="CY80" i="13"/>
  <c r="CU80" i="13"/>
  <c r="CS80" i="13"/>
  <c r="BF159" i="13"/>
  <c r="CY84" i="13"/>
  <c r="CU84" i="13"/>
  <c r="CS84" i="13"/>
  <c r="BF164" i="13"/>
  <c r="BF87" i="13"/>
  <c r="BF39" i="13"/>
  <c r="AR226" i="13"/>
  <c r="V226" i="16" s="1"/>
  <c r="AR221" i="13"/>
  <c r="V221" i="16" s="1"/>
  <c r="AR202" i="13"/>
  <c r="V202" i="16" s="1"/>
  <c r="AR253" i="13"/>
  <c r="V253" i="16" s="1"/>
  <c r="AR36" i="13"/>
  <c r="V36" i="16" s="1"/>
  <c r="AR203" i="13"/>
  <c r="V203" i="16" s="1"/>
  <c r="AR217" i="13"/>
  <c r="V217" i="16" s="1"/>
  <c r="AR112" i="13"/>
  <c r="V112" i="16" s="1"/>
  <c r="AR23" i="13"/>
  <c r="V23" i="16" s="1"/>
  <c r="AR24" i="13"/>
  <c r="V24" i="16" s="1"/>
  <c r="AR96" i="13"/>
  <c r="V96" i="16" s="1"/>
  <c r="AR69" i="13"/>
  <c r="V69" i="16" s="1"/>
  <c r="AR119" i="13"/>
  <c r="V119" i="16" s="1"/>
  <c r="AR216" i="13"/>
  <c r="V216" i="16" s="1"/>
  <c r="AR9" i="13"/>
  <c r="V9" i="16" s="1"/>
  <c r="AR223" i="13"/>
  <c r="V223" i="16" s="1"/>
  <c r="AR220" i="13"/>
  <c r="V220" i="16" s="1"/>
  <c r="AR180" i="13"/>
  <c r="V180" i="16" s="1"/>
  <c r="AR111" i="13"/>
  <c r="V111" i="16" s="1"/>
  <c r="AR254" i="13"/>
  <c r="V254" i="16" s="1"/>
  <c r="AR53" i="13"/>
  <c r="V53" i="16" s="1"/>
  <c r="AR134" i="13"/>
  <c r="V134" i="16" s="1"/>
  <c r="AR113" i="13"/>
  <c r="V113" i="16" s="1"/>
  <c r="AR63" i="13"/>
  <c r="V63" i="16" s="1"/>
  <c r="AR143" i="13"/>
  <c r="V143" i="16" s="1"/>
  <c r="AR89" i="13"/>
  <c r="V89" i="16" s="1"/>
  <c r="AR83" i="13"/>
  <c r="V83" i="16" s="1"/>
  <c r="AR207" i="13"/>
  <c r="V207" i="16" s="1"/>
  <c r="AR191" i="13"/>
  <c r="V191" i="16" s="1"/>
  <c r="AR173" i="13"/>
  <c r="V173" i="16" s="1"/>
  <c r="AR54" i="13"/>
  <c r="V54" i="16" s="1"/>
  <c r="AR130" i="13"/>
  <c r="V130" i="16" s="1"/>
  <c r="AR4" i="13"/>
  <c r="V4" i="16" s="1"/>
  <c r="AR230" i="13"/>
  <c r="V230" i="16" s="1"/>
  <c r="AR260" i="13"/>
  <c r="V260" i="16" s="1"/>
  <c r="AR59" i="13"/>
  <c r="V59" i="16" s="1"/>
  <c r="AR156" i="13"/>
  <c r="V156" i="16" s="1"/>
  <c r="AR213" i="13"/>
  <c r="V213" i="16" s="1"/>
  <c r="AR109" i="13"/>
  <c r="V109" i="16" s="1"/>
  <c r="AR215" i="13"/>
  <c r="V215" i="16" s="1"/>
  <c r="AR224" i="13"/>
  <c r="V224" i="16" s="1"/>
  <c r="AR179" i="13"/>
  <c r="V179" i="16" s="1"/>
  <c r="AR105" i="13"/>
  <c r="V105" i="16" s="1"/>
  <c r="AR227" i="13"/>
  <c r="V227" i="16" s="1"/>
  <c r="AR185" i="13"/>
  <c r="V185" i="16" s="1"/>
  <c r="AR214" i="13"/>
  <c r="V214" i="16" s="1"/>
  <c r="AR178" i="13"/>
  <c r="V178" i="16" s="1"/>
  <c r="AR167" i="13"/>
  <c r="V167" i="16" s="1"/>
  <c r="AR159" i="13"/>
  <c r="V159" i="16" s="1"/>
  <c r="AR219" i="13"/>
  <c r="V219" i="16" s="1"/>
  <c r="AR76" i="13"/>
  <c r="V76" i="16" s="1"/>
  <c r="AR103" i="13"/>
  <c r="V103" i="16" s="1"/>
  <c r="AR246" i="13"/>
  <c r="V246" i="16" s="1"/>
  <c r="AR233" i="13"/>
  <c r="V233" i="16" s="1"/>
  <c r="AR258" i="13"/>
  <c r="V258" i="16" s="1"/>
  <c r="AR71" i="13"/>
  <c r="V71" i="16" s="1"/>
  <c r="AR193" i="13"/>
  <c r="V193" i="16" s="1"/>
  <c r="AR209" i="13"/>
  <c r="V209" i="16" s="1"/>
  <c r="AR106" i="13"/>
  <c r="V106" i="16" s="1"/>
  <c r="AR239" i="13"/>
  <c r="V239" i="16" s="1"/>
  <c r="AR252" i="13"/>
  <c r="V252" i="16" s="1"/>
  <c r="AR232" i="13"/>
  <c r="V232" i="16" s="1"/>
  <c r="AR204" i="13"/>
  <c r="V204" i="16" s="1"/>
  <c r="AR115" i="13"/>
  <c r="V115" i="16" s="1"/>
  <c r="AR163" i="13"/>
  <c r="V163" i="16" s="1"/>
  <c r="AR160" i="13"/>
  <c r="V160" i="16" s="1"/>
  <c r="AR166" i="13"/>
  <c r="V166" i="16" s="1"/>
  <c r="AR249" i="13"/>
  <c r="V249" i="16" s="1"/>
  <c r="AR251" i="13"/>
  <c r="V251" i="16" s="1"/>
  <c r="AR74" i="13"/>
  <c r="V74" i="16" s="1"/>
  <c r="AR78" i="13"/>
  <c r="V78" i="16" s="1"/>
  <c r="AR200" i="13"/>
  <c r="V200" i="16" s="1"/>
  <c r="AR102" i="13"/>
  <c r="V102" i="16" s="1"/>
  <c r="AR8" i="13"/>
  <c r="V8" i="16" s="1"/>
  <c r="AR229" i="13"/>
  <c r="V229" i="16" s="1"/>
  <c r="AR97" i="13"/>
  <c r="V97" i="16" s="1"/>
  <c r="AR206" i="13"/>
  <c r="V206" i="16" s="1"/>
  <c r="AR181" i="13"/>
  <c r="V181" i="16" s="1"/>
  <c r="AR250" i="13"/>
  <c r="V250" i="16" s="1"/>
  <c r="AR245" i="13"/>
  <c r="V245" i="16" s="1"/>
  <c r="AR248" i="13"/>
  <c r="V248" i="16" s="1"/>
  <c r="AR6" i="13"/>
  <c r="V6" i="16" s="1"/>
  <c r="AR40" i="13"/>
  <c r="V40" i="16" s="1"/>
  <c r="AR42" i="13"/>
  <c r="V42" i="16" s="1"/>
  <c r="AR222" i="13"/>
  <c r="V222" i="16" s="1"/>
  <c r="AR122" i="13"/>
  <c r="V122" i="16" s="1"/>
  <c r="AR257" i="13"/>
  <c r="V257" i="16" s="1"/>
  <c r="AR73" i="13"/>
  <c r="V73" i="16" s="1"/>
  <c r="AR177" i="13"/>
  <c r="V177" i="16" s="1"/>
  <c r="AR65" i="13"/>
  <c r="V65" i="16" s="1"/>
  <c r="AR176" i="13"/>
  <c r="V176" i="16" s="1"/>
  <c r="AR151" i="13"/>
  <c r="V151" i="16" s="1"/>
  <c r="AQ91" i="13"/>
  <c r="AR87" i="13"/>
  <c r="V87" i="16" s="1"/>
  <c r="AR39" i="13"/>
  <c r="V39" i="16" s="1"/>
  <c r="AI236" i="16" l="1"/>
  <c r="CH236" i="13" s="1"/>
  <c r="CI236" i="13" s="1"/>
  <c r="AI94" i="16"/>
  <c r="AD46" i="16"/>
  <c r="AD94" i="16"/>
  <c r="AI46" i="16"/>
  <c r="AH136" i="16"/>
  <c r="CG136" i="13" s="1"/>
  <c r="AI19" i="16"/>
  <c r="AD10" i="16"/>
  <c r="AD136" i="16"/>
  <c r="BT136" i="13" s="1"/>
  <c r="AH19" i="16"/>
  <c r="AI10" i="16"/>
  <c r="CH10" i="13" s="1"/>
  <c r="AD256" i="16"/>
  <c r="AD30" i="16"/>
  <c r="AH256" i="16"/>
  <c r="AI30" i="16"/>
  <c r="CS208" i="13"/>
  <c r="AH150" i="16"/>
  <c r="AH153" i="16"/>
  <c r="AI170" i="16"/>
  <c r="CU208" i="13"/>
  <c r="BH101" i="13"/>
  <c r="BI101" i="13" s="1"/>
  <c r="AR101" i="13"/>
  <c r="V101" i="16" s="1"/>
  <c r="BH104" i="13"/>
  <c r="BI104" i="13" s="1"/>
  <c r="AR104" i="13"/>
  <c r="V104" i="16" s="1"/>
  <c r="AD132" i="16"/>
  <c r="CS186" i="13"/>
  <c r="AI11" i="16"/>
  <c r="AH139" i="16"/>
  <c r="CG139" i="13" s="1"/>
  <c r="CU186" i="13"/>
  <c r="AI139" i="16"/>
  <c r="CH139" i="13" s="1"/>
  <c r="AI127" i="16"/>
  <c r="CH127" i="13" s="1"/>
  <c r="CY186" i="13"/>
  <c r="AI81" i="16"/>
  <c r="CH81" i="13" s="1"/>
  <c r="CU50" i="13"/>
  <c r="CS50" i="13"/>
  <c r="AI44" i="16"/>
  <c r="CY50" i="13"/>
  <c r="AH240" i="16"/>
  <c r="AD171" i="16"/>
  <c r="BT171" i="13" s="1"/>
  <c r="AI168" i="16"/>
  <c r="AH168" i="16"/>
  <c r="AI45" i="16"/>
  <c r="AH84" i="16"/>
  <c r="CG84" i="13" s="1"/>
  <c r="AH67" i="16"/>
  <c r="AH169" i="16"/>
  <c r="CG169" i="13" s="1"/>
  <c r="AH45" i="16"/>
  <c r="CG45" i="13" s="1"/>
  <c r="AD84" i="16"/>
  <c r="BT84" i="13" s="1"/>
  <c r="AI67" i="16"/>
  <c r="AI169" i="16"/>
  <c r="CH169" i="13" s="1"/>
  <c r="CY57" i="13"/>
  <c r="AH61" i="16"/>
  <c r="CU57" i="13"/>
  <c r="AD64" i="16"/>
  <c r="AI61" i="16"/>
  <c r="CS57" i="13"/>
  <c r="AH64" i="16"/>
  <c r="CG64" i="13" s="1"/>
  <c r="C62" i="20"/>
  <c r="M62" i="23"/>
  <c r="C42" i="20"/>
  <c r="M42" i="23"/>
  <c r="AB192" i="16"/>
  <c r="K192" i="23"/>
  <c r="C104" i="20"/>
  <c r="M104" i="23"/>
  <c r="Z104" i="16"/>
  <c r="C225" i="20"/>
  <c r="M225" i="23"/>
  <c r="M102" i="23"/>
  <c r="C102" i="20"/>
  <c r="D76" i="20"/>
  <c r="AA76" i="16"/>
  <c r="C103" i="20"/>
  <c r="M103" i="23"/>
  <c r="Z103" i="16"/>
  <c r="C100" i="20"/>
  <c r="M100" i="23"/>
  <c r="Z100" i="16"/>
  <c r="M99" i="23"/>
  <c r="CI139" i="13"/>
  <c r="E139" i="20" s="1"/>
  <c r="AH44" i="16"/>
  <c r="AI132" i="16"/>
  <c r="CI171" i="13"/>
  <c r="E171" i="20" s="1"/>
  <c r="AH81" i="16"/>
  <c r="CG81" i="13" s="1"/>
  <c r="AD127" i="16"/>
  <c r="BT127" i="13" s="1"/>
  <c r="CV127" i="13" s="1"/>
  <c r="AH148" i="16"/>
  <c r="AH11" i="16"/>
  <c r="AH218" i="16"/>
  <c r="AD148" i="16"/>
  <c r="AI218" i="16"/>
  <c r="AD20" i="16"/>
  <c r="AI20" i="16"/>
  <c r="AB28" i="16"/>
  <c r="AD28" i="16" s="1"/>
  <c r="K28" i="23"/>
  <c r="AB79" i="16"/>
  <c r="AD79" i="16" s="1"/>
  <c r="K79" i="23"/>
  <c r="AB196" i="16"/>
  <c r="AD196" i="16" s="1"/>
  <c r="BT196" i="13" s="1"/>
  <c r="K196" i="23"/>
  <c r="AB122" i="16"/>
  <c r="K122" i="23"/>
  <c r="AB172" i="16"/>
  <c r="K172" i="23"/>
  <c r="AB166" i="16"/>
  <c r="AD166" i="16" s="1"/>
  <c r="K166" i="23"/>
  <c r="AB221" i="16"/>
  <c r="AD221" i="16" s="1"/>
  <c r="K221" i="23"/>
  <c r="AB207" i="16"/>
  <c r="AI207" i="16" s="1"/>
  <c r="K207" i="23"/>
  <c r="AB211" i="16"/>
  <c r="AD211" i="16" s="1"/>
  <c r="BT211" i="13" s="1"/>
  <c r="K211" i="23"/>
  <c r="AB137" i="16"/>
  <c r="K137" i="23"/>
  <c r="AB224" i="16"/>
  <c r="K224" i="23"/>
  <c r="AB107" i="16"/>
  <c r="AI107" i="16" s="1"/>
  <c r="K107" i="23"/>
  <c r="AB115" i="16"/>
  <c r="AH115" i="16" s="1"/>
  <c r="K115" i="23"/>
  <c r="AB90" i="16"/>
  <c r="AI90" i="16" s="1"/>
  <c r="K90" i="23"/>
  <c r="BH91" i="13"/>
  <c r="U91" i="16"/>
  <c r="AB41" i="16"/>
  <c r="K41" i="23"/>
  <c r="AB88" i="16"/>
  <c r="K88" i="23"/>
  <c r="AB202" i="16"/>
  <c r="AI202" i="16" s="1"/>
  <c r="K202" i="23"/>
  <c r="AB140" i="16"/>
  <c r="AI140" i="16" s="1"/>
  <c r="CH140" i="13" s="1"/>
  <c r="K140" i="23"/>
  <c r="AB222" i="16"/>
  <c r="AD222" i="16" s="1"/>
  <c r="K222" i="23"/>
  <c r="AB112" i="16"/>
  <c r="AD112" i="16" s="1"/>
  <c r="K112" i="23"/>
  <c r="AB219" i="16"/>
  <c r="K219" i="23"/>
  <c r="AB208" i="16"/>
  <c r="K208" i="23"/>
  <c r="AB177" i="16"/>
  <c r="AD177" i="16" s="1"/>
  <c r="K177" i="23"/>
  <c r="AB247" i="16"/>
  <c r="AH247" i="16" s="1"/>
  <c r="CG247" i="13" s="1"/>
  <c r="K247" i="23"/>
  <c r="AB73" i="16"/>
  <c r="AI73" i="16" s="1"/>
  <c r="K73" i="23"/>
  <c r="AB165" i="16"/>
  <c r="AD165" i="16" s="1"/>
  <c r="K165" i="23"/>
  <c r="AB239" i="16"/>
  <c r="K239" i="23"/>
  <c r="AB162" i="16"/>
  <c r="K162" i="23"/>
  <c r="AB130" i="16"/>
  <c r="AI130" i="16" s="1"/>
  <c r="K130" i="23"/>
  <c r="AB151" i="16"/>
  <c r="AI151" i="16" s="1"/>
  <c r="K151" i="23"/>
  <c r="AB116" i="16"/>
  <c r="AD116" i="16" s="1"/>
  <c r="BT116" i="13" s="1"/>
  <c r="K116" i="23"/>
  <c r="AB245" i="16"/>
  <c r="AH245" i="16" s="1"/>
  <c r="K245" i="23"/>
  <c r="AB244" i="16"/>
  <c r="K244" i="23"/>
  <c r="AB156" i="16"/>
  <c r="K156" i="23"/>
  <c r="AB257" i="16"/>
  <c r="AH257" i="16" s="1"/>
  <c r="K257" i="23"/>
  <c r="AB66" i="16"/>
  <c r="AI66" i="16" s="1"/>
  <c r="K66" i="23"/>
  <c r="AB223" i="16"/>
  <c r="AD223" i="16" s="1"/>
  <c r="K223" i="23"/>
  <c r="AB212" i="16"/>
  <c r="AI212" i="16" s="1"/>
  <c r="K212" i="23"/>
  <c r="AB65" i="16"/>
  <c r="K65" i="23"/>
  <c r="AB253" i="16"/>
  <c r="K253" i="23"/>
  <c r="AB102" i="16"/>
  <c r="AI102" i="16" s="1"/>
  <c r="K102" i="23"/>
  <c r="AB106" i="16"/>
  <c r="AD106" i="16" s="1"/>
  <c r="K106" i="23"/>
  <c r="AB142" i="16"/>
  <c r="AI142" i="16" s="1"/>
  <c r="CH142" i="13" s="1"/>
  <c r="K142" i="23"/>
  <c r="AB250" i="16"/>
  <c r="AI250" i="16" s="1"/>
  <c r="K250" i="23"/>
  <c r="AB186" i="16"/>
  <c r="K186" i="23"/>
  <c r="AB216" i="16"/>
  <c r="K216" i="23"/>
  <c r="AB234" i="16"/>
  <c r="AD234" i="16" s="1"/>
  <c r="BT234" i="13" s="1"/>
  <c r="K234" i="23"/>
  <c r="BH228" i="13"/>
  <c r="U228" i="16"/>
  <c r="AB204" i="16"/>
  <c r="AD204" i="16" s="1"/>
  <c r="K204" i="23"/>
  <c r="AB201" i="16"/>
  <c r="AI201" i="16" s="1"/>
  <c r="CH201" i="13" s="1"/>
  <c r="K201" i="23"/>
  <c r="AB53" i="16"/>
  <c r="K53" i="23"/>
  <c r="AB141" i="16"/>
  <c r="K141" i="23"/>
  <c r="AB161" i="16"/>
  <c r="AI161" i="16" s="1"/>
  <c r="CH161" i="13" s="1"/>
  <c r="K161" i="23"/>
  <c r="AB160" i="16"/>
  <c r="AD160" i="16" s="1"/>
  <c r="K160" i="23"/>
  <c r="AB185" i="16"/>
  <c r="AD185" i="16" s="1"/>
  <c r="K185" i="23"/>
  <c r="AB71" i="16"/>
  <c r="AD71" i="16" s="1"/>
  <c r="K71" i="23"/>
  <c r="AB3" i="16"/>
  <c r="K3" i="23"/>
  <c r="AB6" i="16"/>
  <c r="K6" i="23"/>
  <c r="AB110" i="16"/>
  <c r="AD110" i="16" s="1"/>
  <c r="K110" i="23"/>
  <c r="AB155" i="16"/>
  <c r="AI155" i="16" s="1"/>
  <c r="CH155" i="13" s="1"/>
  <c r="K155" i="23"/>
  <c r="BH164" i="13"/>
  <c r="BI164" i="13" s="1"/>
  <c r="U164" i="16"/>
  <c r="AB248" i="16"/>
  <c r="AI248" i="16" s="1"/>
  <c r="K248" i="23"/>
  <c r="AB174" i="16"/>
  <c r="K174" i="23"/>
  <c r="AB260" i="16"/>
  <c r="K260" i="23"/>
  <c r="AB72" i="16"/>
  <c r="AI72" i="16" s="1"/>
  <c r="K72" i="23"/>
  <c r="AB101" i="16"/>
  <c r="AI101" i="16" s="1"/>
  <c r="K101" i="23"/>
  <c r="AB70" i="16"/>
  <c r="AD70" i="16" s="1"/>
  <c r="K70" i="23"/>
  <c r="AB32" i="16"/>
  <c r="K32" i="23"/>
  <c r="AB9" i="16"/>
  <c r="K9" i="23"/>
  <c r="AB252" i="16"/>
  <c r="K252" i="23"/>
  <c r="AB233" i="16"/>
  <c r="AD233" i="16" s="1"/>
  <c r="K233" i="23"/>
  <c r="AB126" i="16"/>
  <c r="AD126" i="16" s="1"/>
  <c r="BT126" i="13" s="1"/>
  <c r="K126" i="23"/>
  <c r="AB246" i="16"/>
  <c r="AI246" i="16" s="1"/>
  <c r="K246" i="23"/>
  <c r="AB213" i="16"/>
  <c r="AD213" i="16" s="1"/>
  <c r="K213" i="23"/>
  <c r="AB167" i="16"/>
  <c r="K167" i="23"/>
  <c r="AB7" i="16"/>
  <c r="K7" i="23"/>
  <c r="AB163" i="16"/>
  <c r="AI163" i="16" s="1"/>
  <c r="K163" i="23"/>
  <c r="AB119" i="16"/>
  <c r="AH119" i="16" s="1"/>
  <c r="K119" i="23"/>
  <c r="AB188" i="16"/>
  <c r="AI188" i="16" s="1"/>
  <c r="CH188" i="13" s="1"/>
  <c r="K188" i="23"/>
  <c r="AB230" i="16"/>
  <c r="AD230" i="16" s="1"/>
  <c r="K230" i="23"/>
  <c r="AB133" i="16"/>
  <c r="K133" i="23"/>
  <c r="AB183" i="16"/>
  <c r="K183" i="23"/>
  <c r="AB173" i="16"/>
  <c r="AI173" i="16" s="1"/>
  <c r="K173" i="23"/>
  <c r="AB82" i="16"/>
  <c r="AI82" i="16" s="1"/>
  <c r="CH82" i="13" s="1"/>
  <c r="K82" i="23"/>
  <c r="AB159" i="16"/>
  <c r="AI159" i="16" s="1"/>
  <c r="K159" i="23"/>
  <c r="AB5" i="16"/>
  <c r="AI5" i="16" s="1"/>
  <c r="K5" i="23"/>
  <c r="AB37" i="16"/>
  <c r="K37" i="23"/>
  <c r="AB111" i="16"/>
  <c r="K111" i="23"/>
  <c r="AB227" i="16"/>
  <c r="AD227" i="16" s="1"/>
  <c r="K227" i="23"/>
  <c r="AD17" i="16"/>
  <c r="AB17" i="16"/>
  <c r="K17" i="23"/>
  <c r="AB210" i="16"/>
  <c r="AD210" i="16" s="1"/>
  <c r="BT210" i="13" s="1"/>
  <c r="K210" i="23"/>
  <c r="AB215" i="16"/>
  <c r="K215" i="23"/>
  <c r="AB235" i="16"/>
  <c r="K235" i="23"/>
  <c r="AB24" i="16"/>
  <c r="AH24" i="16" s="1"/>
  <c r="K24" i="23"/>
  <c r="AB180" i="16"/>
  <c r="AD180" i="16" s="1"/>
  <c r="K180" i="23"/>
  <c r="AB69" i="16"/>
  <c r="AH69" i="16" s="1"/>
  <c r="K69" i="23"/>
  <c r="AB21" i="16"/>
  <c r="AD21" i="16" s="1"/>
  <c r="K21" i="23"/>
  <c r="AB113" i="16"/>
  <c r="K113" i="23"/>
  <c r="AB203" i="16"/>
  <c r="K203" i="23"/>
  <c r="AB114" i="16"/>
  <c r="AD114" i="16" s="1"/>
  <c r="BT114" i="13" s="1"/>
  <c r="K114" i="23"/>
  <c r="AB229" i="16"/>
  <c r="AD229" i="16" s="1"/>
  <c r="K229" i="23"/>
  <c r="AB189" i="16"/>
  <c r="AD189" i="16" s="1"/>
  <c r="BT189" i="13" s="1"/>
  <c r="K189" i="23"/>
  <c r="AB8" i="16"/>
  <c r="AH8" i="16" s="1"/>
  <c r="K8" i="23"/>
  <c r="AB105" i="16"/>
  <c r="K105" i="23"/>
  <c r="AB54" i="16"/>
  <c r="K54" i="23"/>
  <c r="AB226" i="16"/>
  <c r="AI226" i="16" s="1"/>
  <c r="K226" i="23"/>
  <c r="AB68" i="16"/>
  <c r="AD68" i="16" s="1"/>
  <c r="K68" i="23"/>
  <c r="AB209" i="16"/>
  <c r="AD209" i="16" s="1"/>
  <c r="K209" i="23"/>
  <c r="AB123" i="16"/>
  <c r="AH123" i="16" s="1"/>
  <c r="CG123" i="13" s="1"/>
  <c r="K123" i="23"/>
  <c r="AB254" i="16"/>
  <c r="K254" i="23"/>
  <c r="AB74" i="16"/>
  <c r="K74" i="23"/>
  <c r="AB38" i="16"/>
  <c r="K38" i="23"/>
  <c r="AB52" i="16"/>
  <c r="AD52" i="16" s="1"/>
  <c r="K52" i="23"/>
  <c r="AB129" i="16"/>
  <c r="AI129" i="16" s="1"/>
  <c r="CH129" i="13" s="1"/>
  <c r="K129" i="23"/>
  <c r="AB176" i="16"/>
  <c r="AD176" i="16" s="1"/>
  <c r="K176" i="23"/>
  <c r="AB182" i="16"/>
  <c r="K182" i="23"/>
  <c r="AB43" i="16"/>
  <c r="K43" i="23"/>
  <c r="AB195" i="16"/>
  <c r="AI195" i="16" s="1"/>
  <c r="CH195" i="13" s="1"/>
  <c r="K195" i="23"/>
  <c r="AB178" i="16"/>
  <c r="AH178" i="16" s="1"/>
  <c r="K178" i="23"/>
  <c r="AB76" i="16"/>
  <c r="AD76" i="16" s="1"/>
  <c r="K76" i="23"/>
  <c r="AB217" i="16"/>
  <c r="AD217" i="16" s="1"/>
  <c r="K217" i="23"/>
  <c r="AB232" i="16"/>
  <c r="K232" i="23"/>
  <c r="AB158" i="16"/>
  <c r="AD158" i="16" s="1"/>
  <c r="BT158" i="13" s="1"/>
  <c r="K158" i="23"/>
  <c r="AB109" i="16"/>
  <c r="AD109" i="16" s="1"/>
  <c r="K109" i="23"/>
  <c r="AB194" i="16"/>
  <c r="AD194" i="16" s="1"/>
  <c r="BT194" i="13" s="1"/>
  <c r="K194" i="23"/>
  <c r="AB85" i="16"/>
  <c r="AD85" i="16" s="1"/>
  <c r="K85" i="23"/>
  <c r="AB238" i="16"/>
  <c r="AI238" i="16" s="1"/>
  <c r="CH238" i="13" s="1"/>
  <c r="K238" i="23"/>
  <c r="AB29" i="16"/>
  <c r="K29" i="23"/>
  <c r="AB179" i="16"/>
  <c r="K179" i="23"/>
  <c r="AB181" i="16"/>
  <c r="AH181" i="16" s="1"/>
  <c r="K181" i="23"/>
  <c r="AB214" i="16"/>
  <c r="AD214" i="16" s="1"/>
  <c r="K214" i="23"/>
  <c r="AB220" i="16"/>
  <c r="AI220" i="16" s="1"/>
  <c r="K220" i="23"/>
  <c r="AB4" i="16"/>
  <c r="AH4" i="16" s="1"/>
  <c r="K4" i="23"/>
  <c r="AB57" i="16"/>
  <c r="K57" i="23"/>
  <c r="AB22" i="16"/>
  <c r="K22" i="23"/>
  <c r="AB190" i="16"/>
  <c r="AD190" i="16" s="1"/>
  <c r="BT190" i="13" s="1"/>
  <c r="K190" i="23"/>
  <c r="AB191" i="16"/>
  <c r="AD191" i="16" s="1"/>
  <c r="K191" i="23"/>
  <c r="AB63" i="16"/>
  <c r="AD63" i="16" s="1"/>
  <c r="K63" i="23"/>
  <c r="AB258" i="16"/>
  <c r="AI258" i="16" s="1"/>
  <c r="K258" i="23"/>
  <c r="AB92" i="16"/>
  <c r="K92" i="23"/>
  <c r="AB117" i="16"/>
  <c r="K117" i="23"/>
  <c r="AB249" i="16"/>
  <c r="AH249" i="16" s="1"/>
  <c r="K249" i="23"/>
  <c r="AB108" i="16"/>
  <c r="AD108" i="16" s="1"/>
  <c r="K108" i="23"/>
  <c r="AB200" i="16"/>
  <c r="AD200" i="16" s="1"/>
  <c r="K200" i="23"/>
  <c r="AB193" i="16"/>
  <c r="AI193" i="16" s="1"/>
  <c r="K193" i="23"/>
  <c r="AB25" i="16"/>
  <c r="K25" i="23"/>
  <c r="AB75" i="16"/>
  <c r="K75" i="23"/>
  <c r="AB50" i="16"/>
  <c r="AH50" i="16" s="1"/>
  <c r="K50" i="23"/>
  <c r="AB243" i="16"/>
  <c r="AD243" i="16" s="1"/>
  <c r="K243" i="23"/>
  <c r="AB206" i="16"/>
  <c r="AD206" i="16" s="1"/>
  <c r="K206" i="23"/>
  <c r="AB251" i="16"/>
  <c r="AH251" i="16" s="1"/>
  <c r="K251" i="23"/>
  <c r="CI154" i="13"/>
  <c r="E154" i="20" s="1"/>
  <c r="CI136" i="13"/>
  <c r="E136" i="20" s="1"/>
  <c r="CI13" i="13"/>
  <c r="E13" i="20" s="1"/>
  <c r="AA3" i="16"/>
  <c r="D3" i="20"/>
  <c r="AA174" i="16"/>
  <c r="D174" i="20"/>
  <c r="AA8" i="16"/>
  <c r="D8" i="20"/>
  <c r="AA194" i="16"/>
  <c r="D194" i="20"/>
  <c r="AA84" i="16"/>
  <c r="D84" i="20"/>
  <c r="AA31" i="16"/>
  <c r="D31" i="20"/>
  <c r="AA185" i="16"/>
  <c r="D185" i="20"/>
  <c r="AA108" i="16"/>
  <c r="D108" i="20"/>
  <c r="AA233" i="16"/>
  <c r="D233" i="20"/>
  <c r="AA143" i="16"/>
  <c r="D143" i="20"/>
  <c r="AA201" i="16"/>
  <c r="D201" i="20"/>
  <c r="AA257" i="16"/>
  <c r="D257" i="20"/>
  <c r="AA21" i="16"/>
  <c r="D21" i="20"/>
  <c r="AA107" i="16"/>
  <c r="D107" i="20"/>
  <c r="AA190" i="16"/>
  <c r="D190" i="20"/>
  <c r="AA182" i="16"/>
  <c r="D182" i="20"/>
  <c r="AA178" i="16"/>
  <c r="D178" i="20"/>
  <c r="AA79" i="16"/>
  <c r="D79" i="20"/>
  <c r="AA141" i="16"/>
  <c r="D141" i="20"/>
  <c r="AA82" i="16"/>
  <c r="D82" i="20"/>
  <c r="AA221" i="16"/>
  <c r="D221" i="20"/>
  <c r="AA162" i="16"/>
  <c r="D162" i="20"/>
  <c r="AA88" i="16"/>
  <c r="D88" i="20"/>
  <c r="AA142" i="16"/>
  <c r="D142" i="20"/>
  <c r="AA75" i="16"/>
  <c r="D75" i="20"/>
  <c r="AA161" i="16"/>
  <c r="D161" i="20"/>
  <c r="AA37" i="16"/>
  <c r="D37" i="20"/>
  <c r="AA159" i="16"/>
  <c r="D159" i="20"/>
  <c r="AA89" i="16"/>
  <c r="D89" i="20"/>
  <c r="AA36" i="16"/>
  <c r="D36" i="20"/>
  <c r="AA57" i="16"/>
  <c r="D57" i="20"/>
  <c r="AA229" i="16"/>
  <c r="D229" i="20"/>
  <c r="AA111" i="16"/>
  <c r="D111" i="20"/>
  <c r="AA243" i="16"/>
  <c r="D243" i="20"/>
  <c r="AA32" i="16"/>
  <c r="D32" i="20"/>
  <c r="AA246" i="16"/>
  <c r="D246" i="20"/>
  <c r="AA123" i="16"/>
  <c r="D123" i="20"/>
  <c r="AA204" i="16"/>
  <c r="D204" i="20"/>
  <c r="AA52" i="16"/>
  <c r="D52" i="20"/>
  <c r="AA191" i="16"/>
  <c r="D191" i="20"/>
  <c r="AA130" i="16"/>
  <c r="D130" i="20"/>
  <c r="AA158" i="16"/>
  <c r="D158" i="20"/>
  <c r="AA104" i="16"/>
  <c r="D104" i="20"/>
  <c r="AA258" i="16"/>
  <c r="D258" i="20"/>
  <c r="AA72" i="16"/>
  <c r="D72" i="20"/>
  <c r="AA213" i="16"/>
  <c r="D213" i="20"/>
  <c r="AA4" i="16"/>
  <c r="D4" i="20"/>
  <c r="AA118" i="16"/>
  <c r="D118" i="20"/>
  <c r="AA223" i="16"/>
  <c r="D223" i="20"/>
  <c r="AA222" i="16"/>
  <c r="D222" i="20"/>
  <c r="AA167" i="16"/>
  <c r="D167" i="20"/>
  <c r="AA216" i="16"/>
  <c r="D216" i="20"/>
  <c r="AA248" i="16"/>
  <c r="D248" i="20"/>
  <c r="AA209" i="16"/>
  <c r="D209" i="20"/>
  <c r="AA206" i="16"/>
  <c r="D206" i="20"/>
  <c r="AA25" i="16"/>
  <c r="D25" i="20"/>
  <c r="AA56" i="16"/>
  <c r="D56" i="20"/>
  <c r="AA49" i="16"/>
  <c r="D49" i="20"/>
  <c r="AA166" i="16"/>
  <c r="D166" i="20"/>
  <c r="AA208" i="16"/>
  <c r="D208" i="20"/>
  <c r="AA60" i="16"/>
  <c r="D60" i="20"/>
  <c r="AA74" i="16"/>
  <c r="D74" i="20"/>
  <c r="AA69" i="16"/>
  <c r="D69" i="20"/>
  <c r="AA181" i="16"/>
  <c r="D181" i="20"/>
  <c r="AA114" i="16"/>
  <c r="D114" i="20"/>
  <c r="AA24" i="16"/>
  <c r="D24" i="20"/>
  <c r="AA214" i="16"/>
  <c r="D214" i="20"/>
  <c r="AA110" i="16"/>
  <c r="D110" i="20"/>
  <c r="AA7" i="16"/>
  <c r="D7" i="20"/>
  <c r="AA29" i="16"/>
  <c r="D29" i="20"/>
  <c r="AA40" i="16"/>
  <c r="D40" i="20"/>
  <c r="AA189" i="16"/>
  <c r="D189" i="20"/>
  <c r="AA81" i="16"/>
  <c r="D81" i="20"/>
  <c r="AA160" i="16"/>
  <c r="D160" i="20"/>
  <c r="AA73" i="16"/>
  <c r="D73" i="20"/>
  <c r="AA211" i="16"/>
  <c r="D211" i="20"/>
  <c r="AA151" i="16"/>
  <c r="D151" i="20"/>
  <c r="AA59" i="16"/>
  <c r="D59" i="20"/>
  <c r="AA179" i="16"/>
  <c r="D179" i="20"/>
  <c r="AA207" i="16"/>
  <c r="D207" i="20"/>
  <c r="AA101" i="16"/>
  <c r="D101" i="20"/>
  <c r="AA137" i="16"/>
  <c r="D137" i="20"/>
  <c r="AA109" i="16"/>
  <c r="D109" i="20"/>
  <c r="AA129" i="16"/>
  <c r="D129" i="20"/>
  <c r="AA78" i="16"/>
  <c r="D78" i="20"/>
  <c r="AA239" i="16"/>
  <c r="D239" i="20"/>
  <c r="AA180" i="16"/>
  <c r="D180" i="20"/>
  <c r="AA9" i="16"/>
  <c r="D9" i="20"/>
  <c r="AA112" i="16"/>
  <c r="D112" i="20"/>
  <c r="AA103" i="16"/>
  <c r="D103" i="20"/>
  <c r="AA220" i="16"/>
  <c r="D220" i="20"/>
  <c r="AA26" i="16"/>
  <c r="D26" i="20"/>
  <c r="AA66" i="16"/>
  <c r="D66" i="20"/>
  <c r="AA96" i="16"/>
  <c r="D96" i="20"/>
  <c r="AA50" i="16"/>
  <c r="D50" i="20"/>
  <c r="AA119" i="16"/>
  <c r="D119" i="20"/>
  <c r="AA254" i="16"/>
  <c r="D254" i="20"/>
  <c r="AA176" i="16"/>
  <c r="D176" i="20"/>
  <c r="AA172" i="16"/>
  <c r="D172" i="20"/>
  <c r="AA140" i="16"/>
  <c r="D140" i="20"/>
  <c r="AA231" i="16"/>
  <c r="D231" i="20"/>
  <c r="AA173" i="16"/>
  <c r="D173" i="20"/>
  <c r="AA192" i="16"/>
  <c r="D192" i="20"/>
  <c r="AA71" i="16"/>
  <c r="D71" i="20"/>
  <c r="AA106" i="16"/>
  <c r="D106" i="20"/>
  <c r="AA156" i="16"/>
  <c r="D156" i="20"/>
  <c r="AA202" i="16"/>
  <c r="D202" i="20"/>
  <c r="AA116" i="16"/>
  <c r="D116" i="20"/>
  <c r="AA234" i="16"/>
  <c r="D234" i="20"/>
  <c r="AA219" i="16"/>
  <c r="D219" i="20"/>
  <c r="AA232" i="16"/>
  <c r="D232" i="20"/>
  <c r="AA39" i="16"/>
  <c r="D39" i="20"/>
  <c r="AA65" i="16"/>
  <c r="D65" i="20"/>
  <c r="AA249" i="16"/>
  <c r="D249" i="20"/>
  <c r="AA205" i="16"/>
  <c r="D205" i="20"/>
  <c r="AA193" i="16"/>
  <c r="D193" i="20"/>
  <c r="AA100" i="16"/>
  <c r="D100" i="20"/>
  <c r="AA135" i="16"/>
  <c r="D135" i="20"/>
  <c r="AA247" i="16"/>
  <c r="D247" i="20"/>
  <c r="AA203" i="16"/>
  <c r="D203" i="20"/>
  <c r="AA51" i="16"/>
  <c r="D51" i="20"/>
  <c r="AA115" i="16"/>
  <c r="D115" i="20"/>
  <c r="AA250" i="16"/>
  <c r="D250" i="20"/>
  <c r="AA155" i="16"/>
  <c r="D155" i="20"/>
  <c r="AA235" i="16"/>
  <c r="D235" i="20"/>
  <c r="AA105" i="16"/>
  <c r="D105" i="20"/>
  <c r="AA224" i="16"/>
  <c r="D224" i="20"/>
  <c r="AA133" i="16"/>
  <c r="D133" i="20"/>
  <c r="AA70" i="16"/>
  <c r="D70" i="20"/>
  <c r="AA186" i="16"/>
  <c r="D186" i="20"/>
  <c r="AA113" i="16"/>
  <c r="D113" i="20"/>
  <c r="AA238" i="16"/>
  <c r="D238" i="20"/>
  <c r="AA87" i="16"/>
  <c r="D87" i="20"/>
  <c r="AA80" i="16"/>
  <c r="D80" i="20"/>
  <c r="AA195" i="16"/>
  <c r="D195" i="20"/>
  <c r="AA212" i="16"/>
  <c r="D212" i="20"/>
  <c r="AA196" i="16"/>
  <c r="D196" i="20"/>
  <c r="AA67" i="16"/>
  <c r="D67" i="20"/>
  <c r="AA188" i="16"/>
  <c r="D188" i="20"/>
  <c r="AA210" i="16"/>
  <c r="D210" i="20"/>
  <c r="AA63" i="16"/>
  <c r="D63" i="20"/>
  <c r="AA90" i="16"/>
  <c r="D90" i="20"/>
  <c r="AA23" i="16"/>
  <c r="D23" i="20"/>
  <c r="AA164" i="16"/>
  <c r="D164" i="20"/>
  <c r="AA245" i="16"/>
  <c r="D245" i="20"/>
  <c r="AA260" i="16"/>
  <c r="D260" i="20"/>
  <c r="AA68" i="16"/>
  <c r="D68" i="20"/>
  <c r="AA22" i="16"/>
  <c r="D22" i="20"/>
  <c r="AA165" i="16"/>
  <c r="D165" i="20"/>
  <c r="AA200" i="16"/>
  <c r="D200" i="20"/>
  <c r="AA53" i="16"/>
  <c r="D53" i="20"/>
  <c r="AA217" i="16"/>
  <c r="D217" i="20"/>
  <c r="AA183" i="16"/>
  <c r="D183" i="20"/>
  <c r="AA97" i="16"/>
  <c r="D97" i="20"/>
  <c r="AA252" i="16"/>
  <c r="D252" i="20"/>
  <c r="AA54" i="16"/>
  <c r="D54" i="20"/>
  <c r="AA5" i="16"/>
  <c r="D5" i="20"/>
  <c r="AA86" i="16"/>
  <c r="D86" i="20"/>
  <c r="AA253" i="16"/>
  <c r="D253" i="20"/>
  <c r="AA177" i="16"/>
  <c r="D177" i="20"/>
  <c r="AA244" i="16"/>
  <c r="D244" i="20"/>
  <c r="AA6" i="16"/>
  <c r="D6" i="20"/>
  <c r="AA134" i="16"/>
  <c r="D134" i="20"/>
  <c r="CS126" i="13"/>
  <c r="CU126" i="13"/>
  <c r="CU174" i="13"/>
  <c r="CS174" i="13"/>
  <c r="CY174" i="13"/>
  <c r="CU247" i="13"/>
  <c r="CS247" i="13"/>
  <c r="CY247" i="13"/>
  <c r="CU155" i="13"/>
  <c r="CS196" i="13"/>
  <c r="CY114" i="13"/>
  <c r="CY126" i="13"/>
  <c r="CY190" i="13"/>
  <c r="CS114" i="13"/>
  <c r="CS190" i="13"/>
  <c r="CS244" i="13"/>
  <c r="CU114" i="13"/>
  <c r="CU190" i="13"/>
  <c r="BH225" i="13"/>
  <c r="BI225" i="13" s="1"/>
  <c r="CU37" i="13"/>
  <c r="BH86" i="13"/>
  <c r="BI86" i="13" s="1"/>
  <c r="BH231" i="13"/>
  <c r="BI231" i="13" s="1"/>
  <c r="BH60" i="13"/>
  <c r="CU244" i="13"/>
  <c r="CY244" i="13"/>
  <c r="AD26" i="16"/>
  <c r="BT26" i="13" s="1"/>
  <c r="AI26" i="16"/>
  <c r="CH26" i="13" s="1"/>
  <c r="AH26" i="16"/>
  <c r="CG26" i="13" s="1"/>
  <c r="BJ25" i="13"/>
  <c r="BJ29" i="13"/>
  <c r="AD157" i="16"/>
  <c r="BT157" i="13" s="1"/>
  <c r="AH157" i="16"/>
  <c r="CG157" i="13" s="1"/>
  <c r="AI157" i="16"/>
  <c r="CH157" i="13" s="1"/>
  <c r="AH34" i="16"/>
  <c r="CG34" i="13" s="1"/>
  <c r="AD34" i="16"/>
  <c r="BT34" i="13" s="1"/>
  <c r="AI34" i="16"/>
  <c r="CH34" i="13" s="1"/>
  <c r="AH35" i="16"/>
  <c r="CG35" i="13" s="1"/>
  <c r="AD35" i="16"/>
  <c r="BT35" i="13" s="1"/>
  <c r="AI35" i="16"/>
  <c r="CH35" i="13" s="1"/>
  <c r="CY182" i="13"/>
  <c r="CU5" i="13"/>
  <c r="CU182" i="13"/>
  <c r="CS188" i="13"/>
  <c r="CY188" i="13"/>
  <c r="CS194" i="13"/>
  <c r="CY5" i="13"/>
  <c r="CS5" i="13"/>
  <c r="CS210" i="13"/>
  <c r="CU194" i="13"/>
  <c r="CY212" i="13"/>
  <c r="CU210" i="13"/>
  <c r="CY194" i="13"/>
  <c r="CS212" i="13"/>
  <c r="CY210" i="13"/>
  <c r="CU212" i="13"/>
  <c r="CS182" i="13"/>
  <c r="CU68" i="13"/>
  <c r="CS70" i="13"/>
  <c r="CY37" i="13"/>
  <c r="CU140" i="13"/>
  <c r="CY140" i="13"/>
  <c r="CY75" i="13"/>
  <c r="CS140" i="13"/>
  <c r="CU75" i="13"/>
  <c r="CS37" i="13"/>
  <c r="CU70" i="13"/>
  <c r="CY70" i="13"/>
  <c r="CY3" i="13"/>
  <c r="CS161" i="13"/>
  <c r="CS88" i="13"/>
  <c r="CU161" i="13"/>
  <c r="CU3" i="13"/>
  <c r="CU88" i="13"/>
  <c r="CY161" i="13"/>
  <c r="CS3" i="13"/>
  <c r="CY88" i="13"/>
  <c r="CS75" i="13"/>
  <c r="CU107" i="13"/>
  <c r="CS107" i="13"/>
  <c r="CS22" i="13"/>
  <c r="CY107" i="13"/>
  <c r="CS137" i="13"/>
  <c r="CU235" i="13"/>
  <c r="CU137" i="13"/>
  <c r="CS235" i="13"/>
  <c r="CY137" i="13"/>
  <c r="CY235" i="13"/>
  <c r="CY22" i="13"/>
  <c r="CU22" i="13"/>
  <c r="CS158" i="13"/>
  <c r="CY158" i="13"/>
  <c r="CS68" i="13"/>
  <c r="CY68" i="13"/>
  <c r="CU158" i="13"/>
  <c r="CS155" i="13"/>
  <c r="CY196" i="13"/>
  <c r="CY155" i="13"/>
  <c r="CU196" i="13"/>
  <c r="CY189" i="13"/>
  <c r="CU66" i="13"/>
  <c r="CU189" i="13"/>
  <c r="CS79" i="13"/>
  <c r="CS123" i="13"/>
  <c r="CS66" i="13"/>
  <c r="CY123" i="13"/>
  <c r="CU123" i="13"/>
  <c r="CY66" i="13"/>
  <c r="CS211" i="13"/>
  <c r="CU165" i="13"/>
  <c r="CS189" i="13"/>
  <c r="CY211" i="13"/>
  <c r="CU211" i="13"/>
  <c r="CS165" i="13"/>
  <c r="CU183" i="13"/>
  <c r="CY165" i="13"/>
  <c r="CY183" i="13"/>
  <c r="CS183" i="13"/>
  <c r="CY90" i="13"/>
  <c r="CS172" i="13"/>
  <c r="CS238" i="13"/>
  <c r="CY201" i="13"/>
  <c r="CU162" i="13"/>
  <c r="CS129" i="13"/>
  <c r="CU129" i="13"/>
  <c r="CU234" i="13"/>
  <c r="CS21" i="13"/>
  <c r="CY129" i="13"/>
  <c r="CU238" i="13"/>
  <c r="CU201" i="13"/>
  <c r="CY238" i="13"/>
  <c r="CU172" i="13"/>
  <c r="CS141" i="13"/>
  <c r="CY172" i="13"/>
  <c r="CU141" i="13"/>
  <c r="CY141" i="13"/>
  <c r="CS201" i="13"/>
  <c r="CS72" i="13"/>
  <c r="CU82" i="13"/>
  <c r="CU72" i="13"/>
  <c r="CY82" i="13"/>
  <c r="CY72" i="13"/>
  <c r="CS82" i="13"/>
  <c r="AR86" i="13"/>
  <c r="V86" i="16" s="1"/>
  <c r="CU79" i="13"/>
  <c r="CY79" i="13"/>
  <c r="CS116" i="13"/>
  <c r="CU116" i="13"/>
  <c r="CS195" i="13"/>
  <c r="CY116" i="13"/>
  <c r="CU195" i="13"/>
  <c r="CY195" i="13"/>
  <c r="BJ3" i="13"/>
  <c r="CS90" i="13"/>
  <c r="CS234" i="13"/>
  <c r="CY162" i="13"/>
  <c r="CY21" i="13"/>
  <c r="CU90" i="13"/>
  <c r="CY234" i="13"/>
  <c r="CU21" i="13"/>
  <c r="CY7" i="13"/>
  <c r="CU7" i="13"/>
  <c r="CS7" i="13"/>
  <c r="CS162" i="13"/>
  <c r="BJ82" i="13"/>
  <c r="CY108" i="13"/>
  <c r="CU108" i="13"/>
  <c r="CS108" i="13"/>
  <c r="CU29" i="13"/>
  <c r="CU52" i="13"/>
  <c r="CY52" i="13"/>
  <c r="CS29" i="13"/>
  <c r="CY29" i="13"/>
  <c r="BJ238" i="13"/>
  <c r="BJ133" i="13"/>
  <c r="BJ5" i="13"/>
  <c r="BJ161" i="13"/>
  <c r="BJ107" i="13"/>
  <c r="BJ114" i="13"/>
  <c r="BJ129" i="13"/>
  <c r="BJ165" i="13"/>
  <c r="BJ247" i="13"/>
  <c r="BJ182" i="13"/>
  <c r="BJ162" i="13"/>
  <c r="BJ194" i="13"/>
  <c r="BJ188" i="13"/>
  <c r="BF62" i="13"/>
  <c r="CO154" i="13"/>
  <c r="BJ137" i="13"/>
  <c r="BJ183" i="13"/>
  <c r="BJ196" i="13"/>
  <c r="BJ195" i="13"/>
  <c r="BJ174" i="13"/>
  <c r="BJ201" i="13"/>
  <c r="BJ79" i="13"/>
  <c r="CY133" i="13"/>
  <c r="BJ116" i="13"/>
  <c r="BJ189" i="13"/>
  <c r="CU25" i="13"/>
  <c r="BJ234" i="13"/>
  <c r="CS25" i="13"/>
  <c r="CU188" i="13"/>
  <c r="CY25" i="13"/>
  <c r="CS133" i="13"/>
  <c r="BJ186" i="13"/>
  <c r="CU133" i="13"/>
  <c r="BJ172" i="13"/>
  <c r="BJ210" i="13"/>
  <c r="BJ244" i="13"/>
  <c r="BJ126" i="13"/>
  <c r="BJ88" i="13"/>
  <c r="BJ22" i="13"/>
  <c r="BJ75" i="13"/>
  <c r="BJ155" i="13"/>
  <c r="BJ190" i="13"/>
  <c r="CY142" i="13"/>
  <c r="CS32" i="13"/>
  <c r="AD226" i="16"/>
  <c r="AD9" i="16"/>
  <c r="AI9" i="16"/>
  <c r="AH9" i="16"/>
  <c r="AD53" i="16"/>
  <c r="AI53" i="16"/>
  <c r="AH53" i="16"/>
  <c r="AD111" i="16"/>
  <c r="AI111" i="16"/>
  <c r="AH111" i="16"/>
  <c r="AD73" i="16"/>
  <c r="AH73" i="16"/>
  <c r="BJ140" i="13"/>
  <c r="BJ123" i="13"/>
  <c r="AD232" i="16"/>
  <c r="AI232" i="16"/>
  <c r="AH232" i="16"/>
  <c r="AI203" i="16"/>
  <c r="AD203" i="16"/>
  <c r="AH203" i="16"/>
  <c r="AI79" i="16"/>
  <c r="AI252" i="16"/>
  <c r="AD252" i="16"/>
  <c r="AH252" i="16"/>
  <c r="AH243" i="16"/>
  <c r="AI260" i="16"/>
  <c r="AH260" i="16"/>
  <c r="AD260" i="16"/>
  <c r="AD133" i="16"/>
  <c r="BT133" i="13" s="1"/>
  <c r="AH133" i="16"/>
  <c r="CG133" i="13" s="1"/>
  <c r="AI133" i="16"/>
  <c r="CH133" i="13" s="1"/>
  <c r="AD3" i="16"/>
  <c r="AH3" i="16"/>
  <c r="CG3" i="13" s="1"/>
  <c r="AI3" i="16"/>
  <c r="AH92" i="16"/>
  <c r="AD92" i="16"/>
  <c r="AI92" i="16"/>
  <c r="AI119" i="16"/>
  <c r="AH6" i="16"/>
  <c r="AI6" i="16"/>
  <c r="AD6" i="16"/>
  <c r="AD162" i="16"/>
  <c r="BT162" i="13" s="1"/>
  <c r="AI162" i="16"/>
  <c r="CH162" i="13" s="1"/>
  <c r="AH162" i="16"/>
  <c r="CG162" i="13" s="1"/>
  <c r="AD43" i="16"/>
  <c r="AH43" i="16"/>
  <c r="AI43" i="16"/>
  <c r="AD122" i="16"/>
  <c r="AI122" i="16"/>
  <c r="AH122" i="16"/>
  <c r="AH253" i="16"/>
  <c r="AD253" i="16"/>
  <c r="AI253" i="16"/>
  <c r="BJ208" i="13"/>
  <c r="AD224" i="16"/>
  <c r="AI224" i="16"/>
  <c r="AH224" i="16"/>
  <c r="AI88" i="16"/>
  <c r="CH88" i="13" s="1"/>
  <c r="AD88" i="16"/>
  <c r="BT88" i="13" s="1"/>
  <c r="AH88" i="16"/>
  <c r="CG88" i="13" s="1"/>
  <c r="AD75" i="16"/>
  <c r="BT75" i="13" s="1"/>
  <c r="AI75" i="16"/>
  <c r="CH75" i="13" s="1"/>
  <c r="AH75" i="16"/>
  <c r="CG75" i="13" s="1"/>
  <c r="AI68" i="16"/>
  <c r="AH54" i="16"/>
  <c r="AI54" i="16"/>
  <c r="AD54" i="16"/>
  <c r="BJ235" i="13"/>
  <c r="AH101" i="16"/>
  <c r="AH82" i="16"/>
  <c r="CG82" i="13" s="1"/>
  <c r="AI74" i="16"/>
  <c r="AD74" i="16"/>
  <c r="AH74" i="16"/>
  <c r="AD141" i="16"/>
  <c r="AI141" i="16"/>
  <c r="AH141" i="16"/>
  <c r="AD172" i="16"/>
  <c r="BT172" i="13" s="1"/>
  <c r="AH172" i="16"/>
  <c r="CG172" i="13" s="1"/>
  <c r="AI172" i="16"/>
  <c r="CH172" i="13" s="1"/>
  <c r="AH189" i="16"/>
  <c r="CG189" i="13" s="1"/>
  <c r="AH117" i="16"/>
  <c r="AD117" i="16"/>
  <c r="AI117" i="16"/>
  <c r="AI244" i="16"/>
  <c r="CH244" i="13" s="1"/>
  <c r="AH244" i="16"/>
  <c r="CG244" i="13" s="1"/>
  <c r="AD244" i="16"/>
  <c r="BT244" i="13" s="1"/>
  <c r="AD179" i="16"/>
  <c r="AI179" i="16"/>
  <c r="AH179" i="16"/>
  <c r="AD57" i="16"/>
  <c r="AI57" i="16"/>
  <c r="AH57" i="16"/>
  <c r="AH129" i="16"/>
  <c r="CG129" i="13" s="1"/>
  <c r="AI69" i="16"/>
  <c r="AI105" i="16"/>
  <c r="AH105" i="16"/>
  <c r="AD105" i="16"/>
  <c r="AI113" i="16"/>
  <c r="AD113" i="16"/>
  <c r="AH113" i="16"/>
  <c r="AD41" i="16"/>
  <c r="AH41" i="16"/>
  <c r="AI41" i="16"/>
  <c r="AD219" i="16"/>
  <c r="AH219" i="16"/>
  <c r="AI219" i="16"/>
  <c r="AH158" i="16"/>
  <c r="CG158" i="13" s="1"/>
  <c r="AH22" i="16"/>
  <c r="CG22" i="13" s="1"/>
  <c r="AI22" i="16"/>
  <c r="CH22" i="13" s="1"/>
  <c r="AD22" i="16"/>
  <c r="BT22" i="13" s="1"/>
  <c r="AD182" i="16"/>
  <c r="BT182" i="13" s="1"/>
  <c r="AH182" i="16"/>
  <c r="CG182" i="13" s="1"/>
  <c r="AI182" i="16"/>
  <c r="CH182" i="13" s="1"/>
  <c r="AD7" i="16"/>
  <c r="AI7" i="16"/>
  <c r="AH7" i="16"/>
  <c r="AI204" i="16"/>
  <c r="AI208" i="16"/>
  <c r="CH208" i="13" s="1"/>
  <c r="AD208" i="16"/>
  <c r="AH208" i="16"/>
  <c r="CG208" i="13" s="1"/>
  <c r="AD239" i="16"/>
  <c r="AI239" i="16"/>
  <c r="AH239" i="16"/>
  <c r="AD178" i="16"/>
  <c r="AI254" i="16"/>
  <c r="AH254" i="16"/>
  <c r="AD254" i="16"/>
  <c r="AI156" i="16"/>
  <c r="AD156" i="16"/>
  <c r="AH156" i="16"/>
  <c r="AD142" i="16"/>
  <c r="AD188" i="16"/>
  <c r="BT188" i="13" s="1"/>
  <c r="CS142" i="13"/>
  <c r="AD65" i="16"/>
  <c r="AI65" i="16"/>
  <c r="AH65" i="16"/>
  <c r="AI28" i="16"/>
  <c r="AD167" i="16"/>
  <c r="AH167" i="16"/>
  <c r="AI167" i="16"/>
  <c r="AD235" i="16"/>
  <c r="BT235" i="13" s="1"/>
  <c r="AI235" i="16"/>
  <c r="CH235" i="13" s="1"/>
  <c r="AH235" i="16"/>
  <c r="CG235" i="13" s="1"/>
  <c r="AI137" i="16"/>
  <c r="CH137" i="13" s="1"/>
  <c r="AD137" i="16"/>
  <c r="BT137" i="13" s="1"/>
  <c r="AH137" i="16"/>
  <c r="CG137" i="13" s="1"/>
  <c r="AD174" i="16"/>
  <c r="BT174" i="13" s="1"/>
  <c r="AH174" i="16"/>
  <c r="CG174" i="13" s="1"/>
  <c r="AI174" i="16"/>
  <c r="CH174" i="13" s="1"/>
  <c r="AD183" i="16"/>
  <c r="BT183" i="13" s="1"/>
  <c r="AH183" i="16"/>
  <c r="CG183" i="13" s="1"/>
  <c r="AI183" i="16"/>
  <c r="CH183" i="13" s="1"/>
  <c r="CU142" i="13"/>
  <c r="AI70" i="16"/>
  <c r="AD216" i="16"/>
  <c r="AI216" i="16"/>
  <c r="AH216" i="16"/>
  <c r="AD215" i="16"/>
  <c r="AI215" i="16"/>
  <c r="AH215" i="16"/>
  <c r="CS38" i="13"/>
  <c r="AD186" i="16"/>
  <c r="BT186" i="13" s="1"/>
  <c r="AH186" i="16"/>
  <c r="CG186" i="13" s="1"/>
  <c r="AI186" i="16"/>
  <c r="CH186" i="13" s="1"/>
  <c r="CG11" i="13"/>
  <c r="CG170" i="13"/>
  <c r="BF102" i="13"/>
  <c r="BT150" i="13"/>
  <c r="BW150" i="13" s="1"/>
  <c r="AR225" i="13"/>
  <c r="V225" i="16" s="1"/>
  <c r="CY38" i="13"/>
  <c r="CH198" i="13"/>
  <c r="BF42" i="13"/>
  <c r="BJ21" i="13"/>
  <c r="CH12" i="13"/>
  <c r="CG12" i="13"/>
  <c r="CH153" i="13"/>
  <c r="BT153" i="13"/>
  <c r="CG153" i="13"/>
  <c r="BJ4" i="13"/>
  <c r="CU32" i="13"/>
  <c r="BJ108" i="13"/>
  <c r="CY32" i="13"/>
  <c r="CG127" i="13"/>
  <c r="BJ9" i="13"/>
  <c r="BJ7" i="13"/>
  <c r="CY117" i="13"/>
  <c r="CS117" i="13"/>
  <c r="CU117" i="13"/>
  <c r="BJ17" i="13"/>
  <c r="BF225" i="13"/>
  <c r="BJ117" i="13"/>
  <c r="CU38" i="13"/>
  <c r="CG125" i="13"/>
  <c r="BT218" i="13"/>
  <c r="BW218" i="13" s="1"/>
  <c r="BI60" i="13"/>
  <c r="AR60" i="13"/>
  <c r="V60" i="16" s="1"/>
  <c r="AR231" i="13"/>
  <c r="V231" i="16" s="1"/>
  <c r="BT12" i="13"/>
  <c r="CY243" i="13"/>
  <c r="CU243" i="13"/>
  <c r="CS243" i="13"/>
  <c r="BI23" i="13"/>
  <c r="CS52" i="13"/>
  <c r="CH19" i="13"/>
  <c r="CG19" i="13"/>
  <c r="BT16" i="13"/>
  <c r="BW16" i="13" s="1"/>
  <c r="CG16" i="13"/>
  <c r="CH16" i="13"/>
  <c r="CY62" i="13"/>
  <c r="CS62" i="13"/>
  <c r="CU62" i="13"/>
  <c r="BI62" i="13"/>
  <c r="CU110" i="13"/>
  <c r="BJ6" i="13"/>
  <c r="CG10" i="13"/>
  <c r="BT10" i="13"/>
  <c r="BW10" i="13" s="1"/>
  <c r="CH152" i="13"/>
  <c r="BT152" i="13"/>
  <c r="CG152" i="13"/>
  <c r="CH120" i="13"/>
  <c r="CS110" i="13"/>
  <c r="CY110" i="13"/>
  <c r="BJ110" i="13"/>
  <c r="BU154" i="13"/>
  <c r="AE154" i="16" s="1"/>
  <c r="CG197" i="13"/>
  <c r="BT170" i="13"/>
  <c r="CL170" i="13" s="1"/>
  <c r="CH170" i="13"/>
  <c r="AJ154" i="16"/>
  <c r="BT197" i="13"/>
  <c r="BW197" i="13" s="1"/>
  <c r="CL154" i="13"/>
  <c r="BW154" i="13"/>
  <c r="BJ243" i="13"/>
  <c r="CG198" i="13"/>
  <c r="BT198" i="13"/>
  <c r="BU198" i="13" s="1"/>
  <c r="AE198" i="16" s="1"/>
  <c r="BJ52" i="13"/>
  <c r="CH218" i="13"/>
  <c r="CH150" i="13"/>
  <c r="CH14" i="13"/>
  <c r="CG14" i="13"/>
  <c r="BT14" i="13"/>
  <c r="CG218" i="13"/>
  <c r="BT125" i="13"/>
  <c r="CV125" i="13" s="1"/>
  <c r="CH125" i="13"/>
  <c r="BT11" i="13"/>
  <c r="BW11" i="13" s="1"/>
  <c r="CH11" i="13"/>
  <c r="CG237" i="13"/>
  <c r="BT237" i="13"/>
  <c r="CH237" i="13"/>
  <c r="BT149" i="13"/>
  <c r="CH149" i="13"/>
  <c r="CH145" i="13"/>
  <c r="CG145" i="13"/>
  <c r="BT145" i="13"/>
  <c r="BI205" i="13"/>
  <c r="CS205" i="13"/>
  <c r="CY205" i="13"/>
  <c r="CU205" i="13"/>
  <c r="BJ211" i="13"/>
  <c r="AR164" i="13"/>
  <c r="V164" i="16" s="1"/>
  <c r="BJ65" i="13"/>
  <c r="BJ130" i="13"/>
  <c r="BJ70" i="13"/>
  <c r="BJ251" i="13"/>
  <c r="BJ69" i="13"/>
  <c r="BJ221" i="13"/>
  <c r="BJ109" i="13"/>
  <c r="BJ112" i="13"/>
  <c r="BJ200" i="13"/>
  <c r="BJ106" i="13"/>
  <c r="BJ159" i="13"/>
  <c r="BT147" i="13"/>
  <c r="CG147" i="13"/>
  <c r="CH147" i="13"/>
  <c r="BT121" i="13"/>
  <c r="CH121" i="13"/>
  <c r="CG121" i="13"/>
  <c r="CG138" i="13"/>
  <c r="CH138" i="13"/>
  <c r="BT138" i="13"/>
  <c r="BT175" i="13"/>
  <c r="CG94" i="13"/>
  <c r="CH94" i="13"/>
  <c r="BT94" i="13"/>
  <c r="CH64" i="13"/>
  <c r="BT64" i="13"/>
  <c r="BW13" i="13"/>
  <c r="CL13" i="13"/>
  <c r="BU13" i="13"/>
  <c r="AE13" i="16" s="1"/>
  <c r="CV13" i="13"/>
  <c r="BJ113" i="13"/>
  <c r="BJ223" i="13"/>
  <c r="BJ227" i="13"/>
  <c r="BJ63" i="13"/>
  <c r="BJ230" i="13"/>
  <c r="BJ253" i="13"/>
  <c r="BJ224" i="13"/>
  <c r="BJ260" i="13"/>
  <c r="BJ222" i="13"/>
  <c r="BJ76" i="13"/>
  <c r="CG146" i="13"/>
  <c r="BT146" i="13"/>
  <c r="CH146" i="13"/>
  <c r="CG47" i="13"/>
  <c r="CH47" i="13"/>
  <c r="BT47" i="13"/>
  <c r="BU47" i="13" s="1"/>
  <c r="AE47" i="16" s="1"/>
  <c r="BJ176" i="13"/>
  <c r="BJ122" i="13"/>
  <c r="BJ226" i="13"/>
  <c r="BJ74" i="13"/>
  <c r="BJ216" i="13"/>
  <c r="BJ202" i="13"/>
  <c r="BJ215" i="13"/>
  <c r="BJ248" i="13"/>
  <c r="BJ102" i="13"/>
  <c r="BJ219" i="13"/>
  <c r="CH240" i="13"/>
  <c r="CG240" i="13"/>
  <c r="BT240" i="13"/>
  <c r="CO136" i="13"/>
  <c r="AJ136" i="16"/>
  <c r="BT77" i="13"/>
  <c r="CG77" i="13"/>
  <c r="CH77" i="13"/>
  <c r="BJ177" i="13"/>
  <c r="BJ54" i="13"/>
  <c r="BJ43" i="13"/>
  <c r="BJ249" i="13"/>
  <c r="BJ245" i="13"/>
  <c r="BJ229" i="13"/>
  <c r="BJ115" i="13"/>
  <c r="BJ181" i="13"/>
  <c r="BJ192" i="13"/>
  <c r="BJ119" i="13"/>
  <c r="BJ167" i="13"/>
  <c r="CH45" i="13"/>
  <c r="BT45" i="13"/>
  <c r="BW136" i="13"/>
  <c r="BU136" i="13"/>
  <c r="AE136" i="16" s="1"/>
  <c r="CL136" i="13"/>
  <c r="CV136" i="13"/>
  <c r="CG46" i="13"/>
  <c r="CH46" i="13"/>
  <c r="BT46" i="13"/>
  <c r="BU46" i="13" s="1"/>
  <c r="AE46" i="16" s="1"/>
  <c r="CH95" i="13"/>
  <c r="CG95" i="13"/>
  <c r="BT95" i="13"/>
  <c r="CH55" i="13"/>
  <c r="CG55" i="13"/>
  <c r="BT55" i="13"/>
  <c r="BU55" i="13" s="1"/>
  <c r="AE55" i="16" s="1"/>
  <c r="CO139" i="13"/>
  <c r="BJ8" i="13"/>
  <c r="BJ68" i="13"/>
  <c r="BJ213" i="13"/>
  <c r="BJ209" i="13"/>
  <c r="BJ50" i="13"/>
  <c r="BJ166" i="13"/>
  <c r="BJ233" i="13"/>
  <c r="BJ212" i="13"/>
  <c r="BJ204" i="13"/>
  <c r="BJ206" i="13"/>
  <c r="BJ53" i="13"/>
  <c r="BJ193" i="13"/>
  <c r="BJ178" i="13"/>
  <c r="CO13" i="13"/>
  <c r="AJ13" i="16"/>
  <c r="BW171" i="13"/>
  <c r="BU171" i="13"/>
  <c r="AE171" i="16" s="1"/>
  <c r="CL171" i="13"/>
  <c r="CV171" i="13"/>
  <c r="CH84" i="13"/>
  <c r="BJ24" i="13"/>
  <c r="BJ163" i="13"/>
  <c r="BJ111" i="13"/>
  <c r="BJ173" i="13"/>
  <c r="BJ85" i="13"/>
  <c r="BJ160" i="13"/>
  <c r="BJ246" i="13"/>
  <c r="BJ72" i="13"/>
  <c r="BJ101" i="13"/>
  <c r="BJ141" i="13"/>
  <c r="BJ254" i="13"/>
  <c r="BJ71" i="13"/>
  <c r="BJ214" i="13"/>
  <c r="BT187" i="13"/>
  <c r="CH31" i="13"/>
  <c r="CG31" i="13"/>
  <c r="BT31" i="13"/>
  <c r="CO171" i="13"/>
  <c r="CO236" i="13"/>
  <c r="CG30" i="13"/>
  <c r="CH30" i="13"/>
  <c r="BT30" i="13"/>
  <c r="BW139" i="13"/>
  <c r="CL139" i="13"/>
  <c r="BU139" i="13"/>
  <c r="AE139" i="16" s="1"/>
  <c r="CV139" i="13"/>
  <c r="BJ105" i="13"/>
  <c r="BJ180" i="13"/>
  <c r="BJ191" i="13"/>
  <c r="BJ92" i="13"/>
  <c r="BJ257" i="13"/>
  <c r="BJ217" i="13"/>
  <c r="BJ28" i="13"/>
  <c r="BJ232" i="13"/>
  <c r="BJ57" i="13"/>
  <c r="BJ73" i="13"/>
  <c r="BJ258" i="13"/>
  <c r="BJ185" i="13"/>
  <c r="CH33" i="13"/>
  <c r="CG33" i="13"/>
  <c r="BT33" i="13"/>
  <c r="CH48" i="13"/>
  <c r="CG48" i="13"/>
  <c r="BT48" i="13"/>
  <c r="BU48" i="13" s="1"/>
  <c r="AE48" i="16" s="1"/>
  <c r="BW236" i="13"/>
  <c r="CL236" i="13"/>
  <c r="BU236" i="13"/>
  <c r="AE236" i="16" s="1"/>
  <c r="CV236" i="13"/>
  <c r="BT81" i="13"/>
  <c r="BJ179" i="13"/>
  <c r="BJ220" i="13"/>
  <c r="BJ250" i="13"/>
  <c r="BJ66" i="13"/>
  <c r="BJ239" i="13"/>
  <c r="BJ203" i="13"/>
  <c r="BJ151" i="13"/>
  <c r="BJ252" i="13"/>
  <c r="BJ41" i="13"/>
  <c r="BJ156" i="13"/>
  <c r="BJ207" i="13"/>
  <c r="BT128" i="13"/>
  <c r="CG128" i="13"/>
  <c r="CH128" i="13"/>
  <c r="BW169" i="13"/>
  <c r="CL169" i="13"/>
  <c r="BU169" i="13"/>
  <c r="AE169" i="16" s="1"/>
  <c r="CV169" i="13"/>
  <c r="BF163" i="13"/>
  <c r="BI97" i="13"/>
  <c r="BI78" i="13"/>
  <c r="BI42" i="13"/>
  <c r="BI103" i="13"/>
  <c r="BI143" i="13"/>
  <c r="BI59" i="13"/>
  <c r="BI134" i="13"/>
  <c r="BI36" i="13"/>
  <c r="BI83" i="13"/>
  <c r="BI87" i="13"/>
  <c r="BI40" i="13"/>
  <c r="BI39" i="13"/>
  <c r="BI89" i="13"/>
  <c r="BI96" i="13"/>
  <c r="AR228" i="13"/>
  <c r="V228" i="16" s="1"/>
  <c r="CY4" i="13"/>
  <c r="CS4" i="13"/>
  <c r="CU4" i="13"/>
  <c r="CY65" i="13"/>
  <c r="CU65" i="13"/>
  <c r="CS65" i="13"/>
  <c r="CY63" i="13"/>
  <c r="CS63" i="13"/>
  <c r="CU63" i="13"/>
  <c r="CU24" i="13"/>
  <c r="CS24" i="13"/>
  <c r="CY24" i="13"/>
  <c r="CU42" i="13"/>
  <c r="CS42" i="13"/>
  <c r="CY42" i="13"/>
  <c r="CY39" i="13"/>
  <c r="CS39" i="13"/>
  <c r="CU39" i="13"/>
  <c r="CS40" i="13"/>
  <c r="CY40" i="13"/>
  <c r="CU40" i="13"/>
  <c r="CY8" i="13"/>
  <c r="CS8" i="13"/>
  <c r="CU8" i="13"/>
  <c r="CY59" i="13"/>
  <c r="CS59" i="13"/>
  <c r="CU59" i="13"/>
  <c r="CY54" i="13"/>
  <c r="CS54" i="13"/>
  <c r="CU54" i="13"/>
  <c r="CS6" i="13"/>
  <c r="CY6" i="13"/>
  <c r="CU6" i="13"/>
  <c r="CS53" i="13"/>
  <c r="CU53" i="13"/>
  <c r="CY53" i="13"/>
  <c r="CY9" i="13"/>
  <c r="CS9" i="13"/>
  <c r="CU9" i="13"/>
  <c r="CY23" i="13"/>
  <c r="CS23" i="13"/>
  <c r="CU23" i="13"/>
  <c r="CU36" i="13"/>
  <c r="CY36" i="13"/>
  <c r="CS36" i="13"/>
  <c r="CS87" i="13"/>
  <c r="CY87" i="13"/>
  <c r="CU87" i="13"/>
  <c r="CY176" i="13"/>
  <c r="CU176" i="13"/>
  <c r="CS176" i="13"/>
  <c r="CY177" i="13"/>
  <c r="CU177" i="13"/>
  <c r="CS177" i="13"/>
  <c r="CY245" i="13"/>
  <c r="CU245" i="13"/>
  <c r="CS245" i="13"/>
  <c r="CY163" i="13"/>
  <c r="CU163" i="13"/>
  <c r="CS163" i="13"/>
  <c r="CY204" i="13"/>
  <c r="CU204" i="13"/>
  <c r="CS204" i="13"/>
  <c r="CY232" i="13"/>
  <c r="CU232" i="13"/>
  <c r="CS232" i="13"/>
  <c r="CY209" i="13"/>
  <c r="CU209" i="13"/>
  <c r="CS209" i="13"/>
  <c r="CS71" i="13"/>
  <c r="CU71" i="13"/>
  <c r="CY71" i="13"/>
  <c r="CY233" i="13"/>
  <c r="CS233" i="13"/>
  <c r="CU233" i="13"/>
  <c r="CS103" i="13"/>
  <c r="CY103" i="13"/>
  <c r="CU103" i="13"/>
  <c r="CY105" i="13"/>
  <c r="CU105" i="13"/>
  <c r="CS105" i="13"/>
  <c r="CY173" i="13"/>
  <c r="CU173" i="13"/>
  <c r="CS173" i="13"/>
  <c r="CY191" i="13"/>
  <c r="CU191" i="13"/>
  <c r="CS191" i="13"/>
  <c r="CY83" i="13"/>
  <c r="CU83" i="13"/>
  <c r="CS83" i="13"/>
  <c r="CY143" i="13"/>
  <c r="CU143" i="13"/>
  <c r="CS143" i="13"/>
  <c r="CY113" i="13"/>
  <c r="CU113" i="13"/>
  <c r="CS113" i="13"/>
  <c r="CY134" i="13"/>
  <c r="CU134" i="13"/>
  <c r="CS134" i="13"/>
  <c r="CY111" i="13"/>
  <c r="CU111" i="13"/>
  <c r="CS111" i="13"/>
  <c r="CY220" i="13"/>
  <c r="CU220" i="13"/>
  <c r="CS220" i="13"/>
  <c r="CS119" i="13"/>
  <c r="CY119" i="13"/>
  <c r="CU119" i="13"/>
  <c r="CY96" i="13"/>
  <c r="CU96" i="13"/>
  <c r="CS96" i="13"/>
  <c r="CY217" i="13"/>
  <c r="CS217" i="13"/>
  <c r="CU217" i="13"/>
  <c r="CY202" i="13"/>
  <c r="CU202" i="13"/>
  <c r="CS202" i="13"/>
  <c r="CY226" i="13"/>
  <c r="CS226" i="13"/>
  <c r="CU226" i="13"/>
  <c r="BF227" i="13"/>
  <c r="CY122" i="13"/>
  <c r="CU122" i="13"/>
  <c r="CS122" i="13"/>
  <c r="CY229" i="13"/>
  <c r="CS229" i="13"/>
  <c r="CU229" i="13"/>
  <c r="CY249" i="13"/>
  <c r="CU249" i="13"/>
  <c r="CS249" i="13"/>
  <c r="CY76" i="13"/>
  <c r="CU76" i="13"/>
  <c r="CS76" i="13"/>
  <c r="CY178" i="13"/>
  <c r="CU178" i="13"/>
  <c r="CS178" i="13"/>
  <c r="CY213" i="13"/>
  <c r="CU213" i="13"/>
  <c r="CS213" i="13"/>
  <c r="CY130" i="13"/>
  <c r="CU130" i="13"/>
  <c r="CS130" i="13"/>
  <c r="BF226" i="13"/>
  <c r="CY257" i="13"/>
  <c r="CU257" i="13"/>
  <c r="CS257" i="13"/>
  <c r="CY222" i="13"/>
  <c r="CS222" i="13"/>
  <c r="CU222" i="13"/>
  <c r="CY181" i="13"/>
  <c r="CU181" i="13"/>
  <c r="CS181" i="13"/>
  <c r="CY97" i="13"/>
  <c r="CU97" i="13"/>
  <c r="CS97" i="13"/>
  <c r="CY102" i="13"/>
  <c r="CU102" i="13"/>
  <c r="CS102" i="13"/>
  <c r="CY78" i="13"/>
  <c r="CU78" i="13"/>
  <c r="CS78" i="13"/>
  <c r="CY251" i="13"/>
  <c r="CS251" i="13"/>
  <c r="CU251" i="13"/>
  <c r="CY166" i="13"/>
  <c r="CU166" i="13"/>
  <c r="CS166" i="13"/>
  <c r="CY239" i="13"/>
  <c r="CS239" i="13"/>
  <c r="CU239" i="13"/>
  <c r="CY219" i="13"/>
  <c r="CS219" i="13"/>
  <c r="CU219" i="13"/>
  <c r="CS167" i="13"/>
  <c r="CY167" i="13"/>
  <c r="CU167" i="13"/>
  <c r="CY214" i="13"/>
  <c r="CU214" i="13"/>
  <c r="CS214" i="13"/>
  <c r="CY227" i="13"/>
  <c r="CS227" i="13"/>
  <c r="CU227" i="13"/>
  <c r="CY224" i="13"/>
  <c r="CU224" i="13"/>
  <c r="CS224" i="13"/>
  <c r="CY109" i="13"/>
  <c r="CU109" i="13"/>
  <c r="CS109" i="13"/>
  <c r="CY156" i="13"/>
  <c r="CU156" i="13"/>
  <c r="CS156" i="13"/>
  <c r="CY260" i="13"/>
  <c r="CS260" i="13"/>
  <c r="CU260" i="13"/>
  <c r="BF91" i="13"/>
  <c r="CY206" i="13"/>
  <c r="CU206" i="13"/>
  <c r="CS206" i="13"/>
  <c r="CY200" i="13"/>
  <c r="CU200" i="13"/>
  <c r="CS200" i="13"/>
  <c r="CY74" i="13"/>
  <c r="CU74" i="13"/>
  <c r="CS74" i="13"/>
  <c r="CY160" i="13"/>
  <c r="CU160" i="13"/>
  <c r="CS160" i="13"/>
  <c r="CY159" i="13"/>
  <c r="CU159" i="13"/>
  <c r="CS159" i="13"/>
  <c r="CY185" i="13"/>
  <c r="CU185" i="13"/>
  <c r="CS185" i="13"/>
  <c r="CS215" i="13"/>
  <c r="CY215" i="13"/>
  <c r="CU215" i="13"/>
  <c r="CY230" i="13"/>
  <c r="CS230" i="13"/>
  <c r="CU230" i="13"/>
  <c r="CS151" i="13"/>
  <c r="CY151" i="13"/>
  <c r="CU151" i="13"/>
  <c r="CY73" i="13"/>
  <c r="CU73" i="13"/>
  <c r="CS73" i="13"/>
  <c r="CS248" i="13"/>
  <c r="CY248" i="13"/>
  <c r="CU248" i="13"/>
  <c r="CY250" i="13"/>
  <c r="CS250" i="13"/>
  <c r="CU250" i="13"/>
  <c r="CY115" i="13"/>
  <c r="CU115" i="13"/>
  <c r="CS115" i="13"/>
  <c r="CY101" i="13"/>
  <c r="CU101" i="13"/>
  <c r="CS101" i="13"/>
  <c r="CY252" i="13"/>
  <c r="CS252" i="13"/>
  <c r="CU252" i="13"/>
  <c r="CY106" i="13"/>
  <c r="CU106" i="13"/>
  <c r="CS106" i="13"/>
  <c r="CY193" i="13"/>
  <c r="CU193" i="13"/>
  <c r="CS193" i="13"/>
  <c r="CY258" i="13"/>
  <c r="CS258" i="13"/>
  <c r="CU258" i="13"/>
  <c r="CY246" i="13"/>
  <c r="CS246" i="13"/>
  <c r="CU246" i="13"/>
  <c r="CY179" i="13"/>
  <c r="CU179" i="13"/>
  <c r="CS179" i="13"/>
  <c r="CY207" i="13"/>
  <c r="CU207" i="13"/>
  <c r="CS207" i="13"/>
  <c r="CY89" i="13"/>
  <c r="CU89" i="13"/>
  <c r="CS89" i="13"/>
  <c r="CY192" i="13"/>
  <c r="CU192" i="13"/>
  <c r="CS192" i="13"/>
  <c r="CY254" i="13"/>
  <c r="CS254" i="13"/>
  <c r="CU254" i="13"/>
  <c r="CY180" i="13"/>
  <c r="CU180" i="13"/>
  <c r="CS180" i="13"/>
  <c r="CY223" i="13"/>
  <c r="CS223" i="13"/>
  <c r="CU223" i="13"/>
  <c r="CY216" i="13"/>
  <c r="CU216" i="13"/>
  <c r="CS216" i="13"/>
  <c r="CY69" i="13"/>
  <c r="CU69" i="13"/>
  <c r="CS69" i="13"/>
  <c r="CY112" i="13"/>
  <c r="CU112" i="13"/>
  <c r="CS112" i="13"/>
  <c r="CY203" i="13"/>
  <c r="CU203" i="13"/>
  <c r="CS203" i="13"/>
  <c r="CY253" i="13"/>
  <c r="CU253" i="13"/>
  <c r="CS253" i="13"/>
  <c r="CY221" i="13"/>
  <c r="CS221" i="13"/>
  <c r="CU221" i="13"/>
  <c r="AR91" i="13"/>
  <c r="V91" i="16" s="1"/>
  <c r="AD5" i="16" l="1"/>
  <c r="E236" i="20"/>
  <c r="AJ236" i="16"/>
  <c r="AH70" i="16"/>
  <c r="AH188" i="16"/>
  <c r="CG188" i="13" s="1"/>
  <c r="AH159" i="16"/>
  <c r="AD159" i="16"/>
  <c r="AH246" i="16"/>
  <c r="CS104" i="13"/>
  <c r="CU104" i="13"/>
  <c r="CY104" i="13"/>
  <c r="AJ139" i="16"/>
  <c r="AI52" i="16"/>
  <c r="AH108" i="16"/>
  <c r="AH106" i="16"/>
  <c r="AI38" i="16"/>
  <c r="AH38" i="16"/>
  <c r="AI106" i="16"/>
  <c r="AH52" i="16"/>
  <c r="AH221" i="16"/>
  <c r="CG221" i="13" s="1"/>
  <c r="AI108" i="16"/>
  <c r="CH108" i="13" s="1"/>
  <c r="AH151" i="16"/>
  <c r="AI221" i="16"/>
  <c r="AH155" i="16"/>
  <c r="CG155" i="13" s="1"/>
  <c r="CO155" i="13" s="1"/>
  <c r="AD151" i="16"/>
  <c r="AH191" i="16"/>
  <c r="AD155" i="16"/>
  <c r="BT155" i="13" s="1"/>
  <c r="AD66" i="16"/>
  <c r="AI191" i="16"/>
  <c r="AH66" i="16"/>
  <c r="AI180" i="16"/>
  <c r="CH180" i="13" s="1"/>
  <c r="AH28" i="16"/>
  <c r="CG28" i="13" s="1"/>
  <c r="AH214" i="16"/>
  <c r="CG214" i="13" s="1"/>
  <c r="AI247" i="16"/>
  <c r="CH247" i="13" s="1"/>
  <c r="AH180" i="16"/>
  <c r="AI214" i="16"/>
  <c r="CH214" i="13" s="1"/>
  <c r="AH194" i="16"/>
  <c r="CG194" i="13" s="1"/>
  <c r="AD247" i="16"/>
  <c r="BT247" i="13" s="1"/>
  <c r="CV247" i="13" s="1"/>
  <c r="AH160" i="16"/>
  <c r="AH140" i="16"/>
  <c r="CG140" i="13" s="1"/>
  <c r="AI115" i="16"/>
  <c r="AI229" i="16"/>
  <c r="AI194" i="16"/>
  <c r="CH194" i="13" s="1"/>
  <c r="AI178" i="16"/>
  <c r="AI160" i="16"/>
  <c r="CH160" i="13" s="1"/>
  <c r="AD140" i="16"/>
  <c r="BT140" i="13" s="1"/>
  <c r="AH68" i="16"/>
  <c r="AI243" i="16"/>
  <c r="CH243" i="13" s="1"/>
  <c r="AD115" i="16"/>
  <c r="AH229" i="16"/>
  <c r="AH142" i="16"/>
  <c r="AH204" i="16"/>
  <c r="AD69" i="16"/>
  <c r="AH79" i="16"/>
  <c r="AD129" i="16"/>
  <c r="BT129" i="13" s="1"/>
  <c r="BW129" i="13" s="1"/>
  <c r="AI189" i="16"/>
  <c r="CH189" i="13" s="1"/>
  <c r="CI189" i="13" s="1"/>
  <c r="AJ189" i="16" s="1"/>
  <c r="AD90" i="16"/>
  <c r="BT90" i="13" s="1"/>
  <c r="AH209" i="16"/>
  <c r="CG209" i="13" s="1"/>
  <c r="AI185" i="16"/>
  <c r="AH90" i="16"/>
  <c r="CG90" i="13" s="1"/>
  <c r="AH207" i="16"/>
  <c r="AH116" i="16"/>
  <c r="CG116" i="13" s="1"/>
  <c r="AH248" i="16"/>
  <c r="AI209" i="16"/>
  <c r="AJ171" i="16"/>
  <c r="AH185" i="16"/>
  <c r="AD207" i="16"/>
  <c r="AI116" i="16"/>
  <c r="CH116" i="13" s="1"/>
  <c r="AH206" i="16"/>
  <c r="CG206" i="13" s="1"/>
  <c r="AH220" i="16"/>
  <c r="CG220" i="13" s="1"/>
  <c r="AI206" i="16"/>
  <c r="AH222" i="16"/>
  <c r="CG222" i="13" s="1"/>
  <c r="AH85" i="16"/>
  <c r="AD220" i="16"/>
  <c r="BT220" i="13" s="1"/>
  <c r="AI76" i="16"/>
  <c r="AH223" i="16"/>
  <c r="AI222" i="16"/>
  <c r="AI85" i="16"/>
  <c r="AH76" i="16"/>
  <c r="CG76" i="13" s="1"/>
  <c r="AI223" i="16"/>
  <c r="CH223" i="13" s="1"/>
  <c r="AI63" i="16"/>
  <c r="AH200" i="16"/>
  <c r="CG200" i="13" s="1"/>
  <c r="AH63" i="16"/>
  <c r="AI200" i="16"/>
  <c r="CH200" i="13" s="1"/>
  <c r="AD119" i="16"/>
  <c r="AD8" i="16"/>
  <c r="AD82" i="16"/>
  <c r="BT82" i="13" s="1"/>
  <c r="AH212" i="16"/>
  <c r="AI245" i="16"/>
  <c r="AI126" i="16"/>
  <c r="CH126" i="13" s="1"/>
  <c r="AH126" i="16"/>
  <c r="CG126" i="13" s="1"/>
  <c r="CI126" i="13" s="1"/>
  <c r="E126" i="20" s="1"/>
  <c r="AD101" i="16"/>
  <c r="AD238" i="16"/>
  <c r="BT238" i="13" s="1"/>
  <c r="CV238" i="13" s="1"/>
  <c r="AI8" i="16"/>
  <c r="AD212" i="16"/>
  <c r="BT212" i="13" s="1"/>
  <c r="BW212" i="13" s="1"/>
  <c r="AD248" i="16"/>
  <c r="BT248" i="13" s="1"/>
  <c r="AH211" i="16"/>
  <c r="CG211" i="13" s="1"/>
  <c r="AD245" i="16"/>
  <c r="BT245" i="13" s="1"/>
  <c r="AI176" i="16"/>
  <c r="AI211" i="16"/>
  <c r="CH211" i="13" s="1"/>
  <c r="AH210" i="16"/>
  <c r="CG210" i="13" s="1"/>
  <c r="AH176" i="16"/>
  <c r="AD250" i="16"/>
  <c r="BT250" i="13" s="1"/>
  <c r="AI165" i="16"/>
  <c r="CH165" i="13" s="1"/>
  <c r="AI251" i="16"/>
  <c r="CH251" i="13" s="1"/>
  <c r="AI217" i="16"/>
  <c r="CH217" i="13" s="1"/>
  <c r="AI210" i="16"/>
  <c r="CH210" i="13" s="1"/>
  <c r="CI210" i="13" s="1"/>
  <c r="E210" i="20" s="1"/>
  <c r="AH196" i="16"/>
  <c r="CG196" i="13" s="1"/>
  <c r="AH250" i="16"/>
  <c r="AH165" i="16"/>
  <c r="CG165" i="13" s="1"/>
  <c r="AD251" i="16"/>
  <c r="AH217" i="16"/>
  <c r="AI196" i="16"/>
  <c r="CH196" i="13" s="1"/>
  <c r="AH71" i="16"/>
  <c r="AI112" i="16"/>
  <c r="AD4" i="16"/>
  <c r="AI71" i="16"/>
  <c r="CH71" i="13" s="1"/>
  <c r="AH112" i="16"/>
  <c r="AI4" i="16"/>
  <c r="AH21" i="16"/>
  <c r="CG21" i="13" s="1"/>
  <c r="AH201" i="16"/>
  <c r="CG201" i="13" s="1"/>
  <c r="CI201" i="13" s="1"/>
  <c r="E201" i="20" s="1"/>
  <c r="AI123" i="16"/>
  <c r="CH123" i="13" s="1"/>
  <c r="CI123" i="13" s="1"/>
  <c r="AI21" i="16"/>
  <c r="AD201" i="16"/>
  <c r="BT201" i="13" s="1"/>
  <c r="AD123" i="16"/>
  <c r="BT123" i="13" s="1"/>
  <c r="AD258" i="16"/>
  <c r="AH193" i="16"/>
  <c r="CG193" i="13" s="1"/>
  <c r="AH258" i="16"/>
  <c r="AH238" i="16"/>
  <c r="CG238" i="13" s="1"/>
  <c r="CI238" i="13" s="1"/>
  <c r="AD193" i="16"/>
  <c r="BT193" i="13" s="1"/>
  <c r="AD246" i="16"/>
  <c r="BT246" i="13" s="1"/>
  <c r="CI169" i="13"/>
  <c r="E169" i="20" s="1"/>
  <c r="AH213" i="16"/>
  <c r="CO169" i="13"/>
  <c r="AI213" i="16"/>
  <c r="AH230" i="16"/>
  <c r="AI230" i="16"/>
  <c r="AH5" i="16"/>
  <c r="AI192" i="16"/>
  <c r="CH192" i="13" s="1"/>
  <c r="AD192" i="16"/>
  <c r="BT192" i="13" s="1"/>
  <c r="AH192" i="16"/>
  <c r="CG192" i="13" s="1"/>
  <c r="AI158" i="16"/>
  <c r="CH158" i="13" s="1"/>
  <c r="CO158" i="13" s="1"/>
  <c r="AI109" i="16"/>
  <c r="AD202" i="16"/>
  <c r="BT202" i="13" s="1"/>
  <c r="AH110" i="16"/>
  <c r="AH195" i="16"/>
  <c r="CG195" i="13" s="1"/>
  <c r="CI195" i="13" s="1"/>
  <c r="E195" i="20" s="1"/>
  <c r="AH102" i="16"/>
  <c r="AI181" i="16"/>
  <c r="AD102" i="16"/>
  <c r="BT102" i="13" s="1"/>
  <c r="AD195" i="16"/>
  <c r="BT195" i="13" s="1"/>
  <c r="AI110" i="16"/>
  <c r="CH110" i="13" s="1"/>
  <c r="AH109" i="16"/>
  <c r="CG109" i="13" s="1"/>
  <c r="AD181" i="16"/>
  <c r="BT181" i="13" s="1"/>
  <c r="AH234" i="16"/>
  <c r="CG234" i="13" s="1"/>
  <c r="AI234" i="16"/>
  <c r="CH234" i="13" s="1"/>
  <c r="AI166" i="16"/>
  <c r="CH166" i="13" s="1"/>
  <c r="AD50" i="16"/>
  <c r="AI249" i="16"/>
  <c r="CH249" i="13" s="1"/>
  <c r="AH166" i="16"/>
  <c r="AI50" i="16"/>
  <c r="CH50" i="13" s="1"/>
  <c r="AD249" i="16"/>
  <c r="BT249" i="13" s="1"/>
  <c r="AI257" i="16"/>
  <c r="AH114" i="16"/>
  <c r="CG114" i="13" s="1"/>
  <c r="CI114" i="13" s="1"/>
  <c r="E114" i="20" s="1"/>
  <c r="AH161" i="16"/>
  <c r="CG161" i="13" s="1"/>
  <c r="CI161" i="13" s="1"/>
  <c r="AH177" i="16"/>
  <c r="CG177" i="13" s="1"/>
  <c r="AD257" i="16"/>
  <c r="AI114" i="16"/>
  <c r="CH114" i="13" s="1"/>
  <c r="AD161" i="16"/>
  <c r="BT161" i="13" s="1"/>
  <c r="BW161" i="13" s="1"/>
  <c r="AI177" i="16"/>
  <c r="AI190" i="16"/>
  <c r="CH190" i="13" s="1"/>
  <c r="AH130" i="16"/>
  <c r="AD24" i="16"/>
  <c r="BT24" i="13" s="1"/>
  <c r="AD107" i="16"/>
  <c r="BT107" i="13" s="1"/>
  <c r="BU107" i="13" s="1"/>
  <c r="AE107" i="16" s="1"/>
  <c r="AH190" i="16"/>
  <c r="CG190" i="13" s="1"/>
  <c r="AD130" i="16"/>
  <c r="BT130" i="13" s="1"/>
  <c r="AI24" i="16"/>
  <c r="CH24" i="13" s="1"/>
  <c r="AH107" i="16"/>
  <c r="CG107" i="13" s="1"/>
  <c r="AH202" i="16"/>
  <c r="CG202" i="13" s="1"/>
  <c r="AH226" i="16"/>
  <c r="AD163" i="16"/>
  <c r="BT163" i="13" s="1"/>
  <c r="AD173" i="16"/>
  <c r="CI240" i="13"/>
  <c r="E240" i="20" s="1"/>
  <c r="CI137" i="13"/>
  <c r="AH163" i="16"/>
  <c r="CG163" i="13" s="1"/>
  <c r="AI233" i="16"/>
  <c r="AH72" i="16"/>
  <c r="AH233" i="16"/>
  <c r="AD72" i="16"/>
  <c r="BT72" i="13" s="1"/>
  <c r="AH227" i="16"/>
  <c r="CG227" i="13" s="1"/>
  <c r="AI227" i="16"/>
  <c r="CH227" i="13" s="1"/>
  <c r="AH173" i="16"/>
  <c r="CG173" i="13" s="1"/>
  <c r="AB134" i="16"/>
  <c r="AI134" i="16" s="1"/>
  <c r="K134" i="23"/>
  <c r="AB59" i="16"/>
  <c r="AD59" i="16" s="1"/>
  <c r="K59" i="23"/>
  <c r="AB205" i="16"/>
  <c r="AI205" i="16" s="1"/>
  <c r="K205" i="23"/>
  <c r="AB225" i="16"/>
  <c r="K225" i="23"/>
  <c r="AB143" i="16"/>
  <c r="AI143" i="16" s="1"/>
  <c r="K143" i="23"/>
  <c r="AB103" i="16"/>
  <c r="AH103" i="16" s="1"/>
  <c r="K103" i="23"/>
  <c r="AB104" i="16"/>
  <c r="AD104" i="16" s="1"/>
  <c r="K104" i="23"/>
  <c r="AB60" i="16"/>
  <c r="AI60" i="16" s="1"/>
  <c r="K60" i="23"/>
  <c r="AB96" i="16"/>
  <c r="AH96" i="16" s="1"/>
  <c r="K96" i="23"/>
  <c r="AB42" i="16"/>
  <c r="K42" i="23"/>
  <c r="AB89" i="16"/>
  <c r="AD89" i="16" s="1"/>
  <c r="K89" i="23"/>
  <c r="AB164" i="16"/>
  <c r="AI164" i="16" s="1"/>
  <c r="K164" i="23"/>
  <c r="CI19" i="13"/>
  <c r="E19" i="20" s="1"/>
  <c r="AB39" i="16"/>
  <c r="AH39" i="16" s="1"/>
  <c r="K39" i="23"/>
  <c r="AB78" i="16"/>
  <c r="AI78" i="16" s="1"/>
  <c r="K78" i="23"/>
  <c r="AB40" i="16"/>
  <c r="K40" i="23"/>
  <c r="AB97" i="16"/>
  <c r="AH97" i="16" s="1"/>
  <c r="K97" i="23"/>
  <c r="AB87" i="16"/>
  <c r="AD87" i="16" s="1"/>
  <c r="K87" i="23"/>
  <c r="AB23" i="16"/>
  <c r="AD23" i="16" s="1"/>
  <c r="K23" i="23"/>
  <c r="AB83" i="16"/>
  <c r="AD83" i="16" s="1"/>
  <c r="K83" i="23"/>
  <c r="AB231" i="16"/>
  <c r="AD231" i="16" s="1"/>
  <c r="K231" i="23"/>
  <c r="AB36" i="16"/>
  <c r="K36" i="23"/>
  <c r="AB62" i="16"/>
  <c r="AI62" i="16" s="1"/>
  <c r="CH62" i="13" s="1"/>
  <c r="K62" i="23"/>
  <c r="AB86" i="16"/>
  <c r="AI86" i="16" s="1"/>
  <c r="CH86" i="13" s="1"/>
  <c r="K86" i="23"/>
  <c r="CI182" i="13"/>
  <c r="E182" i="20" s="1"/>
  <c r="CI157" i="13"/>
  <c r="E157" i="20" s="1"/>
  <c r="CI94" i="13"/>
  <c r="E94" i="20" s="1"/>
  <c r="CI133" i="13"/>
  <c r="E133" i="20" s="1"/>
  <c r="CI45" i="13"/>
  <c r="CI235" i="13"/>
  <c r="E235" i="20" s="1"/>
  <c r="CI22" i="13"/>
  <c r="AJ22" i="16" s="1"/>
  <c r="CI188" i="13"/>
  <c r="E188" i="20" s="1"/>
  <c r="CI172" i="13"/>
  <c r="E172" i="20" s="1"/>
  <c r="CI16" i="13"/>
  <c r="E16" i="20" s="1"/>
  <c r="CI183" i="13"/>
  <c r="E183" i="20" s="1"/>
  <c r="CI198" i="13"/>
  <c r="E198" i="20" s="1"/>
  <c r="CI152" i="13"/>
  <c r="E152" i="20" s="1"/>
  <c r="CI14" i="13"/>
  <c r="E14" i="20" s="1"/>
  <c r="CI10" i="13"/>
  <c r="AJ10" i="16" s="1"/>
  <c r="CI84" i="13"/>
  <c r="CI55" i="13"/>
  <c r="E55" i="20" s="1"/>
  <c r="CI237" i="13"/>
  <c r="E237" i="20" s="1"/>
  <c r="CI153" i="13"/>
  <c r="AJ153" i="16" s="1"/>
  <c r="CI170" i="13"/>
  <c r="E170" i="20" s="1"/>
  <c r="CI95" i="13"/>
  <c r="E95" i="20" s="1"/>
  <c r="CI77" i="13"/>
  <c r="E77" i="20" s="1"/>
  <c r="CI12" i="13"/>
  <c r="E12" i="20" s="1"/>
  <c r="CI128" i="13"/>
  <c r="E128" i="20" s="1"/>
  <c r="CI35" i="13"/>
  <c r="E35" i="20" s="1"/>
  <c r="CI129" i="13"/>
  <c r="E129" i="20" s="1"/>
  <c r="CI34" i="13"/>
  <c r="E34" i="20" s="1"/>
  <c r="CI64" i="13"/>
  <c r="E64" i="20" s="1"/>
  <c r="CI147" i="13"/>
  <c r="E147" i="20" s="1"/>
  <c r="CI125" i="13"/>
  <c r="E125" i="20" s="1"/>
  <c r="CI174" i="13"/>
  <c r="E174" i="20" s="1"/>
  <c r="CI82" i="13"/>
  <c r="E82" i="20" s="1"/>
  <c r="CI47" i="13"/>
  <c r="E47" i="20" s="1"/>
  <c r="E84" i="20"/>
  <c r="CO197" i="13"/>
  <c r="CI197" i="13"/>
  <c r="E197" i="20" s="1"/>
  <c r="CI162" i="13"/>
  <c r="E162" i="20" s="1"/>
  <c r="CI30" i="13"/>
  <c r="E30" i="20" s="1"/>
  <c r="E45" i="20"/>
  <c r="CI146" i="13"/>
  <c r="E146" i="20" s="1"/>
  <c r="CI11" i="13"/>
  <c r="E11" i="20" s="1"/>
  <c r="E137" i="20"/>
  <c r="CI75" i="13"/>
  <c r="E75" i="20" s="1"/>
  <c r="CI48" i="13"/>
  <c r="E48" i="20" s="1"/>
  <c r="CI186" i="13"/>
  <c r="E186" i="20" s="1"/>
  <c r="CI140" i="13"/>
  <c r="E140" i="20" s="1"/>
  <c r="CI138" i="13"/>
  <c r="E138" i="20" s="1"/>
  <c r="CI33" i="13"/>
  <c r="E33" i="20" s="1"/>
  <c r="CI121" i="13"/>
  <c r="E121" i="20" s="1"/>
  <c r="CI145" i="13"/>
  <c r="E145" i="20" s="1"/>
  <c r="CI247" i="13"/>
  <c r="E247" i="20" s="1"/>
  <c r="CI81" i="13"/>
  <c r="E81" i="20" s="1"/>
  <c r="CI31" i="13"/>
  <c r="E31" i="20" s="1"/>
  <c r="CI46" i="13"/>
  <c r="E46" i="20" s="1"/>
  <c r="CI218" i="13"/>
  <c r="E218" i="20" s="1"/>
  <c r="CI127" i="13"/>
  <c r="E127" i="20" s="1"/>
  <c r="CI244" i="13"/>
  <c r="E244" i="20" s="1"/>
  <c r="CI88" i="13"/>
  <c r="E88" i="20" s="1"/>
  <c r="CI26" i="13"/>
  <c r="E26" i="20" s="1"/>
  <c r="AA163" i="16"/>
  <c r="D163" i="20"/>
  <c r="AA102" i="16"/>
  <c r="D102" i="20"/>
  <c r="AA62" i="16"/>
  <c r="D62" i="20"/>
  <c r="AA227" i="16"/>
  <c r="D227" i="20"/>
  <c r="AA225" i="16"/>
  <c r="D225" i="20"/>
  <c r="AA42" i="16"/>
  <c r="D42" i="20"/>
  <c r="AA226" i="16"/>
  <c r="D226" i="20"/>
  <c r="AA91" i="16"/>
  <c r="D91" i="20"/>
  <c r="AD25" i="16"/>
  <c r="BT25" i="13" s="1"/>
  <c r="BU25" i="13" s="1"/>
  <c r="AE25" i="16" s="1"/>
  <c r="AI25" i="16"/>
  <c r="CH25" i="13" s="1"/>
  <c r="AH25" i="16"/>
  <c r="CG25" i="13" s="1"/>
  <c r="AD37" i="16"/>
  <c r="BT37" i="13" s="1"/>
  <c r="CV37" i="13" s="1"/>
  <c r="AI37" i="16"/>
  <c r="CH37" i="13" s="1"/>
  <c r="AH37" i="16"/>
  <c r="CG37" i="13" s="1"/>
  <c r="AD32" i="16"/>
  <c r="BT32" i="13" s="1"/>
  <c r="BU32" i="13" s="1"/>
  <c r="AE32" i="16" s="1"/>
  <c r="AI32" i="16"/>
  <c r="CH32" i="13" s="1"/>
  <c r="AH32" i="16"/>
  <c r="CG32" i="13" s="1"/>
  <c r="AD38" i="16"/>
  <c r="AI29" i="16"/>
  <c r="CH29" i="13" s="1"/>
  <c r="AH29" i="16"/>
  <c r="CG29" i="13" s="1"/>
  <c r="AD29" i="16"/>
  <c r="BT29" i="13" s="1"/>
  <c r="BW29" i="13" s="1"/>
  <c r="CU86" i="13"/>
  <c r="CS86" i="13"/>
  <c r="CY86" i="13"/>
  <c r="BU150" i="13"/>
  <c r="AE150" i="16" s="1"/>
  <c r="CV218" i="13"/>
  <c r="CL218" i="13"/>
  <c r="BU218" i="13"/>
  <c r="AE218" i="16" s="1"/>
  <c r="CO12" i="13"/>
  <c r="CV150" i="13"/>
  <c r="CL150" i="13"/>
  <c r="BJ86" i="13"/>
  <c r="CO127" i="13"/>
  <c r="AD225" i="16"/>
  <c r="AH225" i="16"/>
  <c r="AI225" i="16"/>
  <c r="AH42" i="16"/>
  <c r="AI42" i="16"/>
  <c r="AD42" i="16"/>
  <c r="AH40" i="16"/>
  <c r="AI40" i="16"/>
  <c r="AD40" i="16"/>
  <c r="AH36" i="16"/>
  <c r="AI36" i="16"/>
  <c r="AD36" i="16"/>
  <c r="CO153" i="13"/>
  <c r="CH148" i="13"/>
  <c r="CH254" i="13"/>
  <c r="CL153" i="13"/>
  <c r="CV153" i="13"/>
  <c r="BU153" i="13"/>
  <c r="AE153" i="16" s="1"/>
  <c r="BW153" i="13"/>
  <c r="CY225" i="13"/>
  <c r="CS225" i="13"/>
  <c r="CU225" i="13"/>
  <c r="BV46" i="13"/>
  <c r="AF46" i="16" s="1"/>
  <c r="CS231" i="13"/>
  <c r="CU231" i="13"/>
  <c r="CY231" i="13"/>
  <c r="BT165" i="13"/>
  <c r="BW165" i="13" s="1"/>
  <c r="BT21" i="13"/>
  <c r="CV21" i="13" s="1"/>
  <c r="CH21" i="13"/>
  <c r="BJ225" i="13"/>
  <c r="BJ231" i="13"/>
  <c r="BT108" i="13"/>
  <c r="CG108" i="13"/>
  <c r="BV55" i="13"/>
  <c r="AF55" i="16" s="1"/>
  <c r="CM154" i="13"/>
  <c r="BT79" i="13"/>
  <c r="BW79" i="13" s="1"/>
  <c r="CG79" i="13"/>
  <c r="CH79" i="13"/>
  <c r="BT7" i="13"/>
  <c r="CH7" i="13"/>
  <c r="CG7" i="13"/>
  <c r="CG67" i="13"/>
  <c r="BV48" i="13"/>
  <c r="AF48" i="16" s="1"/>
  <c r="CV12" i="13"/>
  <c r="BW12" i="13"/>
  <c r="CL12" i="13"/>
  <c r="BU12" i="13"/>
  <c r="AE12" i="16" s="1"/>
  <c r="CH52" i="13"/>
  <c r="CP154" i="13"/>
  <c r="CU60" i="13"/>
  <c r="CY60" i="13"/>
  <c r="CS60" i="13"/>
  <c r="CG27" i="13"/>
  <c r="BV154" i="13"/>
  <c r="AF154" i="16" s="1"/>
  <c r="BV47" i="13"/>
  <c r="AF47" i="16" s="1"/>
  <c r="BV198" i="13"/>
  <c r="AF198" i="16" s="1"/>
  <c r="BJ23" i="13"/>
  <c r="BJ60" i="13"/>
  <c r="BT9" i="13"/>
  <c r="CH9" i="13"/>
  <c r="BT19" i="13"/>
  <c r="CG6" i="13"/>
  <c r="CL16" i="13"/>
  <c r="CG9" i="13"/>
  <c r="CO16" i="13"/>
  <c r="CV16" i="13"/>
  <c r="BU16" i="13"/>
  <c r="AE16" i="16" s="1"/>
  <c r="CO19" i="13"/>
  <c r="AJ18" i="16"/>
  <c r="CO18" i="13"/>
  <c r="CO15" i="13"/>
  <c r="CP15" i="13" s="1"/>
  <c r="F15" i="23" s="1"/>
  <c r="G15" i="23" s="1"/>
  <c r="AJ15" i="16"/>
  <c r="BU15" i="13"/>
  <c r="AE15" i="16" s="1"/>
  <c r="CL15" i="13"/>
  <c r="CV15" i="13"/>
  <c r="BT17" i="13"/>
  <c r="BJ62" i="13"/>
  <c r="CV10" i="13"/>
  <c r="CL10" i="13"/>
  <c r="BU10" i="13"/>
  <c r="AE10" i="16" s="1"/>
  <c r="CG142" i="13"/>
  <c r="BT142" i="13"/>
  <c r="BW142" i="13" s="1"/>
  <c r="CH107" i="13"/>
  <c r="CG120" i="13"/>
  <c r="CO10" i="13"/>
  <c r="BT120" i="13"/>
  <c r="CV120" i="13" s="1"/>
  <c r="CH80" i="13"/>
  <c r="CG80" i="13"/>
  <c r="BT80" i="13"/>
  <c r="BW80" i="13" s="1"/>
  <c r="CH98" i="13"/>
  <c r="CG98" i="13"/>
  <c r="BT98" i="13"/>
  <c r="BU98" i="13" s="1"/>
  <c r="AE98" i="16" s="1"/>
  <c r="CO11" i="13"/>
  <c r="BT3" i="13"/>
  <c r="CL3" i="13" s="1"/>
  <c r="CH117" i="13"/>
  <c r="CG44" i="13"/>
  <c r="CH3" i="13"/>
  <c r="CI3" i="13" s="1"/>
  <c r="CH105" i="13"/>
  <c r="CO152" i="13"/>
  <c r="BU157" i="13"/>
  <c r="AE157" i="16" s="1"/>
  <c r="BW157" i="13"/>
  <c r="CL157" i="13"/>
  <c r="CV157" i="13"/>
  <c r="BW152" i="13"/>
  <c r="BU152" i="13"/>
  <c r="AE152" i="16" s="1"/>
  <c r="CL152" i="13"/>
  <c r="CV152" i="13"/>
  <c r="CG41" i="13"/>
  <c r="CO157" i="13"/>
  <c r="CS164" i="13"/>
  <c r="CJ154" i="13"/>
  <c r="CO125" i="13"/>
  <c r="BT6" i="13"/>
  <c r="BW6" i="13" s="1"/>
  <c r="CH6" i="13"/>
  <c r="BT110" i="13"/>
  <c r="BW110" i="13" s="1"/>
  <c r="BW170" i="13"/>
  <c r="CV170" i="13"/>
  <c r="BU170" i="13"/>
  <c r="AE170" i="16" s="1"/>
  <c r="CO198" i="13"/>
  <c r="CG110" i="13"/>
  <c r="AJ197" i="16"/>
  <c r="CO170" i="13"/>
  <c r="CV197" i="13"/>
  <c r="CO218" i="13"/>
  <c r="CL197" i="13"/>
  <c r="BU197" i="13"/>
  <c r="AE197" i="16" s="1"/>
  <c r="BU127" i="13"/>
  <c r="AE127" i="16" s="1"/>
  <c r="BT52" i="13"/>
  <c r="BW52" i="13" s="1"/>
  <c r="BT243" i="13"/>
  <c r="CV243" i="13" s="1"/>
  <c r="CG243" i="13"/>
  <c r="BU125" i="13"/>
  <c r="AE125" i="16" s="1"/>
  <c r="CG52" i="13"/>
  <c r="CL127" i="13"/>
  <c r="CL125" i="13"/>
  <c r="BW127" i="13"/>
  <c r="BW125" i="13"/>
  <c r="CY164" i="13"/>
  <c r="CU164" i="13"/>
  <c r="CV11" i="13"/>
  <c r="CL11" i="13"/>
  <c r="BU11" i="13"/>
  <c r="AE11" i="16" s="1"/>
  <c r="BT27" i="13"/>
  <c r="BU27" i="13" s="1"/>
  <c r="AE27" i="16" s="1"/>
  <c r="BT67" i="13"/>
  <c r="BU67" i="13" s="1"/>
  <c r="AE67" i="16" s="1"/>
  <c r="BT148" i="13"/>
  <c r="CL148" i="13" s="1"/>
  <c r="CH27" i="13"/>
  <c r="CG148" i="13"/>
  <c r="BW145" i="13"/>
  <c r="CL145" i="13"/>
  <c r="BU145" i="13"/>
  <c r="AE145" i="16" s="1"/>
  <c r="CV145" i="13"/>
  <c r="BU34" i="13"/>
  <c r="AE34" i="16" s="1"/>
  <c r="BW34" i="13"/>
  <c r="CL34" i="13"/>
  <c r="CV34" i="13"/>
  <c r="CO26" i="13"/>
  <c r="CO145" i="13"/>
  <c r="CL237" i="13"/>
  <c r="CV237" i="13"/>
  <c r="BW237" i="13"/>
  <c r="BU237" i="13"/>
  <c r="AE237" i="16" s="1"/>
  <c r="CO237" i="13"/>
  <c r="CO34" i="13"/>
  <c r="BU26" i="13"/>
  <c r="AE26" i="16" s="1"/>
  <c r="BW26" i="13"/>
  <c r="CL26" i="13"/>
  <c r="CV26" i="13"/>
  <c r="CH20" i="13"/>
  <c r="CG20" i="13"/>
  <c r="BT20" i="13"/>
  <c r="BU35" i="13"/>
  <c r="AE35" i="16" s="1"/>
  <c r="CL35" i="13"/>
  <c r="BW35" i="13"/>
  <c r="CV35" i="13"/>
  <c r="CL149" i="13"/>
  <c r="CV149" i="13"/>
  <c r="BU149" i="13"/>
  <c r="AE149" i="16" s="1"/>
  <c r="BW149" i="13"/>
  <c r="CO35" i="13"/>
  <c r="CH67" i="13"/>
  <c r="CV14" i="13"/>
  <c r="BW14" i="13"/>
  <c r="BU14" i="13"/>
  <c r="AE14" i="16" s="1"/>
  <c r="CL14" i="13"/>
  <c r="CO14" i="13"/>
  <c r="AJ14" i="16"/>
  <c r="BW211" i="13"/>
  <c r="CL211" i="13"/>
  <c r="BU211" i="13"/>
  <c r="AE211" i="16" s="1"/>
  <c r="CV211" i="13"/>
  <c r="CO211" i="13"/>
  <c r="BJ205" i="13"/>
  <c r="CH212" i="13"/>
  <c r="CG212" i="13"/>
  <c r="CM169" i="13"/>
  <c r="CM171" i="13"/>
  <c r="CM136" i="13"/>
  <c r="CM13" i="13"/>
  <c r="CP13" i="13"/>
  <c r="CP136" i="13"/>
  <c r="CP171" i="13"/>
  <c r="CP139" i="13"/>
  <c r="CG207" i="13"/>
  <c r="CH207" i="13"/>
  <c r="CO22" i="13"/>
  <c r="CO46" i="13"/>
  <c r="AJ46" i="16"/>
  <c r="CH167" i="13"/>
  <c r="CG167" i="13"/>
  <c r="BT167" i="13"/>
  <c r="CH43" i="13"/>
  <c r="CG43" i="13"/>
  <c r="BT43" i="13"/>
  <c r="BJ87" i="13"/>
  <c r="BJ42" i="13"/>
  <c r="CG252" i="13"/>
  <c r="BT252" i="13"/>
  <c r="CV252" i="13" s="1"/>
  <c r="CH252" i="13"/>
  <c r="CG66" i="13"/>
  <c r="CH66" i="13"/>
  <c r="BT66" i="13"/>
  <c r="BW235" i="13"/>
  <c r="CL235" i="13"/>
  <c r="BU235" i="13"/>
  <c r="AE235" i="16" s="1"/>
  <c r="CV235" i="13"/>
  <c r="BV139" i="13"/>
  <c r="AF139" i="16" s="1"/>
  <c r="BT254" i="13"/>
  <c r="CG254" i="13"/>
  <c r="CG246" i="13"/>
  <c r="CH246" i="13"/>
  <c r="CG111" i="13"/>
  <c r="BT111" i="13"/>
  <c r="CH111" i="13"/>
  <c r="BW114" i="13"/>
  <c r="CL114" i="13"/>
  <c r="BU114" i="13"/>
  <c r="AE114" i="16" s="1"/>
  <c r="CV114" i="13"/>
  <c r="BW45" i="13"/>
  <c r="CV45" i="13"/>
  <c r="CL45" i="13"/>
  <c r="BU45" i="13"/>
  <c r="AE45" i="16" s="1"/>
  <c r="BW140" i="13"/>
  <c r="CL140" i="13"/>
  <c r="BU140" i="13"/>
  <c r="AE140" i="16" s="1"/>
  <c r="CV140" i="13"/>
  <c r="CG181" i="13"/>
  <c r="CH181" i="13"/>
  <c r="CG249" i="13"/>
  <c r="CO208" i="13"/>
  <c r="CP208" i="13" s="1"/>
  <c r="F208" i="23" s="1"/>
  <c r="G208" i="23" s="1"/>
  <c r="CO137" i="13"/>
  <c r="AJ137" i="16"/>
  <c r="BW182" i="13"/>
  <c r="CV182" i="13"/>
  <c r="BU182" i="13"/>
  <c r="AE182" i="16" s="1"/>
  <c r="CL182" i="13"/>
  <c r="BW146" i="13"/>
  <c r="CL146" i="13"/>
  <c r="BU146" i="13"/>
  <c r="AE146" i="16" s="1"/>
  <c r="CV146" i="13"/>
  <c r="CH90" i="13"/>
  <c r="CH230" i="13"/>
  <c r="BT230" i="13"/>
  <c r="CG230" i="13"/>
  <c r="CH113" i="13"/>
  <c r="BT113" i="13"/>
  <c r="CG113" i="13"/>
  <c r="BW175" i="13"/>
  <c r="CL175" i="13"/>
  <c r="BU175" i="13"/>
  <c r="AE175" i="16" s="1"/>
  <c r="CV175" i="13"/>
  <c r="CO138" i="13"/>
  <c r="AJ138" i="16"/>
  <c r="CG112" i="13"/>
  <c r="BT112" i="13"/>
  <c r="CH112" i="13"/>
  <c r="CG251" i="13"/>
  <c r="BT251" i="13"/>
  <c r="BJ78" i="13"/>
  <c r="BW195" i="13"/>
  <c r="CL195" i="13"/>
  <c r="BU195" i="13"/>
  <c r="AE195" i="16" s="1"/>
  <c r="CV195" i="13"/>
  <c r="CG115" i="13"/>
  <c r="BT115" i="13"/>
  <c r="CH115" i="13"/>
  <c r="CO175" i="13"/>
  <c r="BJ83" i="13"/>
  <c r="BJ164" i="13"/>
  <c r="CO188" i="13"/>
  <c r="CO128" i="13"/>
  <c r="BW22" i="13"/>
  <c r="CL22" i="13"/>
  <c r="CV22" i="13"/>
  <c r="BU22" i="13"/>
  <c r="AE22" i="16" s="1"/>
  <c r="CO235" i="13"/>
  <c r="BU129" i="13"/>
  <c r="AE129" i="16" s="1"/>
  <c r="CV129" i="13"/>
  <c r="BT73" i="13"/>
  <c r="CH73" i="13"/>
  <c r="CG73" i="13"/>
  <c r="BT217" i="13"/>
  <c r="CG217" i="13"/>
  <c r="BT180" i="13"/>
  <c r="CG180" i="13"/>
  <c r="CM139" i="13"/>
  <c r="BT178" i="13"/>
  <c r="CG178" i="13"/>
  <c r="CH178" i="13"/>
  <c r="BT204" i="13"/>
  <c r="CG204" i="13"/>
  <c r="CH204" i="13"/>
  <c r="CG50" i="13"/>
  <c r="BT50" i="13"/>
  <c r="CJ139" i="13"/>
  <c r="BW95" i="13"/>
  <c r="BU95" i="13"/>
  <c r="AE95" i="16" s="1"/>
  <c r="CL95" i="13"/>
  <c r="CV95" i="13"/>
  <c r="CL208" i="13"/>
  <c r="CV208" i="13"/>
  <c r="BW137" i="13"/>
  <c r="CL137" i="13"/>
  <c r="BU137" i="13"/>
  <c r="AE137" i="16" s="1"/>
  <c r="CV137" i="13"/>
  <c r="CH102" i="13"/>
  <c r="CG102" i="13"/>
  <c r="BT216" i="13"/>
  <c r="CG216" i="13"/>
  <c r="CH216" i="13"/>
  <c r="CH176" i="13"/>
  <c r="CG176" i="13"/>
  <c r="BT176" i="13"/>
  <c r="BW116" i="13"/>
  <c r="CL116" i="13"/>
  <c r="BU116" i="13"/>
  <c r="AE116" i="16" s="1"/>
  <c r="CV116" i="13"/>
  <c r="CO146" i="13"/>
  <c r="BW186" i="13"/>
  <c r="BU186" i="13"/>
  <c r="AE186" i="16" s="1"/>
  <c r="CL186" i="13"/>
  <c r="CV186" i="13"/>
  <c r="CO94" i="13"/>
  <c r="CH163" i="13"/>
  <c r="BJ134" i="13"/>
  <c r="BJ97" i="13"/>
  <c r="BW183" i="13"/>
  <c r="CL183" i="13"/>
  <c r="BU183" i="13"/>
  <c r="AE183" i="16" s="1"/>
  <c r="CV183" i="13"/>
  <c r="CM236" i="13"/>
  <c r="CG57" i="13"/>
  <c r="CH57" i="13"/>
  <c r="BT57" i="13"/>
  <c r="BW30" i="13"/>
  <c r="BU30" i="13"/>
  <c r="AE30" i="16" s="1"/>
  <c r="CL30" i="13"/>
  <c r="CV30" i="13"/>
  <c r="CH193" i="13"/>
  <c r="CH209" i="13"/>
  <c r="BW162" i="13"/>
  <c r="CV162" i="13"/>
  <c r="CL162" i="13"/>
  <c r="BU162" i="13"/>
  <c r="AE162" i="16" s="1"/>
  <c r="CO174" i="13"/>
  <c r="BW196" i="13"/>
  <c r="BU196" i="13"/>
  <c r="AE196" i="16" s="1"/>
  <c r="CL196" i="13"/>
  <c r="CV196" i="13"/>
  <c r="CJ136" i="13"/>
  <c r="CG248" i="13"/>
  <c r="CH248" i="13"/>
  <c r="BT74" i="13"/>
  <c r="CG74" i="13"/>
  <c r="CH74" i="13"/>
  <c r="CO75" i="13"/>
  <c r="CO186" i="13"/>
  <c r="AJ186" i="16"/>
  <c r="CO82" i="13"/>
  <c r="BW244" i="13"/>
  <c r="CL244" i="13"/>
  <c r="CV244" i="13"/>
  <c r="BU244" i="13"/>
  <c r="AE244" i="16" s="1"/>
  <c r="CO129" i="13"/>
  <c r="AJ129" i="16"/>
  <c r="BW234" i="13"/>
  <c r="CL234" i="13"/>
  <c r="BU234" i="13"/>
  <c r="AE234" i="16" s="1"/>
  <c r="CV234" i="13"/>
  <c r="CO45" i="13"/>
  <c r="AJ45" i="16"/>
  <c r="BW75" i="13"/>
  <c r="CL75" i="13"/>
  <c r="BU75" i="13"/>
  <c r="AE75" i="16" s="1"/>
  <c r="CV75" i="13"/>
  <c r="BT159" i="13"/>
  <c r="CH159" i="13"/>
  <c r="CG159" i="13"/>
  <c r="BJ96" i="13"/>
  <c r="BJ59" i="13"/>
  <c r="BW155" i="13"/>
  <c r="BU155" i="13"/>
  <c r="AE155" i="16" s="1"/>
  <c r="CL155" i="13"/>
  <c r="CV155" i="13"/>
  <c r="CO88" i="13"/>
  <c r="CG156" i="13"/>
  <c r="BT156" i="13"/>
  <c r="CH156" i="13"/>
  <c r="CH203" i="13"/>
  <c r="BT203" i="13"/>
  <c r="CG203" i="13"/>
  <c r="CH220" i="13"/>
  <c r="CO244" i="13"/>
  <c r="BW81" i="13"/>
  <c r="CL81" i="13"/>
  <c r="CV81" i="13"/>
  <c r="BU81" i="13"/>
  <c r="AE81" i="16" s="1"/>
  <c r="BW31" i="13"/>
  <c r="CV31" i="13"/>
  <c r="CL31" i="13"/>
  <c r="BU31" i="13"/>
  <c r="AE31" i="16" s="1"/>
  <c r="BW187" i="13"/>
  <c r="CL187" i="13"/>
  <c r="BU187" i="13"/>
  <c r="AE187" i="16" s="1"/>
  <c r="CV187" i="13"/>
  <c r="BT214" i="13"/>
  <c r="CG24" i="13"/>
  <c r="CO55" i="13"/>
  <c r="CO162" i="13"/>
  <c r="CG229" i="13"/>
  <c r="CH229" i="13"/>
  <c r="BT229" i="13"/>
  <c r="CG54" i="13"/>
  <c r="CH54" i="13"/>
  <c r="BT54" i="13"/>
  <c r="BU54" i="13" s="1"/>
  <c r="AE54" i="16" s="1"/>
  <c r="BW210" i="13"/>
  <c r="CL210" i="13"/>
  <c r="BU210" i="13"/>
  <c r="AE210" i="16" s="1"/>
  <c r="CV210" i="13"/>
  <c r="BW201" i="13"/>
  <c r="CV201" i="13"/>
  <c r="CL201" i="13"/>
  <c r="BU201" i="13"/>
  <c r="AE201" i="16" s="1"/>
  <c r="BW238" i="13"/>
  <c r="CL238" i="13"/>
  <c r="CO133" i="13"/>
  <c r="AJ133" i="16"/>
  <c r="CO172" i="13"/>
  <c r="BT76" i="13"/>
  <c r="CH76" i="13"/>
  <c r="BT227" i="13"/>
  <c r="BW64" i="13"/>
  <c r="CL64" i="13"/>
  <c r="BU64" i="13"/>
  <c r="AE64" i="16" s="1"/>
  <c r="CV64" i="13"/>
  <c r="BW82" i="13"/>
  <c r="CV82" i="13"/>
  <c r="CL82" i="13"/>
  <c r="BU82" i="13"/>
  <c r="AE82" i="16" s="1"/>
  <c r="CO147" i="13"/>
  <c r="CG106" i="13"/>
  <c r="CH106" i="13"/>
  <c r="BT106" i="13"/>
  <c r="CH221" i="13"/>
  <c r="BT221" i="13"/>
  <c r="CH130" i="13"/>
  <c r="CG130" i="13"/>
  <c r="BW123" i="13"/>
  <c r="CL123" i="13"/>
  <c r="BU123" i="13"/>
  <c r="AE123" i="16" s="1"/>
  <c r="CV123" i="13"/>
  <c r="CG160" i="13"/>
  <c r="BT160" i="13"/>
  <c r="CH63" i="13"/>
  <c r="CG63" i="13"/>
  <c r="BT63" i="13"/>
  <c r="CH70" i="13"/>
  <c r="CG70" i="13"/>
  <c r="BT70" i="13"/>
  <c r="BJ89" i="13"/>
  <c r="BJ143" i="13"/>
  <c r="BW88" i="13"/>
  <c r="CL88" i="13"/>
  <c r="BU88" i="13"/>
  <c r="AE88" i="16" s="1"/>
  <c r="CV88" i="13"/>
  <c r="CO81" i="13"/>
  <c r="CH185" i="13"/>
  <c r="BT185" i="13"/>
  <c r="CG185" i="13"/>
  <c r="CG232" i="13"/>
  <c r="CH232" i="13"/>
  <c r="BT232" i="13"/>
  <c r="CG92" i="13"/>
  <c r="CH92" i="13"/>
  <c r="BT92" i="13"/>
  <c r="CO30" i="13"/>
  <c r="CO31" i="13"/>
  <c r="BW194" i="13"/>
  <c r="CV194" i="13"/>
  <c r="CL194" i="13"/>
  <c r="BU194" i="13"/>
  <c r="AE194" i="16" s="1"/>
  <c r="CO84" i="13"/>
  <c r="AJ84" i="16"/>
  <c r="BW126" i="13"/>
  <c r="BU126" i="13"/>
  <c r="AE126" i="16" s="1"/>
  <c r="CL126" i="13"/>
  <c r="CV126" i="13"/>
  <c r="BV171" i="13"/>
  <c r="AF171" i="16" s="1"/>
  <c r="CG213" i="13"/>
  <c r="CH213" i="13"/>
  <c r="BT213" i="13"/>
  <c r="CO210" i="13"/>
  <c r="CO201" i="13"/>
  <c r="BW240" i="13"/>
  <c r="BU240" i="13"/>
  <c r="AE240" i="16" s="1"/>
  <c r="CL240" i="13"/>
  <c r="CV240" i="13"/>
  <c r="CH219" i="13"/>
  <c r="BT219" i="13"/>
  <c r="CG219" i="13"/>
  <c r="CH215" i="13"/>
  <c r="CG215" i="13"/>
  <c r="BT215" i="13"/>
  <c r="CH226" i="13"/>
  <c r="BT226" i="13"/>
  <c r="CG226" i="13"/>
  <c r="CO47" i="13"/>
  <c r="BW172" i="13"/>
  <c r="BU172" i="13"/>
  <c r="AE172" i="16" s="1"/>
  <c r="CL172" i="13"/>
  <c r="CV172" i="13"/>
  <c r="CO121" i="13"/>
  <c r="AJ121" i="16"/>
  <c r="BW147" i="13"/>
  <c r="CL147" i="13"/>
  <c r="BU147" i="13"/>
  <c r="AE147" i="16" s="1"/>
  <c r="CV147" i="13"/>
  <c r="BJ36" i="13"/>
  <c r="BW128" i="13"/>
  <c r="BU128" i="13"/>
  <c r="AE128" i="16" s="1"/>
  <c r="CL128" i="13"/>
  <c r="CV128" i="13"/>
  <c r="CG250" i="13"/>
  <c r="CH250" i="13"/>
  <c r="BV236" i="13"/>
  <c r="AF236" i="16" s="1"/>
  <c r="BW174" i="13"/>
  <c r="CL174" i="13"/>
  <c r="BU174" i="13"/>
  <c r="AE174" i="16" s="1"/>
  <c r="CV174" i="13"/>
  <c r="BT109" i="13"/>
  <c r="CH109" i="13"/>
  <c r="BJ39" i="13"/>
  <c r="BJ103" i="13"/>
  <c r="CH239" i="13"/>
  <c r="CG239" i="13"/>
  <c r="BT239" i="13"/>
  <c r="CH179" i="13"/>
  <c r="BT179" i="13"/>
  <c r="CG179" i="13"/>
  <c r="CO48" i="13"/>
  <c r="BW33" i="13"/>
  <c r="CL33" i="13"/>
  <c r="BU33" i="13"/>
  <c r="AE33" i="16" s="1"/>
  <c r="CV33" i="13"/>
  <c r="CJ236" i="13"/>
  <c r="CO187" i="13"/>
  <c r="BT71" i="13"/>
  <c r="CG71" i="13"/>
  <c r="CH72" i="13"/>
  <c r="CG72" i="13"/>
  <c r="CH173" i="13"/>
  <c r="BT173" i="13"/>
  <c r="CO194" i="13"/>
  <c r="BW84" i="13"/>
  <c r="CL84" i="13"/>
  <c r="BU84" i="13"/>
  <c r="AE84" i="16" s="1"/>
  <c r="CV84" i="13"/>
  <c r="BW247" i="13"/>
  <c r="CL247" i="13"/>
  <c r="BU247" i="13"/>
  <c r="AE247" i="16" s="1"/>
  <c r="BV136" i="13"/>
  <c r="AF136" i="16" s="1"/>
  <c r="CG245" i="13"/>
  <c r="CH245" i="13"/>
  <c r="CH177" i="13"/>
  <c r="BT177" i="13"/>
  <c r="CO77" i="13"/>
  <c r="CO240" i="13"/>
  <c r="BW133" i="13"/>
  <c r="CL133" i="13"/>
  <c r="BU133" i="13"/>
  <c r="AE133" i="16" s="1"/>
  <c r="CV133" i="13"/>
  <c r="BT222" i="13"/>
  <c r="CH222" i="13"/>
  <c r="CH253" i="13"/>
  <c r="CG253" i="13"/>
  <c r="BT253" i="13"/>
  <c r="BT223" i="13"/>
  <c r="CG223" i="13"/>
  <c r="CO64" i="13"/>
  <c r="BW138" i="13"/>
  <c r="BU138" i="13"/>
  <c r="AE138" i="16" s="1"/>
  <c r="CL138" i="13"/>
  <c r="CV138" i="13"/>
  <c r="BT200" i="13"/>
  <c r="BT69" i="13"/>
  <c r="CH69" i="13"/>
  <c r="CG69" i="13"/>
  <c r="CG65" i="13"/>
  <c r="CH65" i="13"/>
  <c r="BT65" i="13"/>
  <c r="BW188" i="13"/>
  <c r="BU188" i="13"/>
  <c r="AE188" i="16" s="1"/>
  <c r="CL188" i="13"/>
  <c r="CV188" i="13"/>
  <c r="CH151" i="13"/>
  <c r="BT151" i="13"/>
  <c r="CG151" i="13"/>
  <c r="CO183" i="13"/>
  <c r="AJ183" i="16"/>
  <c r="BT141" i="13"/>
  <c r="CH141" i="13"/>
  <c r="CG141" i="13"/>
  <c r="CO95" i="13"/>
  <c r="BJ40" i="13"/>
  <c r="BJ104" i="13"/>
  <c r="BV169" i="13"/>
  <c r="AF169" i="16" s="1"/>
  <c r="CO33" i="13"/>
  <c r="CH28" i="13"/>
  <c r="BT28" i="13"/>
  <c r="CH191" i="13"/>
  <c r="BT191" i="13"/>
  <c r="CG191" i="13"/>
  <c r="CP236" i="13"/>
  <c r="CJ171" i="13"/>
  <c r="BW189" i="13"/>
  <c r="CL189" i="13"/>
  <c r="BU189" i="13"/>
  <c r="AE189" i="16" s="1"/>
  <c r="CV189" i="13"/>
  <c r="CO126" i="13"/>
  <c r="CJ13" i="13"/>
  <c r="BT206" i="13"/>
  <c r="CH206" i="13"/>
  <c r="CG166" i="13"/>
  <c r="BT166" i="13"/>
  <c r="CH68" i="13"/>
  <c r="BT68" i="13"/>
  <c r="CG68" i="13"/>
  <c r="CO247" i="13"/>
  <c r="CO140" i="13"/>
  <c r="BW158" i="13"/>
  <c r="CL158" i="13"/>
  <c r="BU158" i="13"/>
  <c r="AE158" i="16" s="1"/>
  <c r="CV158" i="13"/>
  <c r="BW77" i="13"/>
  <c r="BU77" i="13"/>
  <c r="AE77" i="16" s="1"/>
  <c r="CL77" i="13"/>
  <c r="CV77" i="13"/>
  <c r="CH202" i="13"/>
  <c r="CG122" i="13"/>
  <c r="BT122" i="13"/>
  <c r="CH122" i="13"/>
  <c r="CO182" i="13"/>
  <c r="BW190" i="13"/>
  <c r="CL190" i="13"/>
  <c r="BU190" i="13"/>
  <c r="AE190" i="16" s="1"/>
  <c r="CV190" i="13"/>
  <c r="BV13" i="13"/>
  <c r="AF13" i="16" s="1"/>
  <c r="BW94" i="13"/>
  <c r="CL94" i="13"/>
  <c r="BU94" i="13"/>
  <c r="AE94" i="16" s="1"/>
  <c r="CV94" i="13"/>
  <c r="BW121" i="13"/>
  <c r="BU121" i="13"/>
  <c r="AE121" i="16" s="1"/>
  <c r="CL121" i="13"/>
  <c r="CV121" i="13"/>
  <c r="BI228" i="13"/>
  <c r="BI91" i="13"/>
  <c r="CS228" i="13"/>
  <c r="CY228" i="13"/>
  <c r="CU228" i="13"/>
  <c r="CY91" i="13"/>
  <c r="CU91" i="13"/>
  <c r="CS91" i="13"/>
  <c r="CV48" i="13"/>
  <c r="BW48" i="13"/>
  <c r="CL48" i="13"/>
  <c r="CM48" i="13" s="1"/>
  <c r="CI155" i="13" l="1"/>
  <c r="AJ155" i="16" s="1"/>
  <c r="AJ35" i="16"/>
  <c r="AH134" i="16"/>
  <c r="AI104" i="16"/>
  <c r="AD134" i="16"/>
  <c r="AH104" i="16"/>
  <c r="CJ169" i="13"/>
  <c r="AJ182" i="16"/>
  <c r="AJ19" i="16"/>
  <c r="E10" i="20"/>
  <c r="CI194" i="13"/>
  <c r="E194" i="20" s="1"/>
  <c r="CO114" i="13"/>
  <c r="CP114" i="13" s="1"/>
  <c r="CO189" i="13"/>
  <c r="CL129" i="13"/>
  <c r="AJ247" i="16"/>
  <c r="AJ146" i="16"/>
  <c r="AJ81" i="16"/>
  <c r="CI211" i="13"/>
  <c r="E211" i="20" s="1"/>
  <c r="AJ125" i="16"/>
  <c r="AJ174" i="16"/>
  <c r="AH62" i="16"/>
  <c r="CG62" i="13" s="1"/>
  <c r="BU238" i="13"/>
  <c r="AE238" i="16" s="1"/>
  <c r="CI254" i="13"/>
  <c r="E254" i="20" s="1"/>
  <c r="CI190" i="13"/>
  <c r="E190" i="20" s="1"/>
  <c r="CO116" i="13"/>
  <c r="CI196" i="13"/>
  <c r="AJ196" i="16" s="1"/>
  <c r="CO195" i="13"/>
  <c r="CI148" i="13"/>
  <c r="AD39" i="16"/>
  <c r="AI39" i="16"/>
  <c r="CH39" i="13" s="1"/>
  <c r="CI52" i="13"/>
  <c r="E123" i="20"/>
  <c r="AJ123" i="16"/>
  <c r="AJ47" i="16"/>
  <c r="CO190" i="13"/>
  <c r="CO123" i="13"/>
  <c r="CP123" i="13" s="1"/>
  <c r="AH60" i="16"/>
  <c r="CG60" i="13" s="1"/>
  <c r="CP125" i="13"/>
  <c r="G125" i="20" s="1"/>
  <c r="AJ240" i="16"/>
  <c r="AH83" i="16"/>
  <c r="AI83" i="16"/>
  <c r="CI116" i="13"/>
  <c r="E116" i="20" s="1"/>
  <c r="AJ128" i="16"/>
  <c r="AJ11" i="16"/>
  <c r="E196" i="20"/>
  <c r="E161" i="20"/>
  <c r="AJ161" i="16"/>
  <c r="CO196" i="13"/>
  <c r="CP196" i="13" s="1"/>
  <c r="AH23" i="16"/>
  <c r="CO161" i="13"/>
  <c r="CP169" i="13"/>
  <c r="G169" i="20" s="1"/>
  <c r="AJ16" i="16"/>
  <c r="AJ169" i="16"/>
  <c r="AD97" i="16"/>
  <c r="AI97" i="16"/>
  <c r="CH97" i="13" s="1"/>
  <c r="AD62" i="16"/>
  <c r="BT62" i="13" s="1"/>
  <c r="CL62" i="13" s="1"/>
  <c r="AJ30" i="16"/>
  <c r="AJ195" i="16"/>
  <c r="AJ238" i="16"/>
  <c r="E238" i="20"/>
  <c r="AH143" i="16"/>
  <c r="CG143" i="13" s="1"/>
  <c r="AD143" i="16"/>
  <c r="AH89" i="16"/>
  <c r="AI89" i="16"/>
  <c r="CH89" i="13" s="1"/>
  <c r="AJ88" i="16"/>
  <c r="CO238" i="13"/>
  <c r="AJ235" i="16"/>
  <c r="AJ34" i="16"/>
  <c r="AJ55" i="16"/>
  <c r="AJ48" i="16"/>
  <c r="CI158" i="13"/>
  <c r="E158" i="20" s="1"/>
  <c r="AJ33" i="16"/>
  <c r="AJ244" i="16"/>
  <c r="AJ172" i="16"/>
  <c r="AJ162" i="16"/>
  <c r="AJ170" i="16"/>
  <c r="AI23" i="16"/>
  <c r="CH23" i="13" s="1"/>
  <c r="AJ201" i="16"/>
  <c r="CV161" i="13"/>
  <c r="BU161" i="13"/>
  <c r="AE161" i="16" s="1"/>
  <c r="E155" i="20"/>
  <c r="CL161" i="13"/>
  <c r="AJ126" i="16"/>
  <c r="AJ147" i="16"/>
  <c r="AH205" i="16"/>
  <c r="CG205" i="13" s="1"/>
  <c r="AD205" i="16"/>
  <c r="AJ82" i="16"/>
  <c r="AJ26" i="16"/>
  <c r="AI96" i="16"/>
  <c r="CH96" i="13" s="1"/>
  <c r="CO234" i="13"/>
  <c r="AJ194" i="16"/>
  <c r="AD96" i="16"/>
  <c r="BT96" i="13" s="1"/>
  <c r="AJ12" i="16"/>
  <c r="E189" i="20"/>
  <c r="AD86" i="16"/>
  <c r="BT86" i="13" s="1"/>
  <c r="AJ75" i="16"/>
  <c r="E22" i="20"/>
  <c r="AH86" i="16"/>
  <c r="CG86" i="13" s="1"/>
  <c r="CI86" i="13" s="1"/>
  <c r="E86" i="20" s="1"/>
  <c r="AJ237" i="16"/>
  <c r="CI234" i="13"/>
  <c r="AH87" i="16"/>
  <c r="CG87" i="13" s="1"/>
  <c r="CI203" i="13"/>
  <c r="AJ203" i="16" s="1"/>
  <c r="AI87" i="16"/>
  <c r="CH87" i="13" s="1"/>
  <c r="AJ94" i="16"/>
  <c r="AJ127" i="16"/>
  <c r="AH78" i="16"/>
  <c r="CG78" i="13" s="1"/>
  <c r="AD78" i="16"/>
  <c r="BT78" i="13" s="1"/>
  <c r="AJ114" i="16"/>
  <c r="AJ77" i="16"/>
  <c r="AI231" i="16"/>
  <c r="CH231" i="13" s="1"/>
  <c r="AJ211" i="16"/>
  <c r="AH231" i="16"/>
  <c r="CG231" i="13" s="1"/>
  <c r="AJ152" i="16"/>
  <c r="CI57" i="13"/>
  <c r="E57" i="20" s="1"/>
  <c r="AJ188" i="16"/>
  <c r="AD103" i="16"/>
  <c r="BT103" i="13" s="1"/>
  <c r="AI103" i="16"/>
  <c r="CH103" i="13" s="1"/>
  <c r="AH164" i="16"/>
  <c r="CG164" i="13" s="1"/>
  <c r="AD164" i="16"/>
  <c r="BT164" i="13" s="1"/>
  <c r="CI62" i="13"/>
  <c r="E62" i="20" s="1"/>
  <c r="AJ95" i="16"/>
  <c r="AJ198" i="16"/>
  <c r="AH59" i="16"/>
  <c r="CI90" i="13"/>
  <c r="AJ90" i="16" s="1"/>
  <c r="AI59" i="16"/>
  <c r="AJ157" i="16"/>
  <c r="AD60" i="16"/>
  <c r="BT60" i="13" s="1"/>
  <c r="AB91" i="16"/>
  <c r="AI91" i="16" s="1"/>
  <c r="K91" i="23"/>
  <c r="CI92" i="13"/>
  <c r="AJ92" i="16" s="1"/>
  <c r="CI106" i="13"/>
  <c r="AJ106" i="16" s="1"/>
  <c r="CI166" i="13"/>
  <c r="AJ166" i="16" s="1"/>
  <c r="CI173" i="13"/>
  <c r="E173" i="20" s="1"/>
  <c r="CI232" i="13"/>
  <c r="E232" i="20" s="1"/>
  <c r="CI76" i="13"/>
  <c r="AJ76" i="16" s="1"/>
  <c r="CI214" i="13"/>
  <c r="E214" i="20" s="1"/>
  <c r="AB228" i="16"/>
  <c r="AD228" i="16" s="1"/>
  <c r="K228" i="23"/>
  <c r="CI193" i="13"/>
  <c r="E193" i="20" s="1"/>
  <c r="CI216" i="13"/>
  <c r="E216" i="20" s="1"/>
  <c r="G236" i="20"/>
  <c r="F236" i="23"/>
  <c r="G236" i="23" s="1"/>
  <c r="G139" i="20"/>
  <c r="F139" i="23"/>
  <c r="G139" i="23" s="1"/>
  <c r="CI180" i="13"/>
  <c r="E180" i="20" s="1"/>
  <c r="CI230" i="13"/>
  <c r="E230" i="20" s="1"/>
  <c r="G171" i="20"/>
  <c r="F171" i="23"/>
  <c r="G171" i="23" s="1"/>
  <c r="CI141" i="13"/>
  <c r="AJ141" i="16" s="1"/>
  <c r="G136" i="20"/>
  <c r="F136" i="23"/>
  <c r="G136" i="23" s="1"/>
  <c r="CI50" i="13"/>
  <c r="E50" i="20" s="1"/>
  <c r="G13" i="20"/>
  <c r="F13" i="23"/>
  <c r="G13" i="23" s="1"/>
  <c r="E153" i="20"/>
  <c r="AJ145" i="16"/>
  <c r="G154" i="20"/>
  <c r="F154" i="23"/>
  <c r="G154" i="23" s="1"/>
  <c r="AJ210" i="16"/>
  <c r="CI176" i="13"/>
  <c r="E176" i="20" s="1"/>
  <c r="CI227" i="13"/>
  <c r="E227" i="20" s="1"/>
  <c r="CI24" i="13"/>
  <c r="AJ24" i="16" s="1"/>
  <c r="CI74" i="13"/>
  <c r="E74" i="20" s="1"/>
  <c r="CI102" i="13"/>
  <c r="E102" i="20" s="1"/>
  <c r="CI111" i="13"/>
  <c r="AJ111" i="16" s="1"/>
  <c r="AJ218" i="16"/>
  <c r="CI113" i="13"/>
  <c r="E113" i="20" s="1"/>
  <c r="CI122" i="13"/>
  <c r="E122" i="20" s="1"/>
  <c r="CI72" i="13"/>
  <c r="E72" i="20" s="1"/>
  <c r="CI29" i="13"/>
  <c r="AJ29" i="16" s="1"/>
  <c r="CI79" i="13"/>
  <c r="E79" i="20" s="1"/>
  <c r="CI215" i="13"/>
  <c r="E215" i="20" s="1"/>
  <c r="CI246" i="13"/>
  <c r="E246" i="20" s="1"/>
  <c r="CI206" i="13"/>
  <c r="E206" i="20" s="1"/>
  <c r="CI200" i="13"/>
  <c r="E200" i="20" s="1"/>
  <c r="CI70" i="13"/>
  <c r="E70" i="20" s="1"/>
  <c r="CI130" i="13"/>
  <c r="E130" i="20" s="1"/>
  <c r="CI249" i="13"/>
  <c r="E249" i="20" s="1"/>
  <c r="CI191" i="13"/>
  <c r="E191" i="20" s="1"/>
  <c r="CI179" i="13"/>
  <c r="E179" i="20" s="1"/>
  <c r="CI108" i="13"/>
  <c r="AJ108" i="16" s="1"/>
  <c r="CI32" i="13"/>
  <c r="E32" i="20" s="1"/>
  <c r="CI245" i="13"/>
  <c r="E245" i="20" s="1"/>
  <c r="CI63" i="13"/>
  <c r="E63" i="20" s="1"/>
  <c r="CI181" i="13"/>
  <c r="E181" i="20" s="1"/>
  <c r="CI65" i="13"/>
  <c r="E65" i="20" s="1"/>
  <c r="CI69" i="13"/>
  <c r="AJ69" i="16" s="1"/>
  <c r="CI221" i="13"/>
  <c r="E221" i="20" s="1"/>
  <c r="CI248" i="13"/>
  <c r="E248" i="20" s="1"/>
  <c r="CI151" i="13"/>
  <c r="E151" i="20" s="1"/>
  <c r="CI192" i="13"/>
  <c r="E192" i="20" s="1"/>
  <c r="CI220" i="13"/>
  <c r="AJ220" i="16" s="1"/>
  <c r="CI253" i="13"/>
  <c r="E253" i="20" s="1"/>
  <c r="CI160" i="13"/>
  <c r="E160" i="20" s="1"/>
  <c r="CI204" i="13"/>
  <c r="E204" i="20" s="1"/>
  <c r="CI73" i="13"/>
  <c r="E73" i="20" s="1"/>
  <c r="CI66" i="13"/>
  <c r="E66" i="20" s="1"/>
  <c r="CI98" i="13"/>
  <c r="E98" i="20" s="1"/>
  <c r="CO142" i="13"/>
  <c r="CI142" i="13"/>
  <c r="E142" i="20" s="1"/>
  <c r="AJ140" i="16"/>
  <c r="CI54" i="13"/>
  <c r="E54" i="20" s="1"/>
  <c r="CI165" i="13"/>
  <c r="E165" i="20" s="1"/>
  <c r="E52" i="20"/>
  <c r="E148" i="20"/>
  <c r="CI222" i="13"/>
  <c r="E222" i="20" s="1"/>
  <c r="CI109" i="13"/>
  <c r="E109" i="20" s="1"/>
  <c r="CI219" i="13"/>
  <c r="E219" i="20" s="1"/>
  <c r="CI213" i="13"/>
  <c r="E213" i="20" s="1"/>
  <c r="E76" i="20"/>
  <c r="CI159" i="13"/>
  <c r="E159" i="20" s="1"/>
  <c r="CI178" i="13"/>
  <c r="E178" i="20" s="1"/>
  <c r="CI252" i="13"/>
  <c r="E252" i="20" s="1"/>
  <c r="CI80" i="13"/>
  <c r="E80" i="20" s="1"/>
  <c r="CI25" i="13"/>
  <c r="E25" i="20" s="1"/>
  <c r="CI212" i="13"/>
  <c r="E212" i="20" s="1"/>
  <c r="CI177" i="13"/>
  <c r="E177" i="20" s="1"/>
  <c r="CI185" i="13"/>
  <c r="E185" i="20" s="1"/>
  <c r="CI229" i="13"/>
  <c r="E229" i="20" s="1"/>
  <c r="CI110" i="13"/>
  <c r="E110" i="20" s="1"/>
  <c r="CI202" i="13"/>
  <c r="AJ202" i="16" s="1"/>
  <c r="CI68" i="13"/>
  <c r="E68" i="20" s="1"/>
  <c r="AJ64" i="16"/>
  <c r="CI71" i="13"/>
  <c r="E71" i="20" s="1"/>
  <c r="CI156" i="13"/>
  <c r="E156" i="20" s="1"/>
  <c r="CI251" i="13"/>
  <c r="AJ251" i="16" s="1"/>
  <c r="AJ3" i="16"/>
  <c r="E3" i="20"/>
  <c r="CI6" i="13"/>
  <c r="E6" i="20" s="1"/>
  <c r="CI250" i="13"/>
  <c r="E250" i="20" s="1"/>
  <c r="AJ31" i="16"/>
  <c r="CI43" i="13"/>
  <c r="E43" i="20" s="1"/>
  <c r="CO243" i="13"/>
  <c r="CI243" i="13"/>
  <c r="E243" i="20" s="1"/>
  <c r="CI223" i="13"/>
  <c r="E223" i="20" s="1"/>
  <c r="CO120" i="13"/>
  <c r="CI120" i="13"/>
  <c r="E120" i="20" s="1"/>
  <c r="CI67" i="13"/>
  <c r="E67" i="20" s="1"/>
  <c r="CI28" i="13"/>
  <c r="E28" i="20" s="1"/>
  <c r="CI239" i="13"/>
  <c r="E239" i="20" s="1"/>
  <c r="CI226" i="13"/>
  <c r="E226" i="20" s="1"/>
  <c r="CI163" i="13"/>
  <c r="E163" i="20" s="1"/>
  <c r="CI217" i="13"/>
  <c r="E217" i="20" s="1"/>
  <c r="CI112" i="13"/>
  <c r="E112" i="20" s="1"/>
  <c r="CI20" i="13"/>
  <c r="E20" i="20" s="1"/>
  <c r="CO107" i="13"/>
  <c r="CI9" i="13"/>
  <c r="E9" i="20" s="1"/>
  <c r="CI27" i="13"/>
  <c r="E27" i="20" s="1"/>
  <c r="CI7" i="13"/>
  <c r="AJ7" i="16" s="1"/>
  <c r="CI37" i="13"/>
  <c r="E37" i="20" s="1"/>
  <c r="CI115" i="13"/>
  <c r="E115" i="20" s="1"/>
  <c r="CI167" i="13"/>
  <c r="E167" i="20" s="1"/>
  <c r="CI21" i="13"/>
  <c r="E21" i="20" s="1"/>
  <c r="CI107" i="13"/>
  <c r="E107" i="20" s="1"/>
  <c r="AK13" i="16"/>
  <c r="F13" i="20"/>
  <c r="AK139" i="16"/>
  <c r="F139" i="20"/>
  <c r="AK236" i="16"/>
  <c r="F236" i="20"/>
  <c r="AK136" i="16"/>
  <c r="F136" i="20"/>
  <c r="AK169" i="16"/>
  <c r="F169" i="20"/>
  <c r="AK171" i="16"/>
  <c r="F171" i="20"/>
  <c r="AK154" i="16"/>
  <c r="F154" i="20"/>
  <c r="CP198" i="13"/>
  <c r="BV150" i="13"/>
  <c r="AF150" i="16" s="1"/>
  <c r="CM150" i="13"/>
  <c r="CP153" i="13"/>
  <c r="CP170" i="13"/>
  <c r="CO32" i="13"/>
  <c r="CP12" i="13"/>
  <c r="CO29" i="13"/>
  <c r="CP11" i="13"/>
  <c r="CM218" i="13"/>
  <c r="CL32" i="13"/>
  <c r="CM32" i="13" s="1"/>
  <c r="BV218" i="13"/>
  <c r="AF218" i="16" s="1"/>
  <c r="BU21" i="13"/>
  <c r="AE21" i="16" s="1"/>
  <c r="CL21" i="13"/>
  <c r="CO67" i="13"/>
  <c r="CJ170" i="13"/>
  <c r="CJ198" i="13"/>
  <c r="CO27" i="13"/>
  <c r="CJ11" i="13"/>
  <c r="BW21" i="13"/>
  <c r="CJ125" i="13"/>
  <c r="CO6" i="13"/>
  <c r="CT154" i="13"/>
  <c r="CZ154" i="13"/>
  <c r="CJ12" i="13"/>
  <c r="CO148" i="13"/>
  <c r="CO9" i="13"/>
  <c r="CO7" i="13"/>
  <c r="CO52" i="13"/>
  <c r="CO79" i="13"/>
  <c r="CV165" i="13"/>
  <c r="BU165" i="13"/>
  <c r="AE165" i="16" s="1"/>
  <c r="CL165" i="13"/>
  <c r="CO21" i="13"/>
  <c r="CM12" i="13"/>
  <c r="BU9" i="13"/>
  <c r="AE9" i="16" s="1"/>
  <c r="CL9" i="13"/>
  <c r="CV9" i="13"/>
  <c r="BW9" i="13"/>
  <c r="CJ15" i="13"/>
  <c r="BV35" i="13"/>
  <c r="AF35" i="16" s="1"/>
  <c r="BV237" i="13"/>
  <c r="AF237" i="16" s="1"/>
  <c r="BV157" i="13"/>
  <c r="AF157" i="16" s="1"/>
  <c r="BT225" i="13"/>
  <c r="CH225" i="13"/>
  <c r="CG225" i="13"/>
  <c r="CV79" i="13"/>
  <c r="BV145" i="13"/>
  <c r="AF145" i="16" s="1"/>
  <c r="BV170" i="13"/>
  <c r="AF170" i="16" s="1"/>
  <c r="CO108" i="13"/>
  <c r="BV54" i="13"/>
  <c r="AF54" i="16" s="1"/>
  <c r="BU79" i="13"/>
  <c r="AE79" i="16" s="1"/>
  <c r="CJ157" i="13"/>
  <c r="BV10" i="13"/>
  <c r="AF10" i="16" s="1"/>
  <c r="BV25" i="13"/>
  <c r="AF25" i="16" s="1"/>
  <c r="CJ18" i="13"/>
  <c r="BV32" i="13"/>
  <c r="AF32" i="16" s="1"/>
  <c r="BW108" i="13"/>
  <c r="CV108" i="13"/>
  <c r="BU108" i="13"/>
  <c r="AE108" i="16" s="1"/>
  <c r="CL108" i="13"/>
  <c r="BV153" i="13"/>
  <c r="AF153" i="16" s="1"/>
  <c r="CL79" i="13"/>
  <c r="CJ35" i="13"/>
  <c r="BV127" i="13"/>
  <c r="AF127" i="16" s="1"/>
  <c r="CJ10" i="13"/>
  <c r="CM153" i="13"/>
  <c r="CG89" i="13"/>
  <c r="BV14" i="13"/>
  <c r="AF14" i="16" s="1"/>
  <c r="CJ145" i="13"/>
  <c r="CJ19" i="13"/>
  <c r="CG23" i="13"/>
  <c r="BV149" i="13"/>
  <c r="AF149" i="16" s="1"/>
  <c r="CJ26" i="13"/>
  <c r="CJ153" i="13"/>
  <c r="BV26" i="13"/>
  <c r="AF26" i="16" s="1"/>
  <c r="BW18" i="13"/>
  <c r="CL18" i="13"/>
  <c r="CV18" i="13"/>
  <c r="BU18" i="13"/>
  <c r="AE18" i="16" s="1"/>
  <c r="BT231" i="13"/>
  <c r="BV125" i="13"/>
  <c r="AF125" i="16" s="1"/>
  <c r="CJ14" i="13"/>
  <c r="CJ218" i="13"/>
  <c r="CM16" i="13"/>
  <c r="CV19" i="13"/>
  <c r="BW19" i="13"/>
  <c r="BU19" i="13"/>
  <c r="AE19" i="16" s="1"/>
  <c r="CL19" i="13"/>
  <c r="CV7" i="13"/>
  <c r="BW7" i="13"/>
  <c r="CL7" i="13"/>
  <c r="BU7" i="13"/>
  <c r="AE7" i="16" s="1"/>
  <c r="BV15" i="13"/>
  <c r="AF15" i="16" s="1"/>
  <c r="BV11" i="13"/>
  <c r="AF11" i="16" s="1"/>
  <c r="CJ237" i="13"/>
  <c r="CP127" i="13"/>
  <c r="CP197" i="13"/>
  <c r="CH60" i="13"/>
  <c r="BV12" i="13"/>
  <c r="AF12" i="16" s="1"/>
  <c r="BV16" i="13"/>
  <c r="AF16" i="16" s="1"/>
  <c r="BW32" i="13"/>
  <c r="CV32" i="13"/>
  <c r="CV29" i="13"/>
  <c r="BU29" i="13"/>
  <c r="AE29" i="16" s="1"/>
  <c r="CJ16" i="13"/>
  <c r="CP157" i="13"/>
  <c r="G15" i="20"/>
  <c r="CL29" i="13"/>
  <c r="CP34" i="13"/>
  <c r="CP19" i="13"/>
  <c r="CM15" i="13"/>
  <c r="CP35" i="13"/>
  <c r="CP18" i="13"/>
  <c r="CP26" i="13"/>
  <c r="CM34" i="13"/>
  <c r="CM157" i="13"/>
  <c r="CM26" i="13"/>
  <c r="CM35" i="13"/>
  <c r="CP16" i="13"/>
  <c r="BT23" i="13"/>
  <c r="CO25" i="13"/>
  <c r="CO37" i="13"/>
  <c r="CL37" i="13"/>
  <c r="CV25" i="13"/>
  <c r="BU37" i="13"/>
  <c r="AE37" i="16" s="1"/>
  <c r="BW25" i="13"/>
  <c r="CL25" i="13"/>
  <c r="CM25" i="13" s="1"/>
  <c r="BW37" i="13"/>
  <c r="CO80" i="13"/>
  <c r="CM10" i="13"/>
  <c r="CV142" i="13"/>
  <c r="CJ17" i="13"/>
  <c r="CO17" i="13"/>
  <c r="CP17" i="13" s="1"/>
  <c r="BU17" i="13"/>
  <c r="AE17" i="16" s="1"/>
  <c r="BW17" i="13"/>
  <c r="CL17" i="13"/>
  <c r="CM17" i="13" s="1"/>
  <c r="CV17" i="13"/>
  <c r="BU62" i="13"/>
  <c r="AE62" i="16" s="1"/>
  <c r="CO62" i="13"/>
  <c r="BU80" i="13"/>
  <c r="AE80" i="16" s="1"/>
  <c r="CL142" i="13"/>
  <c r="BU142" i="13"/>
  <c r="AE142" i="16" s="1"/>
  <c r="CV107" i="13"/>
  <c r="CV80" i="13"/>
  <c r="CL107" i="13"/>
  <c r="CM107" i="13" s="1"/>
  <c r="BW107" i="13"/>
  <c r="CL80" i="13"/>
  <c r="CV98" i="13"/>
  <c r="CL98" i="13"/>
  <c r="CM98" i="13" s="1"/>
  <c r="BW98" i="13"/>
  <c r="AJ107" i="16"/>
  <c r="CL120" i="13"/>
  <c r="CP152" i="13"/>
  <c r="CV3" i="13"/>
  <c r="CP10" i="13"/>
  <c r="CG105" i="13"/>
  <c r="CG117" i="13"/>
  <c r="BT117" i="13"/>
  <c r="BW117" i="13" s="1"/>
  <c r="BU120" i="13"/>
  <c r="AE120" i="16" s="1"/>
  <c r="BW120" i="13"/>
  <c r="BT44" i="13"/>
  <c r="BW44" i="13" s="1"/>
  <c r="CO98" i="13"/>
  <c r="CH44" i="13"/>
  <c r="CO44" i="13" s="1"/>
  <c r="CM152" i="13"/>
  <c r="CO3" i="13"/>
  <c r="CP3" i="13" s="1"/>
  <c r="BT105" i="13"/>
  <c r="CV105" i="13" s="1"/>
  <c r="BW3" i="13"/>
  <c r="AJ98" i="16"/>
  <c r="BU3" i="13"/>
  <c r="AE3" i="16" s="1"/>
  <c r="CH41" i="13"/>
  <c r="CH144" i="13"/>
  <c r="BT144" i="13"/>
  <c r="CH61" i="13"/>
  <c r="CG61" i="13"/>
  <c r="BT61" i="13"/>
  <c r="BT184" i="13"/>
  <c r="BV152" i="13"/>
  <c r="AF152" i="16" s="1"/>
  <c r="CJ152" i="13"/>
  <c r="BT38" i="13"/>
  <c r="CH38" i="13"/>
  <c r="CG38" i="13"/>
  <c r="CG8" i="13"/>
  <c r="BT41" i="13"/>
  <c r="CL41" i="13" s="1"/>
  <c r="BT135" i="13"/>
  <c r="CH135" i="13"/>
  <c r="CG135" i="13"/>
  <c r="BU6" i="13"/>
  <c r="AE6" i="16" s="1"/>
  <c r="CV110" i="13"/>
  <c r="CV6" i="13"/>
  <c r="BU110" i="13"/>
  <c r="AE110" i="16" s="1"/>
  <c r="CL110" i="13"/>
  <c r="CL6" i="13"/>
  <c r="CM170" i="13"/>
  <c r="CP218" i="13"/>
  <c r="CJ197" i="13"/>
  <c r="CO110" i="13"/>
  <c r="CM197" i="13"/>
  <c r="BW67" i="13"/>
  <c r="AJ148" i="16"/>
  <c r="BV197" i="13"/>
  <c r="AF197" i="16" s="1"/>
  <c r="CJ127" i="13"/>
  <c r="CL67" i="13"/>
  <c r="CM67" i="13" s="1"/>
  <c r="CV67" i="13"/>
  <c r="CM127" i="13"/>
  <c r="CM125" i="13"/>
  <c r="CV52" i="13"/>
  <c r="BU52" i="13"/>
  <c r="AE52" i="16" s="1"/>
  <c r="CL52" i="13"/>
  <c r="BU243" i="13"/>
  <c r="AE243" i="16" s="1"/>
  <c r="CL243" i="13"/>
  <c r="BW243" i="13"/>
  <c r="AJ52" i="16"/>
  <c r="CO165" i="13"/>
  <c r="CM11" i="13"/>
  <c r="BW27" i="13"/>
  <c r="CV27" i="13"/>
  <c r="CL27" i="13"/>
  <c r="CM27" i="13" s="1"/>
  <c r="CV148" i="13"/>
  <c r="CM145" i="13"/>
  <c r="BU148" i="13"/>
  <c r="AE148" i="16" s="1"/>
  <c r="BW148" i="13"/>
  <c r="CP145" i="13"/>
  <c r="CP14" i="13"/>
  <c r="CP237" i="13"/>
  <c r="BV34" i="13"/>
  <c r="AF34" i="16" s="1"/>
  <c r="BT124" i="13"/>
  <c r="CH124" i="13"/>
  <c r="CG124" i="13"/>
  <c r="CM14" i="13"/>
  <c r="CM237" i="13"/>
  <c r="CM149" i="13"/>
  <c r="CJ34" i="13"/>
  <c r="BT205" i="13"/>
  <c r="CH205" i="13"/>
  <c r="CH5" i="13"/>
  <c r="CG5" i="13"/>
  <c r="BT5" i="13"/>
  <c r="CV20" i="13"/>
  <c r="BW20" i="13"/>
  <c r="BU20" i="13"/>
  <c r="AE20" i="16" s="1"/>
  <c r="CL20" i="13"/>
  <c r="CO20" i="13"/>
  <c r="CP211" i="13"/>
  <c r="CM211" i="13"/>
  <c r="CJ211" i="13"/>
  <c r="BV211" i="13"/>
  <c r="AF211" i="16" s="1"/>
  <c r="CV212" i="13"/>
  <c r="CL212" i="13"/>
  <c r="BU212" i="13"/>
  <c r="AE212" i="16" s="1"/>
  <c r="CO212" i="13"/>
  <c r="CP45" i="13"/>
  <c r="CP75" i="13"/>
  <c r="CM123" i="13"/>
  <c r="CP47" i="13"/>
  <c r="CP30" i="13"/>
  <c r="CM30" i="13"/>
  <c r="CM186" i="13"/>
  <c r="CM33" i="13"/>
  <c r="CP55" i="13"/>
  <c r="CP146" i="13"/>
  <c r="CP121" i="13"/>
  <c r="CP129" i="13"/>
  <c r="CP126" i="13"/>
  <c r="CM121" i="13"/>
  <c r="CM126" i="13"/>
  <c r="CP84" i="13"/>
  <c r="CM196" i="13"/>
  <c r="CM195" i="13"/>
  <c r="CM137" i="13"/>
  <c r="CM140" i="13"/>
  <c r="CP182" i="13"/>
  <c r="CM158" i="13"/>
  <c r="CM247" i="13"/>
  <c r="CM147" i="13"/>
  <c r="CM210" i="13"/>
  <c r="G208" i="20"/>
  <c r="CM114" i="13"/>
  <c r="CP201" i="13"/>
  <c r="CM175" i="13"/>
  <c r="CM235" i="13"/>
  <c r="CM240" i="13"/>
  <c r="CM64" i="13"/>
  <c r="CM234" i="13"/>
  <c r="CM146" i="13"/>
  <c r="CM88" i="13"/>
  <c r="CM75" i="13"/>
  <c r="CM116" i="13"/>
  <c r="CM45" i="13"/>
  <c r="CM172" i="13"/>
  <c r="CM138" i="13"/>
  <c r="CM183" i="13"/>
  <c r="CP183" i="13"/>
  <c r="CP82" i="13"/>
  <c r="CP46" i="13"/>
  <c r="CP48" i="13"/>
  <c r="CP172" i="13"/>
  <c r="CP88" i="13"/>
  <c r="CP240" i="13"/>
  <c r="CP189" i="13"/>
  <c r="CP155" i="13"/>
  <c r="CP187" i="13"/>
  <c r="CP161" i="13"/>
  <c r="CP194" i="13"/>
  <c r="CP33" i="13"/>
  <c r="CP186" i="13"/>
  <c r="CP138" i="13"/>
  <c r="CP247" i="13"/>
  <c r="CP210" i="13"/>
  <c r="CP133" i="13"/>
  <c r="CP234" i="13"/>
  <c r="CP175" i="13"/>
  <c r="F175" i="23" s="1"/>
  <c r="G175" i="23" s="1"/>
  <c r="BV94" i="13"/>
  <c r="AF94" i="16" s="1"/>
  <c r="CJ140" i="13"/>
  <c r="BV189" i="13"/>
  <c r="AF189" i="16" s="1"/>
  <c r="CJ95" i="13"/>
  <c r="CO239" i="13"/>
  <c r="CO215" i="13"/>
  <c r="CJ31" i="13"/>
  <c r="BW253" i="13"/>
  <c r="CL253" i="13"/>
  <c r="BU253" i="13"/>
  <c r="AE253" i="16" s="1"/>
  <c r="CV253" i="13"/>
  <c r="CJ77" i="13"/>
  <c r="CO177" i="13"/>
  <c r="AJ177" i="16"/>
  <c r="CZ136" i="13"/>
  <c r="CT136" i="13"/>
  <c r="CM84" i="13"/>
  <c r="BV84" i="13"/>
  <c r="AF84" i="16" s="1"/>
  <c r="BW72" i="13"/>
  <c r="CL72" i="13"/>
  <c r="BU72" i="13"/>
  <c r="AE72" i="16" s="1"/>
  <c r="CV72" i="13"/>
  <c r="CJ238" i="13"/>
  <c r="BW92" i="13"/>
  <c r="BU92" i="13"/>
  <c r="AE92" i="16" s="1"/>
  <c r="CL92" i="13"/>
  <c r="CV92" i="13"/>
  <c r="CJ81" i="13"/>
  <c r="CO221" i="13"/>
  <c r="CJ162" i="13"/>
  <c r="BW203" i="13"/>
  <c r="BU203" i="13"/>
  <c r="AE203" i="16" s="1"/>
  <c r="CL203" i="13"/>
  <c r="CV203" i="13"/>
  <c r="CO248" i="13"/>
  <c r="CO193" i="13"/>
  <c r="CO163" i="13"/>
  <c r="BW216" i="13"/>
  <c r="BU216" i="13"/>
  <c r="AE216" i="16" s="1"/>
  <c r="CL216" i="13"/>
  <c r="CV216" i="13"/>
  <c r="CO50" i="13"/>
  <c r="CJ128" i="13"/>
  <c r="CH164" i="13"/>
  <c r="CO251" i="13"/>
  <c r="BW230" i="13"/>
  <c r="CL230" i="13"/>
  <c r="BU230" i="13"/>
  <c r="AE230" i="16" s="1"/>
  <c r="CV230" i="13"/>
  <c r="CO249" i="13"/>
  <c r="BW254" i="13"/>
  <c r="CL254" i="13"/>
  <c r="BU254" i="13"/>
  <c r="AE254" i="16" s="1"/>
  <c r="CV254" i="13"/>
  <c r="BW252" i="13"/>
  <c r="BU252" i="13"/>
  <c r="AE252" i="16" s="1"/>
  <c r="CL252" i="13"/>
  <c r="CJ46" i="13"/>
  <c r="BV188" i="13"/>
  <c r="AF188" i="16" s="1"/>
  <c r="CO92" i="13"/>
  <c r="CO191" i="13"/>
  <c r="AJ191" i="16"/>
  <c r="BW141" i="13"/>
  <c r="CL141" i="13"/>
  <c r="BU141" i="13"/>
  <c r="AE141" i="16" s="1"/>
  <c r="CV141" i="13"/>
  <c r="BW202" i="13"/>
  <c r="CL202" i="13"/>
  <c r="BU202" i="13"/>
  <c r="AE202" i="16" s="1"/>
  <c r="CV202" i="13"/>
  <c r="CM77" i="13"/>
  <c r="CO166" i="13"/>
  <c r="CJ161" i="13"/>
  <c r="BW191" i="13"/>
  <c r="CL191" i="13"/>
  <c r="BU191" i="13"/>
  <c r="AE191" i="16" s="1"/>
  <c r="CV191" i="13"/>
  <c r="CJ33" i="13"/>
  <c r="BV27" i="13"/>
  <c r="AF27" i="16" s="1"/>
  <c r="CH104" i="13"/>
  <c r="CG104" i="13"/>
  <c r="BT104" i="13"/>
  <c r="CJ183" i="13"/>
  <c r="CM188" i="13"/>
  <c r="BW69" i="13"/>
  <c r="CL69" i="13"/>
  <c r="BU69" i="13"/>
  <c r="AE69" i="16" s="1"/>
  <c r="CV69" i="13"/>
  <c r="BV138" i="13"/>
  <c r="AF138" i="16" s="1"/>
  <c r="CO253" i="13"/>
  <c r="CP77" i="13"/>
  <c r="CJ194" i="13"/>
  <c r="CO72" i="13"/>
  <c r="BW239" i="13"/>
  <c r="CL239" i="13"/>
  <c r="BU239" i="13"/>
  <c r="AE239" i="16" s="1"/>
  <c r="CV239" i="13"/>
  <c r="CG103" i="13"/>
  <c r="BW250" i="13"/>
  <c r="BU250" i="13"/>
  <c r="AE250" i="16" s="1"/>
  <c r="CL250" i="13"/>
  <c r="CV250" i="13"/>
  <c r="CG36" i="13"/>
  <c r="CH36" i="13"/>
  <c r="BT36" i="13"/>
  <c r="CJ121" i="13"/>
  <c r="CP238" i="13"/>
  <c r="BW215" i="13"/>
  <c r="CL215" i="13"/>
  <c r="BU215" i="13"/>
  <c r="AE215" i="16" s="1"/>
  <c r="CV215" i="13"/>
  <c r="CO213" i="13"/>
  <c r="CZ171" i="13"/>
  <c r="CT171" i="13"/>
  <c r="CP81" i="13"/>
  <c r="BW70" i="13"/>
  <c r="CL70" i="13"/>
  <c r="BU70" i="13"/>
  <c r="AE70" i="16" s="1"/>
  <c r="CV70" i="13"/>
  <c r="BW106" i="13"/>
  <c r="CL106" i="13"/>
  <c r="BU106" i="13"/>
  <c r="AE106" i="16" s="1"/>
  <c r="CV106" i="13"/>
  <c r="CJ172" i="13"/>
  <c r="CO54" i="13"/>
  <c r="CP162" i="13"/>
  <c r="CG96" i="13"/>
  <c r="BV75" i="13"/>
  <c r="AF75" i="16" s="1"/>
  <c r="BV234" i="13"/>
  <c r="AF234" i="16" s="1"/>
  <c r="CJ186" i="13"/>
  <c r="BV196" i="13"/>
  <c r="AF196" i="16" s="1"/>
  <c r="BV30" i="13"/>
  <c r="AF30" i="16" s="1"/>
  <c r="BW57" i="13"/>
  <c r="CL57" i="13"/>
  <c r="CV57" i="13"/>
  <c r="BU57" i="13"/>
  <c r="AE57" i="16" s="1"/>
  <c r="BW163" i="13"/>
  <c r="CL163" i="13"/>
  <c r="BU163" i="13"/>
  <c r="CV163" i="13"/>
  <c r="BV186" i="13"/>
  <c r="AF186" i="16" s="1"/>
  <c r="BW102" i="13"/>
  <c r="BU102" i="13"/>
  <c r="AE102" i="16" s="1"/>
  <c r="CL102" i="13"/>
  <c r="CV102" i="13"/>
  <c r="BW73" i="13"/>
  <c r="CL73" i="13"/>
  <c r="BU73" i="13"/>
  <c r="AE73" i="16" s="1"/>
  <c r="CV73" i="13"/>
  <c r="CP128" i="13"/>
  <c r="BV175" i="13"/>
  <c r="AF175" i="16" s="1"/>
  <c r="CM182" i="13"/>
  <c r="BW181" i="13"/>
  <c r="CL181" i="13"/>
  <c r="BU181" i="13"/>
  <c r="AE181" i="16" s="1"/>
  <c r="CV181" i="13"/>
  <c r="CO252" i="13"/>
  <c r="BW115" i="13"/>
  <c r="BU115" i="13"/>
  <c r="AE115" i="16" s="1"/>
  <c r="CL115" i="13"/>
  <c r="CV115" i="13"/>
  <c r="BW90" i="13"/>
  <c r="CL90" i="13"/>
  <c r="BU90" i="13"/>
  <c r="AE90" i="16" s="1"/>
  <c r="CV90" i="13"/>
  <c r="CJ22" i="13"/>
  <c r="CM94" i="13"/>
  <c r="CJ182" i="13"/>
  <c r="BW86" i="13"/>
  <c r="BU86" i="13"/>
  <c r="AE86" i="16" s="1"/>
  <c r="CL86" i="13"/>
  <c r="CV86" i="13"/>
  <c r="CP140" i="13"/>
  <c r="CO206" i="13"/>
  <c r="CJ114" i="13"/>
  <c r="CM189" i="13"/>
  <c r="BW28" i="13"/>
  <c r="BU28" i="13"/>
  <c r="AE28" i="16" s="1"/>
  <c r="CL28" i="13"/>
  <c r="CV28" i="13"/>
  <c r="CH40" i="13"/>
  <c r="CG40" i="13"/>
  <c r="BT40" i="13"/>
  <c r="CP95" i="13"/>
  <c r="CO151" i="13"/>
  <c r="BW245" i="13"/>
  <c r="CL245" i="13"/>
  <c r="BU245" i="13"/>
  <c r="AE245" i="16" s="1"/>
  <c r="CV245" i="13"/>
  <c r="CJ189" i="13"/>
  <c r="CO71" i="13"/>
  <c r="CG39" i="13"/>
  <c r="BT39" i="13"/>
  <c r="BV240" i="13"/>
  <c r="AF240" i="16" s="1"/>
  <c r="CP31" i="13"/>
  <c r="BW232" i="13"/>
  <c r="CL232" i="13"/>
  <c r="BU232" i="13"/>
  <c r="AE232" i="16" s="1"/>
  <c r="CV232" i="13"/>
  <c r="CO130" i="13"/>
  <c r="CO106" i="13"/>
  <c r="BV64" i="13"/>
  <c r="AF64" i="16" s="1"/>
  <c r="BV107" i="13"/>
  <c r="AF107" i="16" s="1"/>
  <c r="CJ133" i="13"/>
  <c r="CJ196" i="13"/>
  <c r="BW24" i="13"/>
  <c r="CL24" i="13"/>
  <c r="BU24" i="13"/>
  <c r="AE24" i="16" s="1"/>
  <c r="CV24" i="13"/>
  <c r="CM187" i="13"/>
  <c r="CP244" i="13"/>
  <c r="BW156" i="13"/>
  <c r="CL156" i="13"/>
  <c r="BU156" i="13"/>
  <c r="AE156" i="16" s="1"/>
  <c r="CV156" i="13"/>
  <c r="CO159" i="13"/>
  <c r="CJ75" i="13"/>
  <c r="CJ174" i="13"/>
  <c r="CJ195" i="13"/>
  <c r="CO57" i="13"/>
  <c r="CJ94" i="13"/>
  <c r="BW176" i="13"/>
  <c r="CL176" i="13"/>
  <c r="BU176" i="13"/>
  <c r="AE176" i="16" s="1"/>
  <c r="CV176" i="13"/>
  <c r="BW204" i="13"/>
  <c r="CL204" i="13"/>
  <c r="BU204" i="13"/>
  <c r="AE204" i="16" s="1"/>
  <c r="CV204" i="13"/>
  <c r="BW180" i="13"/>
  <c r="CL180" i="13"/>
  <c r="BU180" i="13"/>
  <c r="AE180" i="16" s="1"/>
  <c r="CV180" i="13"/>
  <c r="CP235" i="13"/>
  <c r="CP188" i="13"/>
  <c r="CO115" i="13"/>
  <c r="AJ115" i="16"/>
  <c r="CO112" i="13"/>
  <c r="AJ112" i="16"/>
  <c r="CO90" i="13"/>
  <c r="CO181" i="13"/>
  <c r="CO111" i="13"/>
  <c r="CO43" i="13"/>
  <c r="AJ43" i="16"/>
  <c r="CP22" i="13"/>
  <c r="CO202" i="13"/>
  <c r="BW200" i="13"/>
  <c r="CL200" i="13"/>
  <c r="BU200" i="13"/>
  <c r="AE200" i="16" s="1"/>
  <c r="CV200" i="13"/>
  <c r="BV187" i="13"/>
  <c r="AF187" i="16" s="1"/>
  <c r="CO204" i="13"/>
  <c r="CJ188" i="13"/>
  <c r="CO68" i="13"/>
  <c r="BW206" i="13"/>
  <c r="CL206" i="13"/>
  <c r="BU206" i="13"/>
  <c r="AE206" i="16" s="1"/>
  <c r="CV206" i="13"/>
  <c r="BW151" i="13"/>
  <c r="BU151" i="13"/>
  <c r="AE151" i="16" s="1"/>
  <c r="CL151" i="13"/>
  <c r="CV151" i="13"/>
  <c r="BW65" i="13"/>
  <c r="CL65" i="13"/>
  <c r="BU65" i="13"/>
  <c r="AE65" i="16" s="1"/>
  <c r="CV65" i="13"/>
  <c r="CO200" i="13"/>
  <c r="CO222" i="13"/>
  <c r="BW192" i="13"/>
  <c r="CL192" i="13"/>
  <c r="BU192" i="13"/>
  <c r="AE192" i="16" s="1"/>
  <c r="CV192" i="13"/>
  <c r="BV247" i="13"/>
  <c r="AF247" i="16" s="1"/>
  <c r="BV33" i="13"/>
  <c r="AF33" i="16" s="1"/>
  <c r="BV98" i="13"/>
  <c r="AF98" i="16" s="1"/>
  <c r="CJ47" i="13"/>
  <c r="CO219" i="13"/>
  <c r="AJ219" i="16"/>
  <c r="CJ3" i="13"/>
  <c r="BV123" i="13"/>
  <c r="AF123" i="16" s="1"/>
  <c r="CJ147" i="13"/>
  <c r="BV210" i="13"/>
  <c r="AF210" i="16" s="1"/>
  <c r="CO229" i="13"/>
  <c r="AJ229" i="16"/>
  <c r="CO24" i="13"/>
  <c r="CJ123" i="13"/>
  <c r="CO156" i="13"/>
  <c r="CM155" i="13"/>
  <c r="CJ45" i="13"/>
  <c r="CM244" i="13"/>
  <c r="BV244" i="13"/>
  <c r="AF244" i="16" s="1"/>
  <c r="CO74" i="13"/>
  <c r="CP174" i="13"/>
  <c r="CP195" i="13"/>
  <c r="BV183" i="13"/>
  <c r="AF183" i="16" s="1"/>
  <c r="BT97" i="13"/>
  <c r="CG97" i="13"/>
  <c r="CP94" i="13"/>
  <c r="CO176" i="13"/>
  <c r="CO217" i="13"/>
  <c r="CM22" i="13"/>
  <c r="BV22" i="13"/>
  <c r="AF22" i="16" s="1"/>
  <c r="CJ175" i="13"/>
  <c r="CH78" i="13"/>
  <c r="CJ138" i="13"/>
  <c r="CO113" i="13"/>
  <c r="AJ113" i="16"/>
  <c r="BV146" i="13"/>
  <c r="AF146" i="16" s="1"/>
  <c r="BV45" i="13"/>
  <c r="AF45" i="16" s="1"/>
  <c r="BW66" i="13"/>
  <c r="BU66" i="13"/>
  <c r="AE66" i="16" s="1"/>
  <c r="CL66" i="13"/>
  <c r="CV66" i="13"/>
  <c r="CH42" i="13"/>
  <c r="CG42" i="13"/>
  <c r="BT42" i="13"/>
  <c r="CO250" i="13"/>
  <c r="AJ250" i="16"/>
  <c r="CJ129" i="13"/>
  <c r="CH83" i="13"/>
  <c r="CG83" i="13"/>
  <c r="BT83" i="13"/>
  <c r="BW112" i="13"/>
  <c r="BU112" i="13"/>
  <c r="AE112" i="16" s="1"/>
  <c r="CL112" i="13"/>
  <c r="CV112" i="13"/>
  <c r="BV182" i="13"/>
  <c r="AF182" i="16" s="1"/>
  <c r="CO28" i="13"/>
  <c r="CT169" i="13"/>
  <c r="CZ169" i="13"/>
  <c r="CJ64" i="13"/>
  <c r="BW222" i="13"/>
  <c r="CL222" i="13"/>
  <c r="BU222" i="13"/>
  <c r="AE222" i="16" s="1"/>
  <c r="CV222" i="13"/>
  <c r="CO173" i="13"/>
  <c r="BW71" i="13"/>
  <c r="BU71" i="13"/>
  <c r="AE71" i="16" s="1"/>
  <c r="CL71" i="13"/>
  <c r="CV71" i="13"/>
  <c r="CO109" i="13"/>
  <c r="BV174" i="13"/>
  <c r="AF174" i="16" s="1"/>
  <c r="BW219" i="13"/>
  <c r="CL219" i="13"/>
  <c r="BU219" i="13"/>
  <c r="AE219" i="16" s="1"/>
  <c r="CV219" i="13"/>
  <c r="CJ201" i="13"/>
  <c r="CO232" i="13"/>
  <c r="CH143" i="13"/>
  <c r="BT143" i="13"/>
  <c r="BW160" i="13"/>
  <c r="CL160" i="13"/>
  <c r="BU160" i="13"/>
  <c r="AE160" i="16" s="1"/>
  <c r="CV160" i="13"/>
  <c r="BW130" i="13"/>
  <c r="CL130" i="13"/>
  <c r="BU130" i="13"/>
  <c r="AE130" i="16" s="1"/>
  <c r="CV130" i="13"/>
  <c r="CP147" i="13"/>
  <c r="CO76" i="13"/>
  <c r="CM201" i="13"/>
  <c r="BV201" i="13"/>
  <c r="AF201" i="16" s="1"/>
  <c r="CO214" i="13"/>
  <c r="CM31" i="13"/>
  <c r="BV31" i="13"/>
  <c r="AF31" i="16" s="1"/>
  <c r="BW220" i="13"/>
  <c r="CL220" i="13"/>
  <c r="BU220" i="13"/>
  <c r="AE220" i="16" s="1"/>
  <c r="CV220" i="13"/>
  <c r="BV155" i="13"/>
  <c r="AF155" i="16" s="1"/>
  <c r="BW159" i="13"/>
  <c r="CL159" i="13"/>
  <c r="BU159" i="13"/>
  <c r="AE159" i="16" s="1"/>
  <c r="CV159" i="13"/>
  <c r="CJ116" i="13"/>
  <c r="BW74" i="13"/>
  <c r="CL74" i="13"/>
  <c r="BU74" i="13"/>
  <c r="AE74" i="16" s="1"/>
  <c r="CV74" i="13"/>
  <c r="CO209" i="13"/>
  <c r="CP209" i="13" s="1"/>
  <c r="F209" i="23" s="1"/>
  <c r="G209" i="23" s="1"/>
  <c r="CO178" i="13"/>
  <c r="BW217" i="13"/>
  <c r="BU217" i="13"/>
  <c r="AE217" i="16" s="1"/>
  <c r="CL217" i="13"/>
  <c r="CV217" i="13"/>
  <c r="BV129" i="13"/>
  <c r="AF129" i="16" s="1"/>
  <c r="BW113" i="13"/>
  <c r="CL113" i="13"/>
  <c r="BU113" i="13"/>
  <c r="AE113" i="16" s="1"/>
  <c r="CV113" i="13"/>
  <c r="CJ137" i="13"/>
  <c r="BW246" i="13"/>
  <c r="CL246" i="13"/>
  <c r="BU246" i="13"/>
  <c r="AE246" i="16" s="1"/>
  <c r="CV246" i="13"/>
  <c r="BW167" i="13"/>
  <c r="CL167" i="13"/>
  <c r="BU167" i="13"/>
  <c r="AE167" i="16" s="1"/>
  <c r="CV167" i="13"/>
  <c r="CO245" i="13"/>
  <c r="CJ55" i="13"/>
  <c r="CO102" i="13"/>
  <c r="CJ235" i="13"/>
  <c r="BW43" i="13"/>
  <c r="BU43" i="13"/>
  <c r="AE43" i="16" s="1"/>
  <c r="CL43" i="13"/>
  <c r="CV43" i="13"/>
  <c r="BV190" i="13"/>
  <c r="AF190" i="16" s="1"/>
  <c r="BW68" i="13"/>
  <c r="CL68" i="13"/>
  <c r="BU68" i="13"/>
  <c r="AE68" i="16" s="1"/>
  <c r="CV68" i="13"/>
  <c r="CO223" i="13"/>
  <c r="BV133" i="13"/>
  <c r="AF133" i="16" s="1"/>
  <c r="BJ228" i="13"/>
  <c r="BV121" i="13"/>
  <c r="AF121" i="16" s="1"/>
  <c r="CT13" i="13"/>
  <c r="CZ13" i="13"/>
  <c r="BW122" i="13"/>
  <c r="BU122" i="13"/>
  <c r="AE122" i="16" s="1"/>
  <c r="CL122" i="13"/>
  <c r="CV122" i="13"/>
  <c r="CO141" i="13"/>
  <c r="CO65" i="13"/>
  <c r="CP64" i="13"/>
  <c r="BW223" i="13"/>
  <c r="CL223" i="13"/>
  <c r="BU223" i="13"/>
  <c r="AE223" i="16" s="1"/>
  <c r="CV223" i="13"/>
  <c r="CM133" i="13"/>
  <c r="CJ240" i="13"/>
  <c r="BW177" i="13"/>
  <c r="CL177" i="13"/>
  <c r="BU177" i="13"/>
  <c r="AE177" i="16" s="1"/>
  <c r="CV177" i="13"/>
  <c r="CO192" i="13"/>
  <c r="BW173" i="13"/>
  <c r="BU173" i="13"/>
  <c r="AE173" i="16" s="1"/>
  <c r="CL173" i="13"/>
  <c r="CV173" i="13"/>
  <c r="CO179" i="13"/>
  <c r="CM174" i="13"/>
  <c r="CM128" i="13"/>
  <c r="BV147" i="13"/>
  <c r="AF147" i="16" s="1"/>
  <c r="BV172" i="13"/>
  <c r="AF172" i="16" s="1"/>
  <c r="CO226" i="13"/>
  <c r="BV126" i="13"/>
  <c r="AF126" i="16" s="1"/>
  <c r="CJ84" i="13"/>
  <c r="CM194" i="13"/>
  <c r="BV194" i="13"/>
  <c r="AF194" i="16" s="1"/>
  <c r="CJ30" i="13"/>
  <c r="CO185" i="13"/>
  <c r="AJ185" i="16"/>
  <c r="BW63" i="13"/>
  <c r="CL63" i="13"/>
  <c r="BU63" i="13"/>
  <c r="AE63" i="16" s="1"/>
  <c r="CV63" i="13"/>
  <c r="CO160" i="13"/>
  <c r="BW221" i="13"/>
  <c r="BU221" i="13"/>
  <c r="AE221" i="16" s="1"/>
  <c r="CL221" i="13"/>
  <c r="CV221" i="13"/>
  <c r="CM82" i="13"/>
  <c r="BV82" i="13"/>
  <c r="AF82" i="16" s="1"/>
  <c r="BW227" i="13"/>
  <c r="CL227" i="13"/>
  <c r="CV227" i="13"/>
  <c r="BU227" i="13"/>
  <c r="BW76" i="13"/>
  <c r="CL76" i="13"/>
  <c r="BU76" i="13"/>
  <c r="AE76" i="16" s="1"/>
  <c r="CV76" i="13"/>
  <c r="BW214" i="13"/>
  <c r="CL214" i="13"/>
  <c r="BU214" i="13"/>
  <c r="AE214" i="16" s="1"/>
  <c r="CV214" i="13"/>
  <c r="CM81" i="13"/>
  <c r="BV81" i="13"/>
  <c r="AF81" i="16" s="1"/>
  <c r="CO220" i="13"/>
  <c r="CJ82" i="13"/>
  <c r="CP116" i="13"/>
  <c r="BW248" i="13"/>
  <c r="CL248" i="13"/>
  <c r="BU248" i="13"/>
  <c r="AE248" i="16" s="1"/>
  <c r="CV248" i="13"/>
  <c r="BT134" i="13"/>
  <c r="CH134" i="13"/>
  <c r="CG134" i="13"/>
  <c r="BV116" i="13"/>
  <c r="AF116" i="16" s="1"/>
  <c r="CM208" i="13"/>
  <c r="CM95" i="13"/>
  <c r="BW50" i="13"/>
  <c r="CL50" i="13"/>
  <c r="BU50" i="13"/>
  <c r="AE50" i="16" s="1"/>
  <c r="CV50" i="13"/>
  <c r="BW178" i="13"/>
  <c r="CL178" i="13"/>
  <c r="BU178" i="13"/>
  <c r="AE178" i="16" s="1"/>
  <c r="CV178" i="13"/>
  <c r="CM129" i="13"/>
  <c r="CP137" i="13"/>
  <c r="BW249" i="13"/>
  <c r="BU249" i="13"/>
  <c r="AE249" i="16" s="1"/>
  <c r="CL249" i="13"/>
  <c r="CV249" i="13"/>
  <c r="BV114" i="13"/>
  <c r="AF114" i="16" s="1"/>
  <c r="CO246" i="13"/>
  <c r="BV235" i="13"/>
  <c r="AF235" i="16" s="1"/>
  <c r="CO66" i="13"/>
  <c r="BT87" i="13"/>
  <c r="CO167" i="13"/>
  <c r="CO207" i="13"/>
  <c r="BV77" i="13"/>
  <c r="AF77" i="16" s="1"/>
  <c r="CO70" i="13"/>
  <c r="BW229" i="13"/>
  <c r="CL229" i="13"/>
  <c r="BU229" i="13"/>
  <c r="AE229" i="16" s="1"/>
  <c r="CV229" i="13"/>
  <c r="CJ244" i="13"/>
  <c r="BW193" i="13"/>
  <c r="CL193" i="13"/>
  <c r="BU193" i="13"/>
  <c r="AE193" i="16" s="1"/>
  <c r="CV193" i="13"/>
  <c r="BV67" i="13"/>
  <c r="AF67" i="16" s="1"/>
  <c r="CO180" i="13"/>
  <c r="BW111" i="13"/>
  <c r="CL111" i="13"/>
  <c r="BU111" i="13"/>
  <c r="AE111" i="16" s="1"/>
  <c r="CV111" i="13"/>
  <c r="CT139" i="13"/>
  <c r="CZ139" i="13"/>
  <c r="BJ91" i="13"/>
  <c r="CM190" i="13"/>
  <c r="CO122" i="13"/>
  <c r="BV158" i="13"/>
  <c r="AF158" i="16" s="1"/>
  <c r="CJ247" i="13"/>
  <c r="BW166" i="13"/>
  <c r="CL166" i="13"/>
  <c r="BU166" i="13"/>
  <c r="AE166" i="16" s="1"/>
  <c r="CV166" i="13"/>
  <c r="CJ126" i="13"/>
  <c r="CO69" i="13"/>
  <c r="CJ48" i="13"/>
  <c r="BW179" i="13"/>
  <c r="BU179" i="13"/>
  <c r="AE179" i="16" s="1"/>
  <c r="CL179" i="13"/>
  <c r="CV179" i="13"/>
  <c r="CJ155" i="13"/>
  <c r="BW109" i="13"/>
  <c r="CL109" i="13"/>
  <c r="BU109" i="13"/>
  <c r="AE109" i="16" s="1"/>
  <c r="CV109" i="13"/>
  <c r="CZ236" i="13"/>
  <c r="CT236" i="13"/>
  <c r="BV128" i="13"/>
  <c r="AF128" i="16" s="1"/>
  <c r="BW226" i="13"/>
  <c r="CL226" i="13"/>
  <c r="CV226" i="13"/>
  <c r="BU226" i="13"/>
  <c r="CJ210" i="13"/>
  <c r="BW213" i="13"/>
  <c r="CL213" i="13"/>
  <c r="BU213" i="13"/>
  <c r="AE213" i="16" s="1"/>
  <c r="CV213" i="13"/>
  <c r="BW185" i="13"/>
  <c r="CL185" i="13"/>
  <c r="BU185" i="13"/>
  <c r="AE185" i="16" s="1"/>
  <c r="CV185" i="13"/>
  <c r="BV88" i="13"/>
  <c r="AF88" i="16" s="1"/>
  <c r="BT89" i="13"/>
  <c r="CO63" i="13"/>
  <c r="AJ63" i="16"/>
  <c r="CO227" i="13"/>
  <c r="CJ234" i="13"/>
  <c r="CO203" i="13"/>
  <c r="CJ88" i="13"/>
  <c r="CH59" i="13"/>
  <c r="CG59" i="13"/>
  <c r="BT59" i="13"/>
  <c r="CM162" i="13"/>
  <c r="BV162" i="13"/>
  <c r="AF162" i="16" s="1"/>
  <c r="CL209" i="13"/>
  <c r="CV209" i="13"/>
  <c r="CJ146" i="13"/>
  <c r="CO216" i="13"/>
  <c r="BV137" i="13"/>
  <c r="AF137" i="16" s="1"/>
  <c r="BV95" i="13"/>
  <c r="AF95" i="16" s="1"/>
  <c r="CO73" i="13"/>
  <c r="BV195" i="13"/>
  <c r="AF195" i="16" s="1"/>
  <c r="BW251" i="13"/>
  <c r="CL251" i="13"/>
  <c r="BU251" i="13"/>
  <c r="AE251" i="16" s="1"/>
  <c r="CV251" i="13"/>
  <c r="CO230" i="13"/>
  <c r="AJ230" i="16"/>
  <c r="BV140" i="13"/>
  <c r="AF140" i="16" s="1"/>
  <c r="CO254" i="13"/>
  <c r="CZ48" i="13"/>
  <c r="CP190" i="13" l="1"/>
  <c r="CJ190" i="13"/>
  <c r="AJ62" i="16"/>
  <c r="AJ249" i="16"/>
  <c r="CM238" i="13"/>
  <c r="E111" i="20"/>
  <c r="AJ130" i="16"/>
  <c r="AJ158" i="16"/>
  <c r="AJ248" i="16"/>
  <c r="AJ27" i="16"/>
  <c r="CJ158" i="13"/>
  <c r="AK158" i="16" s="1"/>
  <c r="AJ151" i="16"/>
  <c r="AJ120" i="16"/>
  <c r="CP158" i="13"/>
  <c r="G158" i="20" s="1"/>
  <c r="AJ254" i="16"/>
  <c r="BV238" i="13"/>
  <c r="AF238" i="16" s="1"/>
  <c r="AJ213" i="16"/>
  <c r="BW62" i="13"/>
  <c r="AJ246" i="16"/>
  <c r="AJ232" i="16"/>
  <c r="AJ190" i="16"/>
  <c r="CV62" i="13"/>
  <c r="AJ116" i="16"/>
  <c r="BV161" i="13"/>
  <c r="AF161" i="16" s="1"/>
  <c r="AJ66" i="16"/>
  <c r="AJ142" i="16"/>
  <c r="F125" i="23"/>
  <c r="G125" i="23" s="1"/>
  <c r="AJ180" i="16"/>
  <c r="AJ173" i="16"/>
  <c r="AJ222" i="16"/>
  <c r="AJ221" i="16"/>
  <c r="F169" i="23"/>
  <c r="G169" i="23" s="1"/>
  <c r="CO86" i="13"/>
  <c r="E108" i="20"/>
  <c r="AJ214" i="16"/>
  <c r="E220" i="20"/>
  <c r="AJ179" i="16"/>
  <c r="AJ252" i="16"/>
  <c r="AJ20" i="16"/>
  <c r="AJ160" i="16"/>
  <c r="AJ79" i="16"/>
  <c r="AJ193" i="16"/>
  <c r="E203" i="20"/>
  <c r="AJ72" i="16"/>
  <c r="AJ67" i="16"/>
  <c r="AH228" i="16"/>
  <c r="CG228" i="13" s="1"/>
  <c r="AI228" i="16"/>
  <c r="CH228" i="13" s="1"/>
  <c r="CJ110" i="13"/>
  <c r="AK110" i="16" s="1"/>
  <c r="CM161" i="13"/>
  <c r="E141" i="20"/>
  <c r="AJ57" i="16"/>
  <c r="CP110" i="13"/>
  <c r="F110" i="23" s="1"/>
  <c r="G110" i="23" s="1"/>
  <c r="E24" i="20"/>
  <c r="E92" i="20"/>
  <c r="AJ167" i="16"/>
  <c r="AJ181" i="16"/>
  <c r="AJ50" i="16"/>
  <c r="AJ206" i="16"/>
  <c r="AJ32" i="16"/>
  <c r="AJ6" i="16"/>
  <c r="AJ245" i="16"/>
  <c r="AJ176" i="16"/>
  <c r="AJ54" i="16"/>
  <c r="AJ215" i="16"/>
  <c r="AH91" i="16"/>
  <c r="CG91" i="13" s="1"/>
  <c r="AD91" i="16"/>
  <c r="BT91" i="13" s="1"/>
  <c r="AJ216" i="16"/>
  <c r="AJ239" i="16"/>
  <c r="E106" i="20"/>
  <c r="AJ204" i="16"/>
  <c r="AJ74" i="16"/>
  <c r="AJ65" i="16"/>
  <c r="AJ165" i="16"/>
  <c r="E234" i="20"/>
  <c r="AJ234" i="16"/>
  <c r="AJ200" i="16"/>
  <c r="AJ71" i="16"/>
  <c r="AJ223" i="16"/>
  <c r="AJ28" i="16"/>
  <c r="AJ80" i="16"/>
  <c r="E90" i="20"/>
  <c r="CZ150" i="13"/>
  <c r="AJ122" i="16"/>
  <c r="AJ192" i="16"/>
  <c r="CT150" i="13"/>
  <c r="CZ157" i="13"/>
  <c r="AJ70" i="16"/>
  <c r="AJ159" i="16"/>
  <c r="AJ156" i="16"/>
  <c r="AJ243" i="16"/>
  <c r="E166" i="20"/>
  <c r="AJ73" i="16"/>
  <c r="E69" i="20"/>
  <c r="AJ102" i="16"/>
  <c r="AJ217" i="16"/>
  <c r="CI87" i="13"/>
  <c r="AJ87" i="16" s="1"/>
  <c r="F17" i="23"/>
  <c r="G17" i="23" s="1"/>
  <c r="G45" i="20"/>
  <c r="F45" i="23"/>
  <c r="G45" i="23" s="1"/>
  <c r="AJ68" i="16"/>
  <c r="G33" i="20"/>
  <c r="F33" i="23"/>
  <c r="G33" i="23" s="1"/>
  <c r="G46" i="20"/>
  <c r="F46" i="23"/>
  <c r="G46" i="23" s="1"/>
  <c r="G129" i="20"/>
  <c r="F129" i="23"/>
  <c r="G129" i="23" s="1"/>
  <c r="G35" i="20"/>
  <c r="F35" i="23"/>
  <c r="G35" i="23" s="1"/>
  <c r="G12" i="20"/>
  <c r="F12" i="23"/>
  <c r="G12" i="23" s="1"/>
  <c r="G48" i="20"/>
  <c r="F48" i="23"/>
  <c r="G48" i="23" s="1"/>
  <c r="G18" i="20"/>
  <c r="F18" i="23"/>
  <c r="G18" i="23" s="1"/>
  <c r="G195" i="20"/>
  <c r="F195" i="23"/>
  <c r="G195" i="23" s="1"/>
  <c r="G22" i="20"/>
  <c r="F22" i="23"/>
  <c r="G22" i="23" s="1"/>
  <c r="G95" i="20"/>
  <c r="F95" i="23"/>
  <c r="G95" i="23" s="1"/>
  <c r="G140" i="20"/>
  <c r="F140" i="23"/>
  <c r="G140" i="23" s="1"/>
  <c r="G128" i="20"/>
  <c r="F128" i="23"/>
  <c r="G128" i="23" s="1"/>
  <c r="G238" i="20"/>
  <c r="F238" i="23"/>
  <c r="G238" i="23" s="1"/>
  <c r="G194" i="20"/>
  <c r="F194" i="23"/>
  <c r="G194" i="23" s="1"/>
  <c r="G82" i="20"/>
  <c r="F82" i="23"/>
  <c r="G82" i="23" s="1"/>
  <c r="G121" i="20"/>
  <c r="F121" i="23"/>
  <c r="G121" i="23" s="1"/>
  <c r="CP25" i="13"/>
  <c r="E29" i="20"/>
  <c r="G137" i="20"/>
  <c r="F137" i="23"/>
  <c r="G137" i="23" s="1"/>
  <c r="G174" i="20"/>
  <c r="F174" i="23"/>
  <c r="G174" i="23" s="1"/>
  <c r="AJ86" i="16"/>
  <c r="G188" i="20"/>
  <c r="F188" i="23"/>
  <c r="G188" i="23" s="1"/>
  <c r="G161" i="20"/>
  <c r="F161" i="23"/>
  <c r="G161" i="23" s="1"/>
  <c r="G123" i="20"/>
  <c r="F123" i="23"/>
  <c r="G123" i="23" s="1"/>
  <c r="G146" i="20"/>
  <c r="F146" i="23"/>
  <c r="G146" i="23" s="1"/>
  <c r="G218" i="20"/>
  <c r="F218" i="23"/>
  <c r="G218" i="23" s="1"/>
  <c r="G19" i="20"/>
  <c r="F19" i="23"/>
  <c r="G19" i="23" s="1"/>
  <c r="G170" i="20"/>
  <c r="F170" i="23"/>
  <c r="G170" i="23" s="1"/>
  <c r="G186" i="20"/>
  <c r="F186" i="23"/>
  <c r="G186" i="23" s="1"/>
  <c r="G235" i="20"/>
  <c r="F235" i="23"/>
  <c r="G235" i="23" s="1"/>
  <c r="G162" i="20"/>
  <c r="F162" i="23"/>
  <c r="G162" i="23" s="1"/>
  <c r="G183" i="20"/>
  <c r="F183" i="23"/>
  <c r="G183" i="23" s="1"/>
  <c r="G182" i="20"/>
  <c r="F182" i="23"/>
  <c r="G182" i="23" s="1"/>
  <c r="G55" i="20"/>
  <c r="F55" i="23"/>
  <c r="G55" i="23" s="1"/>
  <c r="G34" i="20"/>
  <c r="F34" i="23"/>
  <c r="G34" i="23" s="1"/>
  <c r="G153" i="20"/>
  <c r="F153" i="23"/>
  <c r="G153" i="23" s="1"/>
  <c r="G110" i="20"/>
  <c r="G244" i="20"/>
  <c r="F244" i="23"/>
  <c r="G244" i="23" s="1"/>
  <c r="G81" i="20"/>
  <c r="F81" i="23"/>
  <c r="G81" i="23" s="1"/>
  <c r="G155" i="20"/>
  <c r="F155" i="23"/>
  <c r="G155" i="23" s="1"/>
  <c r="G237" i="20"/>
  <c r="F237" i="23"/>
  <c r="G237" i="23" s="1"/>
  <c r="G16" i="20"/>
  <c r="F16" i="23"/>
  <c r="G16" i="23" s="1"/>
  <c r="G196" i="20"/>
  <c r="F196" i="23"/>
  <c r="G196" i="23" s="1"/>
  <c r="G189" i="20"/>
  <c r="F189" i="23"/>
  <c r="G189" i="23" s="1"/>
  <c r="G14" i="20"/>
  <c r="F14" i="23"/>
  <c r="G14" i="23" s="1"/>
  <c r="G197" i="20"/>
  <c r="F197" i="23"/>
  <c r="G197" i="23" s="1"/>
  <c r="G152" i="20"/>
  <c r="F152" i="23"/>
  <c r="G152" i="23" s="1"/>
  <c r="AJ109" i="16"/>
  <c r="G234" i="20"/>
  <c r="F234" i="23"/>
  <c r="G234" i="23" s="1"/>
  <c r="G240" i="20"/>
  <c r="F240" i="23"/>
  <c r="G240" i="23" s="1"/>
  <c r="G157" i="20"/>
  <c r="F157" i="23"/>
  <c r="G157" i="23" s="1"/>
  <c r="G127" i="20"/>
  <c r="F127" i="23"/>
  <c r="G127" i="23" s="1"/>
  <c r="G198" i="20"/>
  <c r="F198" i="23"/>
  <c r="G198" i="23" s="1"/>
  <c r="G133" i="20"/>
  <c r="F133" i="23"/>
  <c r="G133" i="23" s="1"/>
  <c r="G114" i="20"/>
  <c r="F114" i="23"/>
  <c r="G114" i="23" s="1"/>
  <c r="G201" i="20"/>
  <c r="F201" i="23"/>
  <c r="G201" i="23" s="1"/>
  <c r="G30" i="20"/>
  <c r="F30" i="23"/>
  <c r="G30" i="23" s="1"/>
  <c r="G211" i="20"/>
  <c r="F211" i="23"/>
  <c r="G211" i="23" s="1"/>
  <c r="G145" i="20"/>
  <c r="F145" i="23"/>
  <c r="G145" i="23" s="1"/>
  <c r="G126" i="20"/>
  <c r="F126" i="23"/>
  <c r="G126" i="23" s="1"/>
  <c r="G94" i="20"/>
  <c r="F94" i="23"/>
  <c r="G94" i="23" s="1"/>
  <c r="G77" i="20"/>
  <c r="F77" i="23"/>
  <c r="G77" i="23" s="1"/>
  <c r="G210" i="20"/>
  <c r="F210" i="23"/>
  <c r="G210" i="23" s="1"/>
  <c r="G84" i="20"/>
  <c r="F84" i="23"/>
  <c r="G84" i="23" s="1"/>
  <c r="G47" i="20"/>
  <c r="F47" i="23"/>
  <c r="G47" i="23" s="1"/>
  <c r="AJ253" i="16"/>
  <c r="G247" i="20"/>
  <c r="F247" i="23"/>
  <c r="G247" i="23" s="1"/>
  <c r="G88" i="20"/>
  <c r="F88" i="23"/>
  <c r="G88" i="23" s="1"/>
  <c r="G3" i="20"/>
  <c r="F3" i="23"/>
  <c r="G3" i="23" s="1"/>
  <c r="G10" i="20"/>
  <c r="F10" i="23"/>
  <c r="G10" i="23" s="1"/>
  <c r="CJ25" i="13"/>
  <c r="F25" i="20" s="1"/>
  <c r="AJ37" i="16"/>
  <c r="AJ25" i="16"/>
  <c r="G116" i="20"/>
  <c r="F116" i="23"/>
  <c r="G116" i="23" s="1"/>
  <c r="G64" i="20"/>
  <c r="F64" i="23"/>
  <c r="G64" i="23" s="1"/>
  <c r="G147" i="20"/>
  <c r="F147" i="23"/>
  <c r="G147" i="23" s="1"/>
  <c r="G31" i="20"/>
  <c r="F31" i="23"/>
  <c r="G31" i="23" s="1"/>
  <c r="CI103" i="13"/>
  <c r="AJ103" i="16" s="1"/>
  <c r="G138" i="20"/>
  <c r="F138" i="23"/>
  <c r="G138" i="23" s="1"/>
  <c r="G172" i="20"/>
  <c r="F172" i="23"/>
  <c r="G172" i="23" s="1"/>
  <c r="G190" i="20"/>
  <c r="F190" i="23"/>
  <c r="G190" i="23" s="1"/>
  <c r="G75" i="20"/>
  <c r="F75" i="23"/>
  <c r="G75" i="23" s="1"/>
  <c r="G26" i="20"/>
  <c r="F26" i="23"/>
  <c r="G26" i="23" s="1"/>
  <c r="G11" i="20"/>
  <c r="F11" i="23"/>
  <c r="G11" i="23" s="1"/>
  <c r="BU184" i="13"/>
  <c r="AE184" i="16" s="1"/>
  <c r="F187" i="23"/>
  <c r="G187" i="23" s="1"/>
  <c r="CI39" i="13"/>
  <c r="E39" i="20" s="1"/>
  <c r="CI124" i="13"/>
  <c r="AJ124" i="16" s="1"/>
  <c r="CI61" i="13"/>
  <c r="E61" i="20" s="1"/>
  <c r="CI96" i="13"/>
  <c r="E96" i="20" s="1"/>
  <c r="CI205" i="13"/>
  <c r="E205" i="20" s="1"/>
  <c r="AJ9" i="16"/>
  <c r="CI164" i="13"/>
  <c r="E164" i="20" s="1"/>
  <c r="CI5" i="13"/>
  <c r="E5" i="20" s="1"/>
  <c r="CI36" i="13"/>
  <c r="E36" i="20" s="1"/>
  <c r="CI97" i="13"/>
  <c r="E97" i="20" s="1"/>
  <c r="CI42" i="13"/>
  <c r="E42" i="20" s="1"/>
  <c r="CI78" i="13"/>
  <c r="E78" i="20" s="1"/>
  <c r="CI231" i="13"/>
  <c r="E231" i="20" s="1"/>
  <c r="CI143" i="13"/>
  <c r="E143" i="20" s="1"/>
  <c r="E7" i="20"/>
  <c r="E202" i="20"/>
  <c r="CI59" i="13"/>
  <c r="E59" i="20" s="1"/>
  <c r="CP207" i="13"/>
  <c r="CI104" i="13"/>
  <c r="E104" i="20" s="1"/>
  <c r="CI38" i="13"/>
  <c r="E38" i="20" s="1"/>
  <c r="CO41" i="13"/>
  <c r="CI60" i="13"/>
  <c r="E60" i="20" s="1"/>
  <c r="AJ21" i="16"/>
  <c r="E251" i="20"/>
  <c r="AJ178" i="16"/>
  <c r="CO117" i="13"/>
  <c r="CI117" i="13"/>
  <c r="E117" i="20" s="1"/>
  <c r="CI44" i="13"/>
  <c r="E44" i="20" s="1"/>
  <c r="AJ110" i="16"/>
  <c r="CO105" i="13"/>
  <c r="CI105" i="13"/>
  <c r="E105" i="20" s="1"/>
  <c r="CI134" i="13"/>
  <c r="E134" i="20" s="1"/>
  <c r="CI23" i="13"/>
  <c r="E23" i="20" s="1"/>
  <c r="AJ212" i="16"/>
  <c r="CI135" i="13"/>
  <c r="E135" i="20" s="1"/>
  <c r="CI40" i="13"/>
  <c r="E40" i="20" s="1"/>
  <c r="CI41" i="13"/>
  <c r="E41" i="20" s="1"/>
  <c r="CI83" i="13"/>
  <c r="E83" i="20" s="1"/>
  <c r="CI89" i="13"/>
  <c r="E89" i="20" s="1"/>
  <c r="CI225" i="13"/>
  <c r="E225" i="20" s="1"/>
  <c r="AK125" i="16"/>
  <c r="F125" i="20"/>
  <c r="AK140" i="16"/>
  <c r="F140" i="20"/>
  <c r="AK17" i="16"/>
  <c r="AK18" i="16"/>
  <c r="F18" i="20"/>
  <c r="AK247" i="16"/>
  <c r="F247" i="20"/>
  <c r="AK116" i="16"/>
  <c r="F116" i="20"/>
  <c r="AK94" i="16"/>
  <c r="F94" i="20"/>
  <c r="AK64" i="16"/>
  <c r="F64" i="20"/>
  <c r="AK147" i="16"/>
  <c r="F147" i="20"/>
  <c r="AK183" i="16"/>
  <c r="F183" i="20"/>
  <c r="AK184" i="16"/>
  <c r="AK11" i="16"/>
  <c r="F11" i="20"/>
  <c r="AK10" i="16"/>
  <c r="F10" i="20"/>
  <c r="AK155" i="16"/>
  <c r="F155" i="20"/>
  <c r="AK188" i="16"/>
  <c r="F188" i="20"/>
  <c r="AK161" i="16"/>
  <c r="F161" i="20"/>
  <c r="AK182" i="16"/>
  <c r="F182" i="20"/>
  <c r="AK3" i="16"/>
  <c r="F3" i="20"/>
  <c r="AK195" i="16"/>
  <c r="F195" i="20"/>
  <c r="AK172" i="16"/>
  <c r="F172" i="20"/>
  <c r="AK194" i="16"/>
  <c r="F194" i="20"/>
  <c r="AK162" i="16"/>
  <c r="F162" i="20"/>
  <c r="AK211" i="16"/>
  <c r="F211" i="20"/>
  <c r="AK157" i="16"/>
  <c r="F157" i="20"/>
  <c r="AK198" i="16"/>
  <c r="F198" i="20"/>
  <c r="AK189" i="16"/>
  <c r="F189" i="20"/>
  <c r="AK138" i="16"/>
  <c r="F138" i="20"/>
  <c r="AK174" i="16"/>
  <c r="F174" i="20"/>
  <c r="AK22" i="16"/>
  <c r="F22" i="20"/>
  <c r="AK46" i="16"/>
  <c r="F46" i="20"/>
  <c r="AK127" i="16"/>
  <c r="F127" i="20"/>
  <c r="AK35" i="16"/>
  <c r="F35" i="20"/>
  <c r="AK170" i="16"/>
  <c r="F170" i="20"/>
  <c r="AK187" i="16"/>
  <c r="AK84" i="16"/>
  <c r="F84" i="20"/>
  <c r="AK88" i="16"/>
  <c r="F88" i="20"/>
  <c r="AK235" i="16"/>
  <c r="F235" i="20"/>
  <c r="AK75" i="16"/>
  <c r="F75" i="20"/>
  <c r="AK186" i="16"/>
  <c r="F186" i="20"/>
  <c r="AK31" i="16"/>
  <c r="F31" i="20"/>
  <c r="AK153" i="16"/>
  <c r="F153" i="20"/>
  <c r="AK82" i="16"/>
  <c r="F82" i="20"/>
  <c r="AK47" i="16"/>
  <c r="F47" i="20"/>
  <c r="AK196" i="16"/>
  <c r="F196" i="20"/>
  <c r="AK114" i="16"/>
  <c r="F114" i="20"/>
  <c r="AK33" i="16"/>
  <c r="F33" i="20"/>
  <c r="AK81" i="16"/>
  <c r="F81" i="20"/>
  <c r="AK34" i="16"/>
  <c r="F34" i="20"/>
  <c r="AK152" i="16"/>
  <c r="F152" i="20"/>
  <c r="AK16" i="16"/>
  <c r="F16" i="20"/>
  <c r="AK237" i="16"/>
  <c r="F237" i="20"/>
  <c r="AK218" i="16"/>
  <c r="F218" i="20"/>
  <c r="AK26" i="16"/>
  <c r="F26" i="20"/>
  <c r="AK15" i="16"/>
  <c r="F15" i="20"/>
  <c r="AK238" i="16"/>
  <c r="F238" i="20"/>
  <c r="AK129" i="16"/>
  <c r="F129" i="20"/>
  <c r="AK48" i="16"/>
  <c r="F48" i="20"/>
  <c r="AK123" i="16"/>
  <c r="F123" i="20"/>
  <c r="AK126" i="16"/>
  <c r="F126" i="20"/>
  <c r="AK244" i="16"/>
  <c r="F244" i="20"/>
  <c r="AK137" i="16"/>
  <c r="F137" i="20"/>
  <c r="AK201" i="16"/>
  <c r="F201" i="20"/>
  <c r="AK133" i="16"/>
  <c r="F133" i="20"/>
  <c r="AK14" i="16"/>
  <c r="F14" i="20"/>
  <c r="AK12" i="16"/>
  <c r="F12" i="20"/>
  <c r="AK210" i="16"/>
  <c r="F210" i="20"/>
  <c r="F158" i="20"/>
  <c r="AK234" i="16"/>
  <c r="F234" i="20"/>
  <c r="AK55" i="16"/>
  <c r="F55" i="20"/>
  <c r="AK25" i="16"/>
  <c r="AK30" i="16"/>
  <c r="F30" i="20"/>
  <c r="AK128" i="16"/>
  <c r="F128" i="20"/>
  <c r="AK45" i="16"/>
  <c r="F45" i="20"/>
  <c r="AK19" i="16"/>
  <c r="F19" i="20"/>
  <c r="AK190" i="16"/>
  <c r="F190" i="20"/>
  <c r="AK146" i="16"/>
  <c r="F146" i="20"/>
  <c r="AK240" i="16"/>
  <c r="F240" i="20"/>
  <c r="AK121" i="16"/>
  <c r="F121" i="20"/>
  <c r="AK77" i="16"/>
  <c r="F77" i="20"/>
  <c r="AK95" i="16"/>
  <c r="F95" i="20"/>
  <c r="AK197" i="16"/>
  <c r="F197" i="20"/>
  <c r="AK145" i="16"/>
  <c r="F145" i="20"/>
  <c r="AK175" i="16"/>
  <c r="CP37" i="13"/>
  <c r="CJ37" i="13"/>
  <c r="CZ218" i="13"/>
  <c r="CT218" i="13"/>
  <c r="CM79" i="13"/>
  <c r="CM21" i="13"/>
  <c r="CP9" i="13"/>
  <c r="CP7" i="13"/>
  <c r="CM9" i="13"/>
  <c r="CP79" i="13"/>
  <c r="CM165" i="13"/>
  <c r="CP21" i="13"/>
  <c r="CT10" i="13"/>
  <c r="CZ10" i="13"/>
  <c r="BV21" i="13"/>
  <c r="AF21" i="16" s="1"/>
  <c r="BV79" i="13"/>
  <c r="AF79" i="16" s="1"/>
  <c r="CT26" i="13"/>
  <c r="CZ237" i="13"/>
  <c r="CT25" i="13"/>
  <c r="CZ170" i="13"/>
  <c r="CT127" i="13"/>
  <c r="CJ21" i="13"/>
  <c r="CZ127" i="13"/>
  <c r="CT11" i="13"/>
  <c r="BV165" i="13"/>
  <c r="AF165" i="16" s="1"/>
  <c r="CT145" i="13"/>
  <c r="BV9" i="13"/>
  <c r="AF9" i="16" s="1"/>
  <c r="CJ9" i="13"/>
  <c r="CT170" i="13"/>
  <c r="CJ79" i="13"/>
  <c r="CZ16" i="13"/>
  <c r="CZ14" i="13"/>
  <c r="CT16" i="13"/>
  <c r="CJ7" i="13"/>
  <c r="CT125" i="13"/>
  <c r="CZ125" i="13"/>
  <c r="CT35" i="13"/>
  <c r="CT149" i="13"/>
  <c r="CZ11" i="13"/>
  <c r="CM19" i="13"/>
  <c r="CM108" i="13"/>
  <c r="CM18" i="13"/>
  <c r="CZ32" i="13"/>
  <c r="BV7" i="13"/>
  <c r="AF7" i="16" s="1"/>
  <c r="CP108" i="13"/>
  <c r="CT157" i="13"/>
  <c r="CT15" i="13"/>
  <c r="CJ29" i="13"/>
  <c r="CO60" i="13"/>
  <c r="CM7" i="13"/>
  <c r="BV20" i="13"/>
  <c r="AF20" i="16" s="1"/>
  <c r="BV37" i="13"/>
  <c r="AF37" i="16" s="1"/>
  <c r="CT237" i="13"/>
  <c r="BV62" i="13"/>
  <c r="AF62" i="16" s="1"/>
  <c r="BW60" i="13"/>
  <c r="BU60" i="13"/>
  <c r="AE60" i="16" s="1"/>
  <c r="CL60" i="13"/>
  <c r="CV60" i="13"/>
  <c r="CJ163" i="13"/>
  <c r="CJ165" i="13"/>
  <c r="CP107" i="13"/>
  <c r="CP142" i="13"/>
  <c r="BV29" i="13"/>
  <c r="AF29" i="16" s="1"/>
  <c r="CZ26" i="13"/>
  <c r="CZ25" i="13"/>
  <c r="BV212" i="13"/>
  <c r="AF212" i="16" s="1"/>
  <c r="CP120" i="13"/>
  <c r="BV80" i="13"/>
  <c r="AF80" i="16" s="1"/>
  <c r="BV17" i="13"/>
  <c r="AF17" i="16" s="1"/>
  <c r="CT153" i="13"/>
  <c r="CZ153" i="13"/>
  <c r="CZ35" i="13"/>
  <c r="CP27" i="13"/>
  <c r="BV110" i="13"/>
  <c r="AF110" i="16" s="1"/>
  <c r="BV120" i="13"/>
  <c r="AF120" i="16" s="1"/>
  <c r="BV19" i="13"/>
  <c r="AF19" i="16" s="1"/>
  <c r="CJ20" i="13"/>
  <c r="CM148" i="13"/>
  <c r="CT197" i="13"/>
  <c r="CM3" i="13"/>
  <c r="CZ15" i="13"/>
  <c r="CZ145" i="13"/>
  <c r="CP148" i="13"/>
  <c r="CJ98" i="13"/>
  <c r="CJ62" i="13"/>
  <c r="CT32" i="13"/>
  <c r="CO231" i="13"/>
  <c r="BV108" i="13"/>
  <c r="AF108" i="16" s="1"/>
  <c r="BV52" i="13"/>
  <c r="AF52" i="16" s="1"/>
  <c r="CJ108" i="13"/>
  <c r="CJ6" i="13"/>
  <c r="CO225" i="13"/>
  <c r="CJ226" i="13"/>
  <c r="BV243" i="13"/>
  <c r="AF243" i="16" s="1"/>
  <c r="BV6" i="13"/>
  <c r="AF6" i="16" s="1"/>
  <c r="CT12" i="13"/>
  <c r="CZ12" i="13"/>
  <c r="BW231" i="13"/>
  <c r="BU231" i="13"/>
  <c r="AE231" i="16" s="1"/>
  <c r="CL231" i="13"/>
  <c r="CV231" i="13"/>
  <c r="CZ149" i="13"/>
  <c r="CT14" i="13"/>
  <c r="CJ227" i="13"/>
  <c r="CJ32" i="13"/>
  <c r="BV18" i="13"/>
  <c r="AF18" i="16" s="1"/>
  <c r="BW225" i="13"/>
  <c r="CL225" i="13"/>
  <c r="BU225" i="13"/>
  <c r="AE225" i="16" s="1"/>
  <c r="CV225" i="13"/>
  <c r="CO164" i="13"/>
  <c r="CP164" i="13" s="1"/>
  <c r="CM29" i="13"/>
  <c r="CM62" i="13"/>
  <c r="CP62" i="13"/>
  <c r="CP29" i="13"/>
  <c r="CP32" i="13"/>
  <c r="CM37" i="13"/>
  <c r="BU23" i="13"/>
  <c r="AE23" i="16" s="1"/>
  <c r="CV23" i="13"/>
  <c r="CL23" i="13"/>
  <c r="BW23" i="13"/>
  <c r="CO23" i="13"/>
  <c r="CP98" i="13"/>
  <c r="CJ142" i="13"/>
  <c r="CM80" i="13"/>
  <c r="CP80" i="13"/>
  <c r="CM50" i="13"/>
  <c r="CM142" i="13"/>
  <c r="BW41" i="13"/>
  <c r="BV142" i="13"/>
  <c r="AF142" i="16" s="1"/>
  <c r="CJ107" i="13"/>
  <c r="CM163" i="13"/>
  <c r="CP243" i="13"/>
  <c r="AJ105" i="16"/>
  <c r="CJ243" i="13"/>
  <c r="CM120" i="13"/>
  <c r="CV117" i="13"/>
  <c r="CL105" i="13"/>
  <c r="CL117" i="13"/>
  <c r="CJ80" i="13"/>
  <c r="CL184" i="13"/>
  <c r="CM184" i="13" s="1"/>
  <c r="CJ120" i="13"/>
  <c r="BU117" i="13"/>
  <c r="AE117" i="16" s="1"/>
  <c r="BU105" i="13"/>
  <c r="AE105" i="16" s="1"/>
  <c r="BW105" i="13"/>
  <c r="CM110" i="13"/>
  <c r="BU41" i="13"/>
  <c r="AE41" i="16" s="1"/>
  <c r="BV3" i="13"/>
  <c r="AF3" i="16" s="1"/>
  <c r="CL44" i="13"/>
  <c r="CV41" i="13"/>
  <c r="CV44" i="13"/>
  <c r="BU44" i="13"/>
  <c r="AE44" i="16" s="1"/>
  <c r="CO184" i="13"/>
  <c r="CP184" i="13" s="1"/>
  <c r="BW184" i="13"/>
  <c r="CH8" i="13"/>
  <c r="CO8" i="13" s="1"/>
  <c r="BT8" i="13"/>
  <c r="BW8" i="13" s="1"/>
  <c r="CV184" i="13"/>
  <c r="CP6" i="13"/>
  <c r="BW135" i="13"/>
  <c r="BU135" i="13"/>
  <c r="AE135" i="16" s="1"/>
  <c r="CL135" i="13"/>
  <c r="CV135" i="13"/>
  <c r="AQ100" i="13"/>
  <c r="U100" i="16" s="1"/>
  <c r="BW144" i="13"/>
  <c r="CL144" i="13"/>
  <c r="BU144" i="13"/>
  <c r="AE144" i="16" s="1"/>
  <c r="CV144" i="13"/>
  <c r="CL38" i="13"/>
  <c r="BW38" i="13"/>
  <c r="CV38" i="13"/>
  <c r="BU38" i="13"/>
  <c r="AE38" i="16" s="1"/>
  <c r="CJ151" i="13"/>
  <c r="CH93" i="13"/>
  <c r="CG93" i="13"/>
  <c r="BT93" i="13"/>
  <c r="CT152" i="13"/>
  <c r="CZ152" i="13"/>
  <c r="CO135" i="13"/>
  <c r="BW61" i="13"/>
  <c r="CL61" i="13"/>
  <c r="BU61" i="13"/>
  <c r="AE61" i="16" s="1"/>
  <c r="CV61" i="13"/>
  <c r="CO38" i="13"/>
  <c r="CO61" i="13"/>
  <c r="CM6" i="13"/>
  <c r="CJ52" i="13"/>
  <c r="CJ27" i="13"/>
  <c r="CJ148" i="13"/>
  <c r="BV148" i="13"/>
  <c r="AF148" i="16" s="1"/>
  <c r="CP67" i="13"/>
  <c r="CM52" i="13"/>
  <c r="CZ197" i="13"/>
  <c r="CM243" i="13"/>
  <c r="CP165" i="13"/>
  <c r="CP52" i="13"/>
  <c r="CJ67" i="13"/>
  <c r="CP20" i="13"/>
  <c r="CO124" i="13"/>
  <c r="CL124" i="13"/>
  <c r="BU124" i="13"/>
  <c r="AE124" i="16" s="1"/>
  <c r="CV124" i="13"/>
  <c r="BW124" i="13"/>
  <c r="AQ49" i="13"/>
  <c r="U49" i="16" s="1"/>
  <c r="AS49" i="13"/>
  <c r="CT34" i="13"/>
  <c r="CZ34" i="13"/>
  <c r="CM20" i="13"/>
  <c r="AQ56" i="13"/>
  <c r="U56" i="16" s="1"/>
  <c r="CO205" i="13"/>
  <c r="BW205" i="13"/>
  <c r="CL205" i="13"/>
  <c r="BU205" i="13"/>
  <c r="AE205" i="16" s="1"/>
  <c r="CV205" i="13"/>
  <c r="BW5" i="13"/>
  <c r="CL5" i="13"/>
  <c r="BU5" i="13"/>
  <c r="AE5" i="16" s="1"/>
  <c r="CV5" i="13"/>
  <c r="CO5" i="13"/>
  <c r="AJ5" i="16"/>
  <c r="CM212" i="13"/>
  <c r="CP212" i="13"/>
  <c r="CT211" i="13"/>
  <c r="CZ211" i="13"/>
  <c r="AS100" i="13"/>
  <c r="AS56" i="13"/>
  <c r="T2" i="16"/>
  <c r="BT228" i="13"/>
  <c r="BW228" i="13" s="1"/>
  <c r="CJ212" i="13"/>
  <c r="CP130" i="13"/>
  <c r="CM92" i="13"/>
  <c r="G209" i="20"/>
  <c r="CM130" i="13"/>
  <c r="CM68" i="13"/>
  <c r="CM220" i="13"/>
  <c r="CP203" i="13"/>
  <c r="CM223" i="13"/>
  <c r="CM74" i="13"/>
  <c r="CP200" i="13"/>
  <c r="CM206" i="13"/>
  <c r="CP202" i="13"/>
  <c r="CM43" i="13"/>
  <c r="CM86" i="13"/>
  <c r="CP106" i="13"/>
  <c r="CP151" i="13"/>
  <c r="CP50" i="13"/>
  <c r="CP28" i="13"/>
  <c r="CP57" i="13"/>
  <c r="CM28" i="13"/>
  <c r="CM69" i="13"/>
  <c r="CM202" i="13"/>
  <c r="CP54" i="13"/>
  <c r="CM178" i="13"/>
  <c r="CM159" i="13"/>
  <c r="CM112" i="13"/>
  <c r="CM151" i="13"/>
  <c r="CM245" i="13"/>
  <c r="CM141" i="13"/>
  <c r="CM216" i="13"/>
  <c r="CP102" i="13"/>
  <c r="CP43" i="13"/>
  <c r="CM111" i="13"/>
  <c r="CM113" i="13"/>
  <c r="CP76" i="13"/>
  <c r="CM191" i="13"/>
  <c r="CM192" i="13"/>
  <c r="CM177" i="13"/>
  <c r="CM246" i="13"/>
  <c r="CP63" i="13"/>
  <c r="CM63" i="13"/>
  <c r="CM200" i="13"/>
  <c r="CM204" i="13"/>
  <c r="CM176" i="13"/>
  <c r="CM248" i="13"/>
  <c r="CM167" i="13"/>
  <c r="CM71" i="13"/>
  <c r="CM65" i="13"/>
  <c r="CP254" i="13"/>
  <c r="CM166" i="13"/>
  <c r="CM73" i="13"/>
  <c r="CM250" i="13"/>
  <c r="CP193" i="13"/>
  <c r="CP70" i="13"/>
  <c r="CP246" i="13"/>
  <c r="CP113" i="13"/>
  <c r="CP68" i="13"/>
  <c r="CP204" i="13"/>
  <c r="CP72" i="13"/>
  <c r="CP253" i="13"/>
  <c r="CP112" i="13"/>
  <c r="CP160" i="13"/>
  <c r="CP232" i="13"/>
  <c r="CP109" i="13"/>
  <c r="CP217" i="13"/>
  <c r="CP86" i="13"/>
  <c r="CP206" i="13"/>
  <c r="CP73" i="13"/>
  <c r="CP167" i="13"/>
  <c r="CP223" i="13"/>
  <c r="CP181" i="13"/>
  <c r="CP213" i="13"/>
  <c r="CP251" i="13"/>
  <c r="CP180" i="13"/>
  <c r="CP156" i="13"/>
  <c r="CP92" i="13"/>
  <c r="CP249" i="13"/>
  <c r="CP122" i="13"/>
  <c r="CP65" i="13"/>
  <c r="CP69" i="13"/>
  <c r="CP66" i="13"/>
  <c r="CP250" i="13"/>
  <c r="CP24" i="13"/>
  <c r="CP219" i="13"/>
  <c r="CP222" i="13"/>
  <c r="CP239" i="13"/>
  <c r="CT190" i="13"/>
  <c r="CZ190" i="13"/>
  <c r="CO83" i="13"/>
  <c r="CJ43" i="13"/>
  <c r="CJ71" i="13"/>
  <c r="BV181" i="13"/>
  <c r="AF181" i="16" s="1"/>
  <c r="CT196" i="13"/>
  <c r="CZ196" i="13"/>
  <c r="BV106" i="13"/>
  <c r="AF106" i="16" s="1"/>
  <c r="BV70" i="13"/>
  <c r="AF70" i="16" s="1"/>
  <c r="BV254" i="13"/>
  <c r="AF254" i="16" s="1"/>
  <c r="CZ84" i="13"/>
  <c r="CT84" i="13"/>
  <c r="CM251" i="13"/>
  <c r="CP216" i="13"/>
  <c r="CO89" i="13"/>
  <c r="CM185" i="13"/>
  <c r="CM213" i="13"/>
  <c r="BV109" i="13"/>
  <c r="AF109" i="16" s="1"/>
  <c r="CZ158" i="13"/>
  <c r="CT158" i="13"/>
  <c r="CP220" i="13"/>
  <c r="CM214" i="13"/>
  <c r="CM76" i="13"/>
  <c r="CJ179" i="13"/>
  <c r="CJ141" i="13"/>
  <c r="CZ121" i="13"/>
  <c r="CT121" i="13"/>
  <c r="CJ245" i="13"/>
  <c r="CJ214" i="13"/>
  <c r="BV219" i="13"/>
  <c r="AF219" i="16" s="1"/>
  <c r="CP173" i="13"/>
  <c r="CP176" i="13"/>
  <c r="CJ74" i="13"/>
  <c r="CJ229" i="13"/>
  <c r="CZ123" i="13"/>
  <c r="CT123" i="13"/>
  <c r="BV151" i="13"/>
  <c r="AF151" i="16" s="1"/>
  <c r="CT187" i="13"/>
  <c r="CZ187" i="13"/>
  <c r="CP111" i="13"/>
  <c r="CP90" i="13"/>
  <c r="BV156" i="13"/>
  <c r="AF156" i="16" s="1"/>
  <c r="BV24" i="13"/>
  <c r="AF24" i="16" s="1"/>
  <c r="CT64" i="13"/>
  <c r="CZ64" i="13"/>
  <c r="BV232" i="13"/>
  <c r="AF232" i="16" s="1"/>
  <c r="CP71" i="13"/>
  <c r="BV86" i="13"/>
  <c r="AF86" i="16" s="1"/>
  <c r="CP252" i="13"/>
  <c r="CM181" i="13"/>
  <c r="BV163" i="13"/>
  <c r="AF163" i="16" s="1"/>
  <c r="CM57" i="13"/>
  <c r="BV57" i="13"/>
  <c r="AF57" i="16" s="1"/>
  <c r="BW96" i="13"/>
  <c r="CL96" i="13"/>
  <c r="BU96" i="13"/>
  <c r="AE96" i="16" s="1"/>
  <c r="CV96" i="13"/>
  <c r="CM106" i="13"/>
  <c r="CM70" i="13"/>
  <c r="BV250" i="13"/>
  <c r="AF250" i="16" s="1"/>
  <c r="CZ27" i="13"/>
  <c r="CT27" i="13"/>
  <c r="CM254" i="13"/>
  <c r="CM230" i="13"/>
  <c r="BV251" i="13"/>
  <c r="AF251" i="16" s="1"/>
  <c r="BV213" i="13"/>
  <c r="AF213" i="16" s="1"/>
  <c r="CO87" i="13"/>
  <c r="BV214" i="13"/>
  <c r="AF214" i="16" s="1"/>
  <c r="CJ90" i="13"/>
  <c r="CJ252" i="13"/>
  <c r="BW103" i="13"/>
  <c r="BU103" i="13"/>
  <c r="AE103" i="16" s="1"/>
  <c r="CL103" i="13"/>
  <c r="CV103" i="13"/>
  <c r="BV230" i="13"/>
  <c r="AF230" i="16" s="1"/>
  <c r="CZ128" i="13"/>
  <c r="CT128" i="13"/>
  <c r="CM109" i="13"/>
  <c r="CJ69" i="13"/>
  <c r="CJ122" i="13"/>
  <c r="CJ180" i="13"/>
  <c r="CT77" i="13"/>
  <c r="CZ77" i="13"/>
  <c r="CJ66" i="13"/>
  <c r="CT114" i="13"/>
  <c r="CZ114" i="13"/>
  <c r="CZ116" i="13"/>
  <c r="CT116" i="13"/>
  <c r="CT81" i="13"/>
  <c r="CZ81" i="13"/>
  <c r="CT82" i="13"/>
  <c r="CZ82" i="13"/>
  <c r="CJ160" i="13"/>
  <c r="CT172" i="13"/>
  <c r="CZ172" i="13"/>
  <c r="CP179" i="13"/>
  <c r="CM173" i="13"/>
  <c r="BV177" i="13"/>
  <c r="AF177" i="16" s="1"/>
  <c r="CP141" i="13"/>
  <c r="CM122" i="13"/>
  <c r="CP245" i="13"/>
  <c r="CZ129" i="13"/>
  <c r="CT129" i="13"/>
  <c r="CT208" i="13"/>
  <c r="CZ208" i="13"/>
  <c r="CP214" i="13"/>
  <c r="CJ232" i="13"/>
  <c r="CM219" i="13"/>
  <c r="CJ113" i="13"/>
  <c r="CP74" i="13"/>
  <c r="CP229" i="13"/>
  <c r="CT247" i="13"/>
  <c r="CZ247" i="13"/>
  <c r="BV65" i="13"/>
  <c r="AF65" i="16" s="1"/>
  <c r="CJ86" i="13"/>
  <c r="CJ112" i="13"/>
  <c r="CM156" i="13"/>
  <c r="CM24" i="13"/>
  <c r="CJ106" i="13"/>
  <c r="CM232" i="13"/>
  <c r="BW39" i="13"/>
  <c r="BU39" i="13"/>
  <c r="AE39" i="16" s="1"/>
  <c r="CL39" i="13"/>
  <c r="CV39" i="13"/>
  <c r="CJ206" i="13"/>
  <c r="BV73" i="13"/>
  <c r="AF73" i="16" s="1"/>
  <c r="CM102" i="13"/>
  <c r="CZ238" i="13"/>
  <c r="CT238" i="13"/>
  <c r="BW36" i="13"/>
  <c r="CL36" i="13"/>
  <c r="BU36" i="13"/>
  <c r="AE36" i="16" s="1"/>
  <c r="CV36" i="13"/>
  <c r="CZ138" i="13"/>
  <c r="CT138" i="13"/>
  <c r="BV202" i="13"/>
  <c r="AF202" i="16" s="1"/>
  <c r="BV141" i="13"/>
  <c r="AF141" i="16" s="1"/>
  <c r="CZ188" i="13"/>
  <c r="CT188" i="13"/>
  <c r="CM252" i="13"/>
  <c r="BV185" i="13"/>
  <c r="AF185" i="16" s="1"/>
  <c r="BV221" i="13"/>
  <c r="AF221" i="16" s="1"/>
  <c r="CT146" i="13"/>
  <c r="CZ146" i="13"/>
  <c r="CJ230" i="13"/>
  <c r="BW59" i="13"/>
  <c r="CL59" i="13"/>
  <c r="BU59" i="13"/>
  <c r="AE59" i="16" s="1"/>
  <c r="CV59" i="13"/>
  <c r="CM179" i="13"/>
  <c r="BV166" i="13"/>
  <c r="AF166" i="16" s="1"/>
  <c r="BV173" i="13"/>
  <c r="AF173" i="16" s="1"/>
  <c r="BV223" i="13"/>
  <c r="AF223" i="16" s="1"/>
  <c r="BV122" i="13"/>
  <c r="AF122" i="16" s="1"/>
  <c r="BV68" i="13"/>
  <c r="AF68" i="16" s="1"/>
  <c r="CJ102" i="13"/>
  <c r="BV74" i="13"/>
  <c r="AF74" i="16" s="1"/>
  <c r="BV159" i="13"/>
  <c r="AF159" i="16" s="1"/>
  <c r="BV220" i="13"/>
  <c r="AF220" i="16" s="1"/>
  <c r="CJ250" i="13"/>
  <c r="CM66" i="13"/>
  <c r="CO97" i="13"/>
  <c r="CJ156" i="13"/>
  <c r="CJ222" i="13"/>
  <c r="BV206" i="13"/>
  <c r="AF206" i="16" s="1"/>
  <c r="BV204" i="13"/>
  <c r="AF204" i="16" s="1"/>
  <c r="CO39" i="13"/>
  <c r="BW40" i="13"/>
  <c r="CL40" i="13"/>
  <c r="BU40" i="13"/>
  <c r="AE40" i="16" s="1"/>
  <c r="CV40" i="13"/>
  <c r="CM115" i="13"/>
  <c r="BV102" i="13"/>
  <c r="AF102" i="16" s="1"/>
  <c r="CO96" i="13"/>
  <c r="BV252" i="13"/>
  <c r="AF252" i="16" s="1"/>
  <c r="CJ249" i="13"/>
  <c r="CJ251" i="13"/>
  <c r="BW164" i="13"/>
  <c r="CL164" i="13"/>
  <c r="BU164" i="13"/>
  <c r="CV164" i="13"/>
  <c r="CJ193" i="13"/>
  <c r="CZ189" i="13"/>
  <c r="CT189" i="13"/>
  <c r="CJ216" i="13"/>
  <c r="BW89" i="13"/>
  <c r="BU89" i="13"/>
  <c r="AE89" i="16" s="1"/>
  <c r="CL89" i="13"/>
  <c r="CV89" i="13"/>
  <c r="CT67" i="13"/>
  <c r="CZ67" i="13"/>
  <c r="BW78" i="13"/>
  <c r="CL78" i="13"/>
  <c r="BU78" i="13"/>
  <c r="AE78" i="16" s="1"/>
  <c r="CV78" i="13"/>
  <c r="CZ75" i="13"/>
  <c r="CT75" i="13"/>
  <c r="CT195" i="13"/>
  <c r="CZ195" i="13"/>
  <c r="CM209" i="13"/>
  <c r="CO134" i="13"/>
  <c r="AJ134" i="16"/>
  <c r="BV227" i="13"/>
  <c r="AF227" i="16" s="1"/>
  <c r="CJ185" i="13"/>
  <c r="CZ201" i="13"/>
  <c r="CT201" i="13"/>
  <c r="BV160" i="13"/>
  <c r="AF160" i="16" s="1"/>
  <c r="BV66" i="13"/>
  <c r="AF66" i="16" s="1"/>
  <c r="CZ22" i="13"/>
  <c r="CT22" i="13"/>
  <c r="BW97" i="13"/>
  <c r="CL97" i="13"/>
  <c r="BU97" i="13"/>
  <c r="AE97" i="16" s="1"/>
  <c r="CV97" i="13"/>
  <c r="CZ210" i="13"/>
  <c r="CT210" i="13"/>
  <c r="CT98" i="13"/>
  <c r="CZ98" i="13"/>
  <c r="BV180" i="13"/>
  <c r="AF180" i="16" s="1"/>
  <c r="CJ159" i="13"/>
  <c r="CJ130" i="13"/>
  <c r="CO40" i="13"/>
  <c r="BV115" i="13"/>
  <c r="AF115" i="16" s="1"/>
  <c r="BV215" i="13"/>
  <c r="AF215" i="16" s="1"/>
  <c r="CO36" i="13"/>
  <c r="AJ36" i="16"/>
  <c r="BV239" i="13"/>
  <c r="AF239" i="16" s="1"/>
  <c r="CJ166" i="13"/>
  <c r="BV72" i="13"/>
  <c r="AF72" i="16" s="1"/>
  <c r="BV253" i="13"/>
  <c r="AF253" i="16" s="1"/>
  <c r="CJ215" i="13"/>
  <c r="CJ203" i="13"/>
  <c r="CJ173" i="13"/>
  <c r="CJ50" i="13"/>
  <c r="CT140" i="13"/>
  <c r="CZ140" i="13"/>
  <c r="CZ88" i="13"/>
  <c r="CT88" i="13"/>
  <c r="BV193" i="13"/>
  <c r="AF193" i="16" s="1"/>
  <c r="BV229" i="13"/>
  <c r="AF229" i="16" s="1"/>
  <c r="BV50" i="13"/>
  <c r="AF50" i="16" s="1"/>
  <c r="CJ73" i="13"/>
  <c r="CT95" i="13"/>
  <c r="CZ95" i="13"/>
  <c r="CM226" i="13"/>
  <c r="BV226" i="13"/>
  <c r="AF226" i="16" s="1"/>
  <c r="CM193" i="13"/>
  <c r="CM229" i="13"/>
  <c r="CJ167" i="13"/>
  <c r="CT235" i="13"/>
  <c r="CZ235" i="13"/>
  <c r="CP185" i="13"/>
  <c r="CJ192" i="13"/>
  <c r="CZ133" i="13"/>
  <c r="CT133" i="13"/>
  <c r="BV43" i="13"/>
  <c r="AF43" i="16" s="1"/>
  <c r="CJ178" i="13"/>
  <c r="CM160" i="13"/>
  <c r="CZ174" i="13"/>
  <c r="CT174" i="13"/>
  <c r="BV222" i="13"/>
  <c r="AF222" i="16" s="1"/>
  <c r="CJ28" i="13"/>
  <c r="BV112" i="13"/>
  <c r="AF112" i="16" s="1"/>
  <c r="BW42" i="13"/>
  <c r="BU42" i="13"/>
  <c r="AE42" i="16" s="1"/>
  <c r="CL42" i="13"/>
  <c r="CV42" i="13"/>
  <c r="CJ200" i="13"/>
  <c r="CJ202" i="13"/>
  <c r="CJ115" i="13"/>
  <c r="CM180" i="13"/>
  <c r="CP159" i="13"/>
  <c r="BV28" i="13"/>
  <c r="AF28" i="16" s="1"/>
  <c r="BV90" i="13"/>
  <c r="AF90" i="16" s="1"/>
  <c r="CZ175" i="13"/>
  <c r="CT175" i="13"/>
  <c r="CM215" i="13"/>
  <c r="CM239" i="13"/>
  <c r="BW104" i="13"/>
  <c r="CL104" i="13"/>
  <c r="BU104" i="13"/>
  <c r="AE104" i="16" s="1"/>
  <c r="CV104" i="13"/>
  <c r="CP166" i="13"/>
  <c r="CJ191" i="13"/>
  <c r="CJ248" i="13"/>
  <c r="CJ221" i="13"/>
  <c r="BV92" i="13"/>
  <c r="AF92" i="16" s="1"/>
  <c r="CM72" i="13"/>
  <c r="CJ177" i="13"/>
  <c r="CM253" i="13"/>
  <c r="CP215" i="13"/>
  <c r="BV76" i="13"/>
  <c r="AF76" i="16" s="1"/>
  <c r="BW143" i="13"/>
  <c r="CL143" i="13"/>
  <c r="BU143" i="13"/>
  <c r="AE143" i="16" s="1"/>
  <c r="CV143" i="13"/>
  <c r="CT182" i="13"/>
  <c r="CZ182" i="13"/>
  <c r="CJ176" i="13"/>
  <c r="CP230" i="13"/>
  <c r="CO59" i="13"/>
  <c r="BV179" i="13"/>
  <c r="AF179" i="16" s="1"/>
  <c r="CJ63" i="13"/>
  <c r="CM249" i="13"/>
  <c r="BV178" i="13"/>
  <c r="AF178" i="16" s="1"/>
  <c r="BW134" i="13"/>
  <c r="BU134" i="13"/>
  <c r="AE134" i="16" s="1"/>
  <c r="CL134" i="13"/>
  <c r="CV134" i="13"/>
  <c r="CM227" i="13"/>
  <c r="CZ126" i="13"/>
  <c r="CT126" i="13"/>
  <c r="CT147" i="13"/>
  <c r="CZ147" i="13"/>
  <c r="CP192" i="13"/>
  <c r="CJ223" i="13"/>
  <c r="BV167" i="13"/>
  <c r="AF167" i="16" s="1"/>
  <c r="BV246" i="13"/>
  <c r="AF246" i="16" s="1"/>
  <c r="BV113" i="13"/>
  <c r="AF113" i="16" s="1"/>
  <c r="CM217" i="13"/>
  <c r="CP178" i="13"/>
  <c r="CJ76" i="13"/>
  <c r="BV130" i="13"/>
  <c r="AF130" i="16" s="1"/>
  <c r="CJ109" i="13"/>
  <c r="BV71" i="13"/>
  <c r="AF71" i="16" s="1"/>
  <c r="CM222" i="13"/>
  <c r="CO42" i="13"/>
  <c r="CJ217" i="13"/>
  <c r="CT244" i="13"/>
  <c r="CZ244" i="13"/>
  <c r="CT33" i="13"/>
  <c r="CZ33" i="13"/>
  <c r="BV192" i="13"/>
  <c r="AF192" i="16" s="1"/>
  <c r="CJ68" i="13"/>
  <c r="CJ204" i="13"/>
  <c r="CJ181" i="13"/>
  <c r="CP115" i="13"/>
  <c r="CT240" i="13"/>
  <c r="CZ240" i="13"/>
  <c r="CM90" i="13"/>
  <c r="CZ186" i="13"/>
  <c r="CT186" i="13"/>
  <c r="CT30" i="13"/>
  <c r="CZ30" i="13"/>
  <c r="CT234" i="13"/>
  <c r="CZ234" i="13"/>
  <c r="CO103" i="13"/>
  <c r="BV69" i="13"/>
  <c r="AF69" i="16" s="1"/>
  <c r="CO104" i="13"/>
  <c r="CP191" i="13"/>
  <c r="BV216" i="13"/>
  <c r="AF216" i="16" s="1"/>
  <c r="CP248" i="13"/>
  <c r="CM203" i="13"/>
  <c r="CP221" i="13"/>
  <c r="CP177" i="13"/>
  <c r="CJ239" i="13"/>
  <c r="CJ220" i="13"/>
  <c r="CT194" i="13"/>
  <c r="CZ194" i="13"/>
  <c r="CJ111" i="13"/>
  <c r="CJ254" i="13"/>
  <c r="CZ137" i="13"/>
  <c r="CT137" i="13"/>
  <c r="CT162" i="13"/>
  <c r="CZ162" i="13"/>
  <c r="CH91" i="13"/>
  <c r="BV111" i="13"/>
  <c r="AF111" i="16" s="1"/>
  <c r="CJ70" i="13"/>
  <c r="BW87" i="13"/>
  <c r="CL87" i="13"/>
  <c r="BU87" i="13"/>
  <c r="AE87" i="16" s="1"/>
  <c r="CV87" i="13"/>
  <c r="CJ246" i="13"/>
  <c r="BV249" i="13"/>
  <c r="AF249" i="16" s="1"/>
  <c r="BV248" i="13"/>
  <c r="AF248" i="16" s="1"/>
  <c r="CM221" i="13"/>
  <c r="BV63" i="13"/>
  <c r="AF63" i="16" s="1"/>
  <c r="CJ65" i="13"/>
  <c r="BV217" i="13"/>
  <c r="AF217" i="16" s="1"/>
  <c r="CT155" i="13"/>
  <c r="CZ155" i="13"/>
  <c r="CT31" i="13"/>
  <c r="CZ31" i="13"/>
  <c r="CO143" i="13"/>
  <c r="BW83" i="13"/>
  <c r="CL83" i="13"/>
  <c r="BU83" i="13"/>
  <c r="AE83" i="16" s="1"/>
  <c r="CV83" i="13"/>
  <c r="CT45" i="13"/>
  <c r="CZ45" i="13"/>
  <c r="CO78" i="13"/>
  <c r="AJ78" i="16"/>
  <c r="CZ183" i="13"/>
  <c r="CT183" i="13"/>
  <c r="CJ24" i="13"/>
  <c r="CJ219" i="13"/>
  <c r="BV200" i="13"/>
  <c r="AF200" i="16" s="1"/>
  <c r="BV176" i="13"/>
  <c r="AF176" i="16" s="1"/>
  <c r="CJ57" i="13"/>
  <c r="CZ107" i="13"/>
  <c r="CT107" i="13"/>
  <c r="BV245" i="13"/>
  <c r="AF245" i="16" s="1"/>
  <c r="CJ54" i="13"/>
  <c r="CJ213" i="13"/>
  <c r="CJ72" i="13"/>
  <c r="CJ253" i="13"/>
  <c r="BV191" i="13"/>
  <c r="AF191" i="16" s="1"/>
  <c r="CJ92" i="13"/>
  <c r="BV203" i="13"/>
  <c r="AF203" i="16" s="1"/>
  <c r="CT94" i="13"/>
  <c r="CZ94" i="13"/>
  <c r="CV207" i="13"/>
  <c r="CT48" i="13"/>
  <c r="CL207" i="13"/>
  <c r="CM207" i="13" s="1"/>
  <c r="F158" i="23" l="1"/>
  <c r="G158" i="23" s="1"/>
  <c r="F110" i="20"/>
  <c r="CZ161" i="13"/>
  <c r="CT161" i="13"/>
  <c r="AJ38" i="16"/>
  <c r="AJ135" i="16"/>
  <c r="BV184" i="13"/>
  <c r="E124" i="20"/>
  <c r="AJ41" i="16"/>
  <c r="AJ143" i="16"/>
  <c r="AJ97" i="16"/>
  <c r="E103" i="20"/>
  <c r="AJ60" i="16"/>
  <c r="CT79" i="13"/>
  <c r="AJ89" i="16"/>
  <c r="CZ79" i="13"/>
  <c r="CT9" i="13"/>
  <c r="AJ104" i="16"/>
  <c r="AJ44" i="16"/>
  <c r="AJ96" i="16"/>
  <c r="E87" i="20"/>
  <c r="AJ42" i="16"/>
  <c r="AJ23" i="16"/>
  <c r="AJ40" i="16"/>
  <c r="AJ61" i="16"/>
  <c r="AJ117" i="16"/>
  <c r="AJ205" i="16"/>
  <c r="AJ59" i="16"/>
  <c r="G248" i="20"/>
  <c r="F248" i="23"/>
  <c r="G248" i="23" s="1"/>
  <c r="G159" i="20"/>
  <c r="F159" i="23"/>
  <c r="G159" i="23" s="1"/>
  <c r="G229" i="20"/>
  <c r="F229" i="23"/>
  <c r="G229" i="23" s="1"/>
  <c r="G141" i="20"/>
  <c r="F141" i="23"/>
  <c r="G141" i="23" s="1"/>
  <c r="G111" i="20"/>
  <c r="F111" i="23"/>
  <c r="G111" i="23" s="1"/>
  <c r="G69" i="20"/>
  <c r="F69" i="23"/>
  <c r="G69" i="23" s="1"/>
  <c r="G73" i="20"/>
  <c r="F73" i="23"/>
  <c r="G73" i="23" s="1"/>
  <c r="G113" i="20"/>
  <c r="F113" i="23"/>
  <c r="G113" i="23" s="1"/>
  <c r="G43" i="20"/>
  <c r="F43" i="23"/>
  <c r="G43" i="23" s="1"/>
  <c r="G80" i="20"/>
  <c r="F80" i="23"/>
  <c r="G80" i="23" s="1"/>
  <c r="G29" i="20"/>
  <c r="F29" i="23"/>
  <c r="G29" i="23" s="1"/>
  <c r="AJ225" i="16"/>
  <c r="G148" i="20"/>
  <c r="F148" i="23"/>
  <c r="G148" i="23" s="1"/>
  <c r="G166" i="20"/>
  <c r="F166" i="23"/>
  <c r="G166" i="23" s="1"/>
  <c r="G74" i="20"/>
  <c r="F74" i="23"/>
  <c r="G74" i="23" s="1"/>
  <c r="G65" i="20"/>
  <c r="F65" i="23"/>
  <c r="G65" i="23" s="1"/>
  <c r="G206" i="20"/>
  <c r="F206" i="23"/>
  <c r="G206" i="23" s="1"/>
  <c r="G246" i="20"/>
  <c r="F246" i="23"/>
  <c r="G246" i="23" s="1"/>
  <c r="G102" i="20"/>
  <c r="F102" i="23"/>
  <c r="G102" i="23" s="1"/>
  <c r="G57" i="20"/>
  <c r="F57" i="23"/>
  <c r="G57" i="23" s="1"/>
  <c r="G203" i="20"/>
  <c r="F203" i="23"/>
  <c r="G203" i="23" s="1"/>
  <c r="G6" i="20"/>
  <c r="F6" i="23"/>
  <c r="G6" i="23" s="1"/>
  <c r="G62" i="20"/>
  <c r="F62" i="23"/>
  <c r="G62" i="23" s="1"/>
  <c r="G79" i="20"/>
  <c r="F79" i="23"/>
  <c r="G79" i="23" s="1"/>
  <c r="G191" i="20"/>
  <c r="F191" i="23"/>
  <c r="G191" i="23" s="1"/>
  <c r="AJ39" i="16"/>
  <c r="G122" i="20"/>
  <c r="F122" i="23"/>
  <c r="G122" i="23" s="1"/>
  <c r="G86" i="20"/>
  <c r="F86" i="23"/>
  <c r="G86" i="23" s="1"/>
  <c r="G70" i="20"/>
  <c r="F70" i="23"/>
  <c r="G70" i="23" s="1"/>
  <c r="G28" i="20"/>
  <c r="F28" i="23"/>
  <c r="G28" i="23" s="1"/>
  <c r="G67" i="20"/>
  <c r="F67" i="23"/>
  <c r="G67" i="23" s="1"/>
  <c r="G108" i="20"/>
  <c r="F108" i="23"/>
  <c r="G108" i="23" s="1"/>
  <c r="G68" i="20"/>
  <c r="F68" i="23"/>
  <c r="G68" i="23" s="1"/>
  <c r="G21" i="20"/>
  <c r="F21" i="23"/>
  <c r="G21" i="23" s="1"/>
  <c r="G179" i="20"/>
  <c r="F179" i="23"/>
  <c r="G179" i="23" s="1"/>
  <c r="G252" i="20"/>
  <c r="F252" i="23"/>
  <c r="G252" i="23" s="1"/>
  <c r="G216" i="20"/>
  <c r="F216" i="23"/>
  <c r="G216" i="23" s="1"/>
  <c r="G249" i="20"/>
  <c r="F249" i="23"/>
  <c r="G249" i="23" s="1"/>
  <c r="G217" i="20"/>
  <c r="F217" i="23"/>
  <c r="G217" i="23" s="1"/>
  <c r="G193" i="20"/>
  <c r="F193" i="23"/>
  <c r="G193" i="23" s="1"/>
  <c r="G50" i="20"/>
  <c r="F50" i="23"/>
  <c r="G50" i="23" s="1"/>
  <c r="G98" i="20"/>
  <c r="F98" i="23"/>
  <c r="G98" i="23" s="1"/>
  <c r="G120" i="20"/>
  <c r="F120" i="23"/>
  <c r="G120" i="23" s="1"/>
  <c r="G7" i="20"/>
  <c r="F7" i="23"/>
  <c r="G7" i="23" s="1"/>
  <c r="G192" i="20"/>
  <c r="F192" i="23"/>
  <c r="G192" i="23" s="1"/>
  <c r="G92" i="20"/>
  <c r="F92" i="23"/>
  <c r="G92" i="23" s="1"/>
  <c r="G109" i="20"/>
  <c r="F109" i="23"/>
  <c r="G109" i="23" s="1"/>
  <c r="G63" i="20"/>
  <c r="F63" i="23"/>
  <c r="G63" i="23" s="1"/>
  <c r="G151" i="20"/>
  <c r="F151" i="23"/>
  <c r="G151" i="23" s="1"/>
  <c r="G164" i="20"/>
  <c r="F164" i="23"/>
  <c r="G164" i="23" s="1"/>
  <c r="G9" i="20"/>
  <c r="F9" i="23"/>
  <c r="G9" i="23" s="1"/>
  <c r="G90" i="20"/>
  <c r="F90" i="23"/>
  <c r="G90" i="23" s="1"/>
  <c r="G32" i="20"/>
  <c r="F32" i="23"/>
  <c r="G32" i="23" s="1"/>
  <c r="G115" i="20"/>
  <c r="F115" i="23"/>
  <c r="G115" i="23" s="1"/>
  <c r="G215" i="20"/>
  <c r="F215" i="23"/>
  <c r="G215" i="23" s="1"/>
  <c r="G214" i="20"/>
  <c r="F214" i="23"/>
  <c r="G214" i="23" s="1"/>
  <c r="G71" i="20"/>
  <c r="F71" i="23"/>
  <c r="G71" i="23" s="1"/>
  <c r="G156" i="20"/>
  <c r="F156" i="23"/>
  <c r="G156" i="23" s="1"/>
  <c r="G232" i="20"/>
  <c r="F232" i="23"/>
  <c r="G232" i="23" s="1"/>
  <c r="G106" i="20"/>
  <c r="F106" i="23"/>
  <c r="G106" i="23" s="1"/>
  <c r="G212" i="20"/>
  <c r="F212" i="23"/>
  <c r="G212" i="23" s="1"/>
  <c r="G243" i="20"/>
  <c r="F243" i="23"/>
  <c r="G243" i="23" s="1"/>
  <c r="G167" i="20"/>
  <c r="F167" i="23"/>
  <c r="G167" i="23" s="1"/>
  <c r="G239" i="20"/>
  <c r="F239" i="23"/>
  <c r="G239" i="23" s="1"/>
  <c r="G180" i="20"/>
  <c r="F180" i="23"/>
  <c r="G180" i="23" s="1"/>
  <c r="G160" i="20"/>
  <c r="F160" i="23"/>
  <c r="G160" i="23" s="1"/>
  <c r="AJ231" i="16"/>
  <c r="G207" i="20"/>
  <c r="F207" i="23"/>
  <c r="G207" i="23" s="1"/>
  <c r="G25" i="20"/>
  <c r="F25" i="23"/>
  <c r="G25" i="23" s="1"/>
  <c r="G220" i="20"/>
  <c r="F220" i="23"/>
  <c r="G220" i="23" s="1"/>
  <c r="G222" i="20"/>
  <c r="F222" i="23"/>
  <c r="G222" i="23" s="1"/>
  <c r="G251" i="20"/>
  <c r="F251" i="23"/>
  <c r="G251" i="23" s="1"/>
  <c r="G112" i="20"/>
  <c r="F112" i="23"/>
  <c r="G112" i="23" s="1"/>
  <c r="G254" i="20"/>
  <c r="F254" i="23"/>
  <c r="G254" i="23" s="1"/>
  <c r="G130" i="20"/>
  <c r="F130" i="23"/>
  <c r="G130" i="23" s="1"/>
  <c r="G20" i="20"/>
  <c r="F20" i="23"/>
  <c r="G20" i="23" s="1"/>
  <c r="G66" i="20"/>
  <c r="F66" i="23"/>
  <c r="G66" i="23" s="1"/>
  <c r="G230" i="20"/>
  <c r="F230" i="23"/>
  <c r="G230" i="23" s="1"/>
  <c r="G185" i="20"/>
  <c r="F185" i="23"/>
  <c r="G185" i="23" s="1"/>
  <c r="G176" i="20"/>
  <c r="F176" i="23"/>
  <c r="G176" i="23" s="1"/>
  <c r="G219" i="20"/>
  <c r="F219" i="23"/>
  <c r="G219" i="23" s="1"/>
  <c r="G213" i="20"/>
  <c r="F213" i="23"/>
  <c r="G213" i="23" s="1"/>
  <c r="G253" i="20"/>
  <c r="F253" i="23"/>
  <c r="G253" i="23" s="1"/>
  <c r="G202" i="20"/>
  <c r="F202" i="23"/>
  <c r="G202" i="23" s="1"/>
  <c r="G142" i="20"/>
  <c r="F142" i="23"/>
  <c r="G142" i="23" s="1"/>
  <c r="G177" i="20"/>
  <c r="F177" i="23"/>
  <c r="G177" i="23" s="1"/>
  <c r="G173" i="20"/>
  <c r="F173" i="23"/>
  <c r="G173" i="23" s="1"/>
  <c r="G24" i="20"/>
  <c r="F24" i="23"/>
  <c r="G24" i="23" s="1"/>
  <c r="G181" i="20"/>
  <c r="F181" i="23"/>
  <c r="G181" i="23" s="1"/>
  <c r="G72" i="20"/>
  <c r="F72" i="23"/>
  <c r="G72" i="23" s="1"/>
  <c r="G76" i="20"/>
  <c r="F76" i="23"/>
  <c r="G76" i="23" s="1"/>
  <c r="G54" i="20"/>
  <c r="F54" i="23"/>
  <c r="G54" i="23" s="1"/>
  <c r="G52" i="20"/>
  <c r="F52" i="23"/>
  <c r="G52" i="23" s="1"/>
  <c r="G27" i="20"/>
  <c r="F27" i="23"/>
  <c r="G27" i="23" s="1"/>
  <c r="G107" i="20"/>
  <c r="F107" i="23"/>
  <c r="G107" i="23" s="1"/>
  <c r="G221" i="20"/>
  <c r="F221" i="23"/>
  <c r="G221" i="23" s="1"/>
  <c r="G178" i="20"/>
  <c r="F178" i="23"/>
  <c r="G178" i="23" s="1"/>
  <c r="G245" i="20"/>
  <c r="F245" i="23"/>
  <c r="G245" i="23" s="1"/>
  <c r="G250" i="20"/>
  <c r="F250" i="23"/>
  <c r="G250" i="23" s="1"/>
  <c r="G223" i="20"/>
  <c r="F223" i="23"/>
  <c r="G223" i="23" s="1"/>
  <c r="G204" i="20"/>
  <c r="F204" i="23"/>
  <c r="G204" i="23" s="1"/>
  <c r="G200" i="20"/>
  <c r="F200" i="23"/>
  <c r="G200" i="23" s="1"/>
  <c r="G165" i="20"/>
  <c r="F165" i="23"/>
  <c r="G165" i="23" s="1"/>
  <c r="G37" i="20"/>
  <c r="F37" i="23"/>
  <c r="G37" i="23" s="1"/>
  <c r="AF184" i="16"/>
  <c r="F184" i="23"/>
  <c r="G184" i="23" s="1"/>
  <c r="CI228" i="13"/>
  <c r="E228" i="20" s="1"/>
  <c r="AJ83" i="16"/>
  <c r="CI91" i="13"/>
  <c r="E91" i="20" s="1"/>
  <c r="CI93" i="13"/>
  <c r="E93" i="20" s="1"/>
  <c r="CI8" i="13"/>
  <c r="E8" i="20" s="1"/>
  <c r="AK151" i="16"/>
  <c r="F151" i="20"/>
  <c r="AK163" i="16"/>
  <c r="F163" i="20"/>
  <c r="AK29" i="16"/>
  <c r="F29" i="20"/>
  <c r="AK253" i="16"/>
  <c r="F253" i="20"/>
  <c r="AK219" i="16"/>
  <c r="F219" i="20"/>
  <c r="AK246" i="16"/>
  <c r="F246" i="20"/>
  <c r="AK71" i="16"/>
  <c r="F71" i="20"/>
  <c r="AK50" i="16"/>
  <c r="F50" i="20"/>
  <c r="AK113" i="16"/>
  <c r="F113" i="20"/>
  <c r="AK251" i="16"/>
  <c r="F251" i="20"/>
  <c r="AK66" i="16"/>
  <c r="F66" i="20"/>
  <c r="AK141" i="16"/>
  <c r="F141" i="20"/>
  <c r="AK142" i="16"/>
  <c r="F142" i="20"/>
  <c r="AK6" i="16"/>
  <c r="F6" i="20"/>
  <c r="AK7" i="16"/>
  <c r="F7" i="20"/>
  <c r="AK102" i="16"/>
  <c r="F102" i="20"/>
  <c r="AK54" i="16"/>
  <c r="F54" i="20"/>
  <c r="AK111" i="16"/>
  <c r="F111" i="20"/>
  <c r="AK63" i="16"/>
  <c r="F63" i="20"/>
  <c r="AK200" i="16"/>
  <c r="F200" i="20"/>
  <c r="AK203" i="16"/>
  <c r="F203" i="20"/>
  <c r="AK249" i="16"/>
  <c r="F249" i="20"/>
  <c r="AK106" i="16"/>
  <c r="F106" i="20"/>
  <c r="AK232" i="16"/>
  <c r="F232" i="20"/>
  <c r="AK179" i="16"/>
  <c r="F179" i="20"/>
  <c r="AK243" i="16"/>
  <c r="F243" i="20"/>
  <c r="AK108" i="16"/>
  <c r="F108" i="20"/>
  <c r="AK230" i="16"/>
  <c r="F230" i="20"/>
  <c r="AK148" i="16"/>
  <c r="F148" i="20"/>
  <c r="AK72" i="16"/>
  <c r="F72" i="20"/>
  <c r="AK223" i="16"/>
  <c r="F223" i="20"/>
  <c r="AK215" i="16"/>
  <c r="F215" i="20"/>
  <c r="AK181" i="16"/>
  <c r="F181" i="20"/>
  <c r="AK73" i="16"/>
  <c r="F73" i="20"/>
  <c r="AK159" i="16"/>
  <c r="F159" i="20"/>
  <c r="AK222" i="16"/>
  <c r="F222" i="20"/>
  <c r="AK160" i="16"/>
  <c r="F160" i="20"/>
  <c r="AK180" i="16"/>
  <c r="F180" i="20"/>
  <c r="AK90" i="16"/>
  <c r="F90" i="20"/>
  <c r="AK229" i="16"/>
  <c r="F229" i="20"/>
  <c r="AK27" i="16"/>
  <c r="F27" i="20"/>
  <c r="AK20" i="16"/>
  <c r="F20" i="20"/>
  <c r="AK79" i="16"/>
  <c r="F79" i="20"/>
  <c r="AK191" i="16"/>
  <c r="F191" i="20"/>
  <c r="AK227" i="16"/>
  <c r="F227" i="20"/>
  <c r="AK115" i="16"/>
  <c r="F115" i="20"/>
  <c r="AK213" i="16"/>
  <c r="F213" i="20"/>
  <c r="AK220" i="16"/>
  <c r="F220" i="20"/>
  <c r="AK204" i="16"/>
  <c r="F204" i="20"/>
  <c r="AK109" i="16"/>
  <c r="F109" i="20"/>
  <c r="AK177" i="16"/>
  <c r="F177" i="20"/>
  <c r="AK192" i="16"/>
  <c r="F192" i="20"/>
  <c r="AK216" i="16"/>
  <c r="F216" i="20"/>
  <c r="AK156" i="16"/>
  <c r="F156" i="20"/>
  <c r="AK112" i="16"/>
  <c r="F112" i="20"/>
  <c r="AK122" i="16"/>
  <c r="F122" i="20"/>
  <c r="AK74" i="16"/>
  <c r="F74" i="20"/>
  <c r="AK52" i="16"/>
  <c r="F52" i="20"/>
  <c r="AK245" i="16"/>
  <c r="F245" i="20"/>
  <c r="AK24" i="16"/>
  <c r="F24" i="20"/>
  <c r="AK217" i="16"/>
  <c r="F217" i="20"/>
  <c r="AK202" i="16"/>
  <c r="F202" i="20"/>
  <c r="AK252" i="16"/>
  <c r="F252" i="20"/>
  <c r="AK65" i="16"/>
  <c r="F65" i="20"/>
  <c r="AK68" i="16"/>
  <c r="F68" i="20"/>
  <c r="AK166" i="16"/>
  <c r="F166" i="20"/>
  <c r="AK86" i="16"/>
  <c r="F86" i="20"/>
  <c r="AK69" i="16"/>
  <c r="F69" i="20"/>
  <c r="AK120" i="16"/>
  <c r="F120" i="20"/>
  <c r="AK107" i="16"/>
  <c r="F107" i="20"/>
  <c r="AK9" i="16"/>
  <c r="F9" i="20"/>
  <c r="AK226" i="16"/>
  <c r="F226" i="20"/>
  <c r="AK43" i="16"/>
  <c r="F43" i="20"/>
  <c r="AK254" i="16"/>
  <c r="F254" i="20"/>
  <c r="AK70" i="16"/>
  <c r="F70" i="20"/>
  <c r="AK239" i="16"/>
  <c r="F239" i="20"/>
  <c r="AK76" i="16"/>
  <c r="F76" i="20"/>
  <c r="AK176" i="16"/>
  <c r="F176" i="20"/>
  <c r="AK212" i="16"/>
  <c r="F212" i="20"/>
  <c r="AK67" i="16"/>
  <c r="F67" i="20"/>
  <c r="AK178" i="16"/>
  <c r="F178" i="20"/>
  <c r="AK130" i="16"/>
  <c r="F130" i="20"/>
  <c r="AK57" i="16"/>
  <c r="F57" i="20"/>
  <c r="AK221" i="16"/>
  <c r="F221" i="20"/>
  <c r="AK28" i="16"/>
  <c r="F28" i="20"/>
  <c r="AK193" i="16"/>
  <c r="F193" i="20"/>
  <c r="AK206" i="16"/>
  <c r="F206" i="20"/>
  <c r="AK80" i="16"/>
  <c r="F80" i="20"/>
  <c r="AK62" i="16"/>
  <c r="F62" i="20"/>
  <c r="AK37" i="16"/>
  <c r="F37" i="20"/>
  <c r="AK185" i="16"/>
  <c r="F185" i="20"/>
  <c r="AK21" i="16"/>
  <c r="F21" i="20"/>
  <c r="AK173" i="16"/>
  <c r="F173" i="20"/>
  <c r="AK92" i="16"/>
  <c r="F92" i="20"/>
  <c r="AK248" i="16"/>
  <c r="F248" i="20"/>
  <c r="AK167" i="16"/>
  <c r="F167" i="20"/>
  <c r="AK250" i="16"/>
  <c r="F250" i="20"/>
  <c r="AK214" i="16"/>
  <c r="F214" i="20"/>
  <c r="AK32" i="16"/>
  <c r="F32" i="20"/>
  <c r="AK98" i="16"/>
  <c r="F98" i="20"/>
  <c r="AK165" i="16"/>
  <c r="F165" i="20"/>
  <c r="CP231" i="13"/>
  <c r="CP60" i="13"/>
  <c r="BH56" i="13"/>
  <c r="BI56" i="13" s="1"/>
  <c r="BH100" i="13"/>
  <c r="BI100" i="13" s="1"/>
  <c r="BH49" i="13"/>
  <c r="BI49" i="13" s="1"/>
  <c r="CT21" i="13"/>
  <c r="CT165" i="13"/>
  <c r="CZ165" i="13"/>
  <c r="CZ21" i="13"/>
  <c r="CT37" i="13"/>
  <c r="CZ9" i="13"/>
  <c r="CT62" i="13"/>
  <c r="CT212" i="13"/>
  <c r="CZ212" i="13"/>
  <c r="CZ17" i="13"/>
  <c r="CT17" i="13"/>
  <c r="CZ110" i="13"/>
  <c r="CT110" i="13"/>
  <c r="CT243" i="13"/>
  <c r="CZ243" i="13"/>
  <c r="CT80" i="13"/>
  <c r="CZ80" i="13"/>
  <c r="CT184" i="13"/>
  <c r="CT120" i="13"/>
  <c r="CZ20" i="13"/>
  <c r="CT20" i="13"/>
  <c r="CM225" i="13"/>
  <c r="CT6" i="13"/>
  <c r="BV61" i="13"/>
  <c r="AF61" i="16" s="1"/>
  <c r="BV41" i="13"/>
  <c r="AF41" i="16" s="1"/>
  <c r="BV23" i="13"/>
  <c r="AF23" i="16" s="1"/>
  <c r="CZ108" i="13"/>
  <c r="CT108" i="13"/>
  <c r="CZ29" i="13"/>
  <c r="CT29" i="13"/>
  <c r="BV38" i="13"/>
  <c r="AF38" i="16" s="1"/>
  <c r="BV60" i="13"/>
  <c r="AF60" i="16" s="1"/>
  <c r="CZ6" i="13"/>
  <c r="BV124" i="13"/>
  <c r="AF124" i="16" s="1"/>
  <c r="CZ120" i="13"/>
  <c r="CZ148" i="13"/>
  <c r="CJ117" i="13"/>
  <c r="CT18" i="13"/>
  <c r="CZ18" i="13"/>
  <c r="CM231" i="13"/>
  <c r="CJ231" i="13"/>
  <c r="CZ62" i="13"/>
  <c r="BV231" i="13"/>
  <c r="AF231" i="16" s="1"/>
  <c r="CJ124" i="13"/>
  <c r="BV144" i="13"/>
  <c r="AF144" i="16" s="1"/>
  <c r="CJ105" i="13"/>
  <c r="CJ225" i="13"/>
  <c r="CZ19" i="13"/>
  <c r="CT19" i="13"/>
  <c r="CZ52" i="13"/>
  <c r="BV117" i="13"/>
  <c r="AF117" i="16" s="1"/>
  <c r="CP225" i="13"/>
  <c r="CT52" i="13"/>
  <c r="BV44" i="13"/>
  <c r="AF44" i="16" s="1"/>
  <c r="CZ37" i="13"/>
  <c r="CJ61" i="13"/>
  <c r="CJ23" i="13"/>
  <c r="CT7" i="13"/>
  <c r="CZ7" i="13"/>
  <c r="CP44" i="13"/>
  <c r="CT142" i="13"/>
  <c r="CZ184" i="13"/>
  <c r="CJ164" i="13"/>
  <c r="CJ38" i="13"/>
  <c r="BV225" i="13"/>
  <c r="AF225" i="16" s="1"/>
  <c r="CM60" i="13"/>
  <c r="CJ60" i="13"/>
  <c r="CP38" i="13"/>
  <c r="CM23" i="13"/>
  <c r="CM38" i="13"/>
  <c r="CP23" i="13"/>
  <c r="AR100" i="13"/>
  <c r="V100" i="16" s="1"/>
  <c r="CZ142" i="13"/>
  <c r="CM104" i="13"/>
  <c r="CP105" i="13"/>
  <c r="CP40" i="13"/>
  <c r="CM97" i="13"/>
  <c r="CP41" i="13"/>
  <c r="CM164" i="13"/>
  <c r="CM103" i="13"/>
  <c r="CP205" i="13"/>
  <c r="CJ41" i="13"/>
  <c r="CM105" i="13"/>
  <c r="BV105" i="13"/>
  <c r="AF105" i="16" s="1"/>
  <c r="CT3" i="13"/>
  <c r="CZ3" i="13"/>
  <c r="CM41" i="13"/>
  <c r="CP117" i="13"/>
  <c r="CM117" i="13"/>
  <c r="CL8" i="13"/>
  <c r="CJ44" i="13"/>
  <c r="CM44" i="13"/>
  <c r="BU8" i="13"/>
  <c r="AE8" i="16" s="1"/>
  <c r="CV8" i="13"/>
  <c r="CP61" i="13"/>
  <c r="CM135" i="13"/>
  <c r="CM61" i="13"/>
  <c r="CJ135" i="13"/>
  <c r="BU93" i="13"/>
  <c r="AE93" i="16" s="1"/>
  <c r="CV93" i="13"/>
  <c r="BW93" i="13"/>
  <c r="CL93" i="13"/>
  <c r="CP135" i="13"/>
  <c r="AJ93" i="16"/>
  <c r="CO93" i="13"/>
  <c r="CM144" i="13"/>
  <c r="BV135" i="13"/>
  <c r="AF135" i="16" s="1"/>
  <c r="CT148" i="13"/>
  <c r="AR56" i="13"/>
  <c r="V56" i="16" s="1"/>
  <c r="AR49" i="13"/>
  <c r="V49" i="16" s="1"/>
  <c r="CM124" i="13"/>
  <c r="CP124" i="13"/>
  <c r="CM205" i="13"/>
  <c r="CM5" i="13"/>
  <c r="CP5" i="13"/>
  <c r="BV205" i="13"/>
  <c r="AF205" i="16" s="1"/>
  <c r="AS51" i="13"/>
  <c r="BV5" i="13"/>
  <c r="AF5" i="16" s="1"/>
  <c r="AS199" i="13"/>
  <c r="CJ5" i="13"/>
  <c r="CJ205" i="13"/>
  <c r="AQ131" i="13"/>
  <c r="U131" i="16" s="1"/>
  <c r="AS131" i="13"/>
  <c r="AQ51" i="13"/>
  <c r="U51" i="16" s="1"/>
  <c r="AS118" i="13"/>
  <c r="AQ118" i="13"/>
  <c r="U118" i="16" s="1"/>
  <c r="AQ199" i="13"/>
  <c r="U199" i="16" s="1"/>
  <c r="AQ99" i="13"/>
  <c r="U99" i="16" s="1"/>
  <c r="AS99" i="13"/>
  <c r="CV228" i="13"/>
  <c r="BU228" i="13"/>
  <c r="CL228" i="13"/>
  <c r="CO228" i="13"/>
  <c r="CP103" i="13"/>
  <c r="CP104" i="13"/>
  <c r="CM96" i="13"/>
  <c r="CM87" i="13"/>
  <c r="CP96" i="13"/>
  <c r="CM40" i="13"/>
  <c r="CP97" i="13"/>
  <c r="CM134" i="13"/>
  <c r="CP83" i="13"/>
  <c r="CP87" i="13"/>
  <c r="CP143" i="13"/>
  <c r="CP36" i="13"/>
  <c r="CT203" i="13"/>
  <c r="CZ203" i="13"/>
  <c r="CZ249" i="13"/>
  <c r="CT249" i="13"/>
  <c r="CJ89" i="13"/>
  <c r="CJ78" i="13"/>
  <c r="BV83" i="13"/>
  <c r="AF83" i="16" s="1"/>
  <c r="CT217" i="13"/>
  <c r="CZ217" i="13"/>
  <c r="CT63" i="13"/>
  <c r="CZ63" i="13"/>
  <c r="CJ42" i="13"/>
  <c r="CZ130" i="13"/>
  <c r="CT130" i="13"/>
  <c r="CZ113" i="13"/>
  <c r="CT113" i="13"/>
  <c r="CJ59" i="13"/>
  <c r="CZ28" i="13"/>
  <c r="CT28" i="13"/>
  <c r="CZ193" i="13"/>
  <c r="CT193" i="13"/>
  <c r="CZ66" i="13"/>
  <c r="CT66" i="13"/>
  <c r="BV78" i="13"/>
  <c r="AF78" i="16" s="1"/>
  <c r="CZ102" i="13"/>
  <c r="CT102" i="13"/>
  <c r="CZ173" i="13"/>
  <c r="CT173" i="13"/>
  <c r="BV59" i="13"/>
  <c r="AF59" i="16" s="1"/>
  <c r="CM36" i="13"/>
  <c r="CZ177" i="13"/>
  <c r="CT177" i="13"/>
  <c r="CT214" i="13"/>
  <c r="CZ214" i="13"/>
  <c r="CZ250" i="13"/>
  <c r="CT250" i="13"/>
  <c r="CZ86" i="13"/>
  <c r="CT86" i="13"/>
  <c r="CZ219" i="13"/>
  <c r="CT219" i="13"/>
  <c r="CP89" i="13"/>
  <c r="CT106" i="13"/>
  <c r="CZ106" i="13"/>
  <c r="CT202" i="13"/>
  <c r="CZ202" i="13"/>
  <c r="CT245" i="13"/>
  <c r="CZ245" i="13"/>
  <c r="CP78" i="13"/>
  <c r="CM83" i="13"/>
  <c r="CP42" i="13"/>
  <c r="CP59" i="13"/>
  <c r="CT239" i="13"/>
  <c r="CZ239" i="13"/>
  <c r="BV97" i="13"/>
  <c r="AF97" i="16" s="1"/>
  <c r="CM78" i="13"/>
  <c r="CM89" i="13"/>
  <c r="CJ97" i="13"/>
  <c r="CZ166" i="13"/>
  <c r="CT166" i="13"/>
  <c r="CM59" i="13"/>
  <c r="CZ185" i="13"/>
  <c r="CT185" i="13"/>
  <c r="CZ230" i="13"/>
  <c r="CT230" i="13"/>
  <c r="CJ87" i="13"/>
  <c r="CZ24" i="13"/>
  <c r="CT24" i="13"/>
  <c r="CJ104" i="13"/>
  <c r="CZ76" i="13"/>
  <c r="CT76" i="13"/>
  <c r="CT221" i="13"/>
  <c r="CZ221" i="13"/>
  <c r="CT73" i="13"/>
  <c r="CZ73" i="13"/>
  <c r="CZ69" i="13"/>
  <c r="CT69" i="13"/>
  <c r="CT246" i="13"/>
  <c r="CZ246" i="13"/>
  <c r="CM42" i="13"/>
  <c r="CZ222" i="13"/>
  <c r="CT222" i="13"/>
  <c r="CT43" i="13"/>
  <c r="CZ43" i="13"/>
  <c r="CT253" i="13"/>
  <c r="CZ253" i="13"/>
  <c r="CJ36" i="13"/>
  <c r="CZ160" i="13"/>
  <c r="CT160" i="13"/>
  <c r="CZ227" i="13"/>
  <c r="BV89" i="13"/>
  <c r="AF89" i="16" s="1"/>
  <c r="CZ204" i="13"/>
  <c r="CT204" i="13"/>
  <c r="CZ220" i="13"/>
  <c r="CT220" i="13"/>
  <c r="CT68" i="13"/>
  <c r="CZ68" i="13"/>
  <c r="CT57" i="13"/>
  <c r="CZ57" i="13"/>
  <c r="CJ83" i="13"/>
  <c r="CT178" i="13"/>
  <c r="CZ178" i="13"/>
  <c r="BV36" i="13"/>
  <c r="AF36" i="16" s="1"/>
  <c r="CZ176" i="13"/>
  <c r="CT176" i="13"/>
  <c r="CT111" i="13"/>
  <c r="CZ111" i="13"/>
  <c r="CJ103" i="13"/>
  <c r="BV143" i="13"/>
  <c r="AF143" i="16" s="1"/>
  <c r="BV42" i="13"/>
  <c r="AF42" i="16" s="1"/>
  <c r="CJ134" i="13"/>
  <c r="CJ39" i="13"/>
  <c r="CZ156" i="13"/>
  <c r="CT156" i="13"/>
  <c r="CZ254" i="13"/>
  <c r="CT254" i="13"/>
  <c r="BV103" i="13"/>
  <c r="AF103" i="16" s="1"/>
  <c r="BW91" i="13"/>
  <c r="CL91" i="13"/>
  <c r="BU91" i="13"/>
  <c r="CV91" i="13"/>
  <c r="CZ192" i="13"/>
  <c r="CT192" i="13"/>
  <c r="CZ71" i="13"/>
  <c r="CT71" i="13"/>
  <c r="CT167" i="13"/>
  <c r="CZ167" i="13"/>
  <c r="BV134" i="13"/>
  <c r="AF134" i="16" s="1"/>
  <c r="CM143" i="13"/>
  <c r="BV104" i="13"/>
  <c r="AF104" i="16" s="1"/>
  <c r="CT50" i="13"/>
  <c r="CZ50" i="13"/>
  <c r="CZ115" i="13"/>
  <c r="CT115" i="13"/>
  <c r="CZ180" i="13"/>
  <c r="CT180" i="13"/>
  <c r="CP134" i="13"/>
  <c r="BV164" i="13"/>
  <c r="AF164" i="16" s="1"/>
  <c r="CZ252" i="13"/>
  <c r="CT252" i="13"/>
  <c r="CP39" i="13"/>
  <c r="CT206" i="13"/>
  <c r="CZ206" i="13"/>
  <c r="CT159" i="13"/>
  <c r="CZ159" i="13"/>
  <c r="CZ122" i="13"/>
  <c r="CT122" i="13"/>
  <c r="CZ209" i="13"/>
  <c r="CT209" i="13"/>
  <c r="CZ213" i="13"/>
  <c r="CT213" i="13"/>
  <c r="CZ232" i="13"/>
  <c r="CT232" i="13"/>
  <c r="CZ109" i="13"/>
  <c r="CT109" i="13"/>
  <c r="CT248" i="13"/>
  <c r="CZ248" i="13"/>
  <c r="CT200" i="13"/>
  <c r="CZ200" i="13"/>
  <c r="CJ143" i="13"/>
  <c r="BV87" i="13"/>
  <c r="AF87" i="16" s="1"/>
  <c r="CO91" i="13"/>
  <c r="CZ216" i="13"/>
  <c r="CT216" i="13"/>
  <c r="CZ72" i="13"/>
  <c r="CT72" i="13"/>
  <c r="CZ215" i="13"/>
  <c r="CT215" i="13"/>
  <c r="CJ40" i="13"/>
  <c r="CJ96" i="13"/>
  <c r="BV40" i="13"/>
  <c r="AF40" i="16" s="1"/>
  <c r="CM39" i="13"/>
  <c r="CZ163" i="13"/>
  <c r="CT181" i="13"/>
  <c r="CZ181" i="13"/>
  <c r="CT191" i="13"/>
  <c r="CZ191" i="13"/>
  <c r="CZ179" i="13"/>
  <c r="CT179" i="13"/>
  <c r="CT92" i="13"/>
  <c r="CZ92" i="13"/>
  <c r="CT90" i="13"/>
  <c r="CZ90" i="13"/>
  <c r="CZ112" i="13"/>
  <c r="CT112" i="13"/>
  <c r="CZ226" i="13"/>
  <c r="CT229" i="13"/>
  <c r="CZ229" i="13"/>
  <c r="CZ74" i="13"/>
  <c r="CT74" i="13"/>
  <c r="CT223" i="13"/>
  <c r="CZ223" i="13"/>
  <c r="CZ141" i="13"/>
  <c r="CT141" i="13"/>
  <c r="BV39" i="13"/>
  <c r="AF39" i="16" s="1"/>
  <c r="CZ65" i="13"/>
  <c r="CT65" i="13"/>
  <c r="CZ251" i="13"/>
  <c r="CT251" i="13"/>
  <c r="BV96" i="13"/>
  <c r="AF96" i="16" s="1"/>
  <c r="CT151" i="13"/>
  <c r="CZ151" i="13"/>
  <c r="CT70" i="13"/>
  <c r="CZ70" i="13"/>
  <c r="CV47" i="13"/>
  <c r="CV54" i="13"/>
  <c r="CV46" i="13"/>
  <c r="CV55" i="13"/>
  <c r="CV198" i="13"/>
  <c r="BW46" i="13"/>
  <c r="BW55" i="13"/>
  <c r="BW54" i="13"/>
  <c r="BW198" i="13"/>
  <c r="CZ207" i="13"/>
  <c r="BW47" i="13"/>
  <c r="CL54" i="13"/>
  <c r="CM54" i="13" s="1"/>
  <c r="CL46" i="13"/>
  <c r="CM46" i="13" s="1"/>
  <c r="CL47" i="13"/>
  <c r="CM47" i="13" s="1"/>
  <c r="CL198" i="13"/>
  <c r="CM198" i="13" s="1"/>
  <c r="CL55" i="13"/>
  <c r="CM55" i="13" s="1"/>
  <c r="AJ8" i="16" l="1"/>
  <c r="AU270" i="13"/>
  <c r="AB56" i="16"/>
  <c r="AI56" i="16" s="1"/>
  <c r="K56" i="23"/>
  <c r="AB49" i="16"/>
  <c r="K49" i="23"/>
  <c r="AB100" i="16"/>
  <c r="K100" i="23"/>
  <c r="G97" i="20"/>
  <c r="F97" i="23"/>
  <c r="G97" i="23" s="1"/>
  <c r="G205" i="20"/>
  <c r="F205" i="23"/>
  <c r="G205" i="23" s="1"/>
  <c r="G60" i="20"/>
  <c r="F60" i="23"/>
  <c r="G60" i="23" s="1"/>
  <c r="G5" i="20"/>
  <c r="F5" i="23"/>
  <c r="G5" i="23" s="1"/>
  <c r="G135" i="20"/>
  <c r="F135" i="23"/>
  <c r="G135" i="23" s="1"/>
  <c r="G38" i="20"/>
  <c r="F38" i="23"/>
  <c r="G38" i="23" s="1"/>
  <c r="G231" i="20"/>
  <c r="F231" i="23"/>
  <c r="G231" i="23" s="1"/>
  <c r="G39" i="20"/>
  <c r="F39" i="23"/>
  <c r="G39" i="23" s="1"/>
  <c r="G89" i="20"/>
  <c r="F89" i="23"/>
  <c r="G89" i="23" s="1"/>
  <c r="G96" i="20"/>
  <c r="F96" i="23"/>
  <c r="G96" i="23" s="1"/>
  <c r="G134" i="20"/>
  <c r="F134" i="23"/>
  <c r="G134" i="23" s="1"/>
  <c r="G41" i="20"/>
  <c r="F41" i="23"/>
  <c r="G41" i="23" s="1"/>
  <c r="G59" i="20"/>
  <c r="F59" i="23"/>
  <c r="G59" i="23" s="1"/>
  <c r="G124" i="20"/>
  <c r="F124" i="23"/>
  <c r="G124" i="23" s="1"/>
  <c r="G42" i="20"/>
  <c r="F42" i="23"/>
  <c r="G42" i="23" s="1"/>
  <c r="G104" i="20"/>
  <c r="F104" i="23"/>
  <c r="G104" i="23" s="1"/>
  <c r="G117" i="20"/>
  <c r="F117" i="23"/>
  <c r="G117" i="23" s="1"/>
  <c r="G40" i="20"/>
  <c r="F40" i="23"/>
  <c r="G40" i="23" s="1"/>
  <c r="G225" i="20"/>
  <c r="F225" i="23"/>
  <c r="G225" i="23" s="1"/>
  <c r="G103" i="20"/>
  <c r="F103" i="23"/>
  <c r="G103" i="23" s="1"/>
  <c r="G105" i="20"/>
  <c r="F105" i="23"/>
  <c r="G105" i="23" s="1"/>
  <c r="G78" i="20"/>
  <c r="F78" i="23"/>
  <c r="G78" i="23" s="1"/>
  <c r="G36" i="20"/>
  <c r="F36" i="23"/>
  <c r="G36" i="23" s="1"/>
  <c r="G143" i="20"/>
  <c r="F143" i="23"/>
  <c r="G143" i="23" s="1"/>
  <c r="G87" i="20"/>
  <c r="F87" i="23"/>
  <c r="G87" i="23" s="1"/>
  <c r="G61" i="20"/>
  <c r="F61" i="23"/>
  <c r="G61" i="23" s="1"/>
  <c r="G44" i="20"/>
  <c r="F44" i="23"/>
  <c r="G44" i="23" s="1"/>
  <c r="G83" i="20"/>
  <c r="F83" i="23"/>
  <c r="G83" i="23" s="1"/>
  <c r="G23" i="20"/>
  <c r="F23" i="23"/>
  <c r="G23" i="23" s="1"/>
  <c r="AK143" i="16"/>
  <c r="F143" i="20"/>
  <c r="AK39" i="16"/>
  <c r="F39" i="20"/>
  <c r="AK83" i="16"/>
  <c r="F83" i="20"/>
  <c r="AK231" i="16"/>
  <c r="F231" i="20"/>
  <c r="AK134" i="16"/>
  <c r="F134" i="20"/>
  <c r="AK135" i="16"/>
  <c r="F135" i="20"/>
  <c r="AK40" i="16"/>
  <c r="F40" i="20"/>
  <c r="AK42" i="16"/>
  <c r="F42" i="20"/>
  <c r="AK205" i="16"/>
  <c r="F205" i="20"/>
  <c r="AK36" i="16"/>
  <c r="F36" i="20"/>
  <c r="AK164" i="16"/>
  <c r="F164" i="20"/>
  <c r="AK117" i="16"/>
  <c r="F117" i="20"/>
  <c r="AK103" i="16"/>
  <c r="F103" i="20"/>
  <c r="AK225" i="16"/>
  <c r="F225" i="20"/>
  <c r="AK97" i="16"/>
  <c r="F97" i="20"/>
  <c r="AK104" i="16"/>
  <c r="F104" i="20"/>
  <c r="AK41" i="16"/>
  <c r="F41" i="20"/>
  <c r="AK105" i="16"/>
  <c r="F105" i="20"/>
  <c r="AK23" i="16"/>
  <c r="F23" i="20"/>
  <c r="AK38" i="16"/>
  <c r="F38" i="20"/>
  <c r="AK96" i="16"/>
  <c r="F96" i="20"/>
  <c r="AK5" i="16"/>
  <c r="F5" i="20"/>
  <c r="AK78" i="16"/>
  <c r="F78" i="20"/>
  <c r="AK61" i="16"/>
  <c r="F61" i="20"/>
  <c r="AK124" i="16"/>
  <c r="F124" i="20"/>
  <c r="AK87" i="16"/>
  <c r="F87" i="20"/>
  <c r="AK59" i="16"/>
  <c r="F59" i="20"/>
  <c r="AK89" i="16"/>
  <c r="F89" i="20"/>
  <c r="AK44" i="16"/>
  <c r="F44" i="20"/>
  <c r="AK60" i="16"/>
  <c r="F60" i="20"/>
  <c r="BH131" i="13"/>
  <c r="BI131" i="13" s="1"/>
  <c r="BH99" i="13"/>
  <c r="BI99" i="13" s="1"/>
  <c r="BH199" i="13"/>
  <c r="BI199" i="13" s="1"/>
  <c r="BH118" i="13"/>
  <c r="BI118" i="13" s="1"/>
  <c r="BH51" i="13"/>
  <c r="BI51" i="13" s="1"/>
  <c r="CZ38" i="13"/>
  <c r="CY264" i="13"/>
  <c r="CZ117" i="13"/>
  <c r="CZ144" i="13"/>
  <c r="CT144" i="13"/>
  <c r="CT124" i="13"/>
  <c r="CT61" i="13"/>
  <c r="CZ61" i="13"/>
  <c r="CZ44" i="13"/>
  <c r="CT41" i="13"/>
  <c r="CZ41" i="13"/>
  <c r="CZ23" i="13"/>
  <c r="AD49" i="16"/>
  <c r="AI49" i="16"/>
  <c r="AH49" i="16"/>
  <c r="AH56" i="16"/>
  <c r="AD100" i="16"/>
  <c r="AI100" i="16"/>
  <c r="AH100" i="16"/>
  <c r="CJ8" i="13"/>
  <c r="CT225" i="13"/>
  <c r="CZ225" i="13"/>
  <c r="BV8" i="13"/>
  <c r="AF8" i="16" s="1"/>
  <c r="CT44" i="13"/>
  <c r="CZ124" i="13"/>
  <c r="CS100" i="13"/>
  <c r="CT23" i="13"/>
  <c r="CS56" i="13"/>
  <c r="CT60" i="13"/>
  <c r="CZ60" i="13"/>
  <c r="CT117" i="13"/>
  <c r="CT231" i="13"/>
  <c r="CZ231" i="13"/>
  <c r="CT38" i="13"/>
  <c r="CU100" i="13"/>
  <c r="CY100" i="13"/>
  <c r="CT105" i="13"/>
  <c r="CZ105" i="13"/>
  <c r="CM8" i="13"/>
  <c r="CP8" i="13"/>
  <c r="CM93" i="13"/>
  <c r="CG224" i="13"/>
  <c r="CY56" i="13"/>
  <c r="CH256" i="13"/>
  <c r="CU56" i="13"/>
  <c r="CP93" i="13"/>
  <c r="CJ93" i="13"/>
  <c r="BV93" i="13"/>
  <c r="AF93" i="16" s="1"/>
  <c r="CT135" i="13"/>
  <c r="CZ135" i="13"/>
  <c r="AR131" i="13"/>
  <c r="V131" i="16" s="1"/>
  <c r="CS49" i="13"/>
  <c r="CY49" i="13"/>
  <c r="CU49" i="13"/>
  <c r="CJ91" i="13"/>
  <c r="CZ205" i="13"/>
  <c r="CT205" i="13"/>
  <c r="CJ228" i="13"/>
  <c r="AR118" i="13"/>
  <c r="V118" i="16" s="1"/>
  <c r="CH258" i="13"/>
  <c r="CG258" i="13"/>
  <c r="BT258" i="13"/>
  <c r="BV228" i="13"/>
  <c r="AF228" i="16" s="1"/>
  <c r="CZ5" i="13"/>
  <c r="CT5" i="13"/>
  <c r="AR199" i="13"/>
  <c r="V199" i="16" s="1"/>
  <c r="AR51" i="13"/>
  <c r="V51" i="16" s="1"/>
  <c r="AR99" i="13"/>
  <c r="CM228" i="13"/>
  <c r="CT40" i="13"/>
  <c r="CZ40" i="13"/>
  <c r="CZ164" i="13"/>
  <c r="BV91" i="13"/>
  <c r="AF91" i="16" s="1"/>
  <c r="CZ97" i="13"/>
  <c r="CT97" i="13"/>
  <c r="CT78" i="13"/>
  <c r="CZ78" i="13"/>
  <c r="BJ100" i="13"/>
  <c r="CM91" i="13"/>
  <c r="BJ49" i="13"/>
  <c r="CZ42" i="13"/>
  <c r="CT42" i="13"/>
  <c r="CT83" i="13"/>
  <c r="CZ83" i="13"/>
  <c r="BJ56" i="13"/>
  <c r="CZ96" i="13"/>
  <c r="CT96" i="13"/>
  <c r="CZ39" i="13"/>
  <c r="CT39" i="13"/>
  <c r="CT87" i="13"/>
  <c r="CZ87" i="13"/>
  <c r="CT104" i="13"/>
  <c r="CZ104" i="13"/>
  <c r="CT134" i="13"/>
  <c r="CZ134" i="13"/>
  <c r="CT143" i="13"/>
  <c r="CZ143" i="13"/>
  <c r="CT89" i="13"/>
  <c r="CZ89" i="13"/>
  <c r="CZ59" i="13"/>
  <c r="CT59" i="13"/>
  <c r="CT103" i="13"/>
  <c r="CZ103" i="13"/>
  <c r="CT36" i="13"/>
  <c r="CZ36" i="13"/>
  <c r="CZ55" i="13"/>
  <c r="CZ47" i="13"/>
  <c r="CT207" i="13"/>
  <c r="CZ54" i="13"/>
  <c r="AD56" i="16" l="1"/>
  <c r="AB51" i="16"/>
  <c r="AD51" i="16" s="1"/>
  <c r="K51" i="23"/>
  <c r="AB118" i="16"/>
  <c r="K118" i="23"/>
  <c r="AB199" i="16"/>
  <c r="K199" i="23"/>
  <c r="AB131" i="16"/>
  <c r="AI131" i="16" s="1"/>
  <c r="K131" i="23"/>
  <c r="AB99" i="16"/>
  <c r="AH99" i="16" s="1"/>
  <c r="K99" i="23"/>
  <c r="V99" i="16"/>
  <c r="G8" i="20"/>
  <c r="F8" i="23"/>
  <c r="G8" i="23" s="1"/>
  <c r="G93" i="20"/>
  <c r="F93" i="23"/>
  <c r="G93" i="23" s="1"/>
  <c r="CI258" i="13"/>
  <c r="E258" i="20" s="1"/>
  <c r="AK8" i="16"/>
  <c r="F8" i="20"/>
  <c r="AK228" i="16"/>
  <c r="F228" i="20"/>
  <c r="AK93" i="16"/>
  <c r="F93" i="20"/>
  <c r="AK91" i="16"/>
  <c r="F91" i="20"/>
  <c r="CT8" i="13"/>
  <c r="CZ8" i="13"/>
  <c r="AD118" i="16"/>
  <c r="AH118" i="16"/>
  <c r="AI118" i="16"/>
  <c r="AI51" i="16"/>
  <c r="AH51" i="16"/>
  <c r="AI199" i="16"/>
  <c r="AD199" i="16"/>
  <c r="AH199" i="16"/>
  <c r="CH233" i="13"/>
  <c r="CS131" i="13"/>
  <c r="BT255" i="13"/>
  <c r="BW255" i="13" s="1"/>
  <c r="AQ274" i="13"/>
  <c r="AS274" i="13"/>
  <c r="AR274" i="13"/>
  <c r="BT224" i="13"/>
  <c r="BU224" i="13" s="1"/>
  <c r="AE224" i="16" s="1"/>
  <c r="CH224" i="13"/>
  <c r="CY131" i="13"/>
  <c r="CU131" i="13"/>
  <c r="BT259" i="13"/>
  <c r="BW259" i="13" s="1"/>
  <c r="CG119" i="13"/>
  <c r="CH119" i="13"/>
  <c r="BT119" i="13"/>
  <c r="BT257" i="13"/>
  <c r="BU257" i="13" s="1"/>
  <c r="AE257" i="16" s="1"/>
  <c r="BT256" i="13"/>
  <c r="BU256" i="13" s="1"/>
  <c r="AE256" i="16" s="1"/>
  <c r="CG256" i="13"/>
  <c r="CS118" i="13"/>
  <c r="CZ93" i="13"/>
  <c r="CT93" i="13"/>
  <c r="CH101" i="13"/>
  <c r="CG101" i="13"/>
  <c r="BT101" i="13"/>
  <c r="CH58" i="13"/>
  <c r="CG58" i="13"/>
  <c r="BT58" i="13"/>
  <c r="CY118" i="13"/>
  <c r="CU118" i="13"/>
  <c r="CZ228" i="13"/>
  <c r="CY99" i="13"/>
  <c r="CY263" i="13" s="1"/>
  <c r="BT118" i="13"/>
  <c r="CY51" i="13"/>
  <c r="BT233" i="13"/>
  <c r="BW258" i="13"/>
  <c r="CL258" i="13"/>
  <c r="BU258" i="13"/>
  <c r="AE258" i="16" s="1"/>
  <c r="CV258" i="13"/>
  <c r="CO258" i="13"/>
  <c r="AJ258" i="16"/>
  <c r="CU199" i="13"/>
  <c r="CY199" i="13"/>
  <c r="CS199" i="13"/>
  <c r="CS51" i="13"/>
  <c r="CU51" i="13"/>
  <c r="CS99" i="13"/>
  <c r="CU99" i="13"/>
  <c r="BJ118" i="13"/>
  <c r="BJ99" i="13"/>
  <c r="BJ131" i="13"/>
  <c r="CH100" i="13"/>
  <c r="CG100" i="13"/>
  <c r="BT100" i="13"/>
  <c r="BJ199" i="13"/>
  <c r="CH56" i="13"/>
  <c r="CG56" i="13"/>
  <c r="BT56" i="13"/>
  <c r="CH49" i="13"/>
  <c r="CG49" i="13"/>
  <c r="BT49" i="13"/>
  <c r="BJ51" i="13"/>
  <c r="CZ91" i="13"/>
  <c r="CT46" i="13"/>
  <c r="CT47" i="13"/>
  <c r="CT198" i="13"/>
  <c r="CT54" i="13"/>
  <c r="CT55" i="13"/>
  <c r="CZ198" i="13"/>
  <c r="CZ46" i="13"/>
  <c r="CV255" i="13" l="1"/>
  <c r="CI100" i="13"/>
  <c r="AJ100" i="16" s="1"/>
  <c r="AD131" i="16"/>
  <c r="BT131" i="13" s="1"/>
  <c r="AH131" i="16"/>
  <c r="AI99" i="16"/>
  <c r="AD99" i="16"/>
  <c r="BT99" i="13" s="1"/>
  <c r="CI58" i="13"/>
  <c r="E58" i="20" s="1"/>
  <c r="CI101" i="13"/>
  <c r="E101" i="20" s="1"/>
  <c r="CI56" i="13"/>
  <c r="E56" i="20" s="1"/>
  <c r="CI119" i="13"/>
  <c r="E119" i="20" s="1"/>
  <c r="CI256" i="13"/>
  <c r="E256" i="20" s="1"/>
  <c r="E100" i="20"/>
  <c r="CI49" i="13"/>
  <c r="E49" i="20" s="1"/>
  <c r="CI224" i="13"/>
  <c r="CJ224" i="13" s="1"/>
  <c r="CY267" i="13"/>
  <c r="BU255" i="13"/>
  <c r="AE255" i="16" s="1"/>
  <c r="CL224" i="13"/>
  <c r="CM224" i="13" s="1"/>
  <c r="CL255" i="13"/>
  <c r="CM255" i="13" s="1"/>
  <c r="CV224" i="13"/>
  <c r="BW224" i="13"/>
  <c r="CO224" i="13"/>
  <c r="BW257" i="13"/>
  <c r="CG257" i="13"/>
  <c r="CL257" i="13"/>
  <c r="CM257" i="13" s="1"/>
  <c r="CH257" i="13"/>
  <c r="CV257" i="13"/>
  <c r="CV256" i="13"/>
  <c r="CL256" i="13"/>
  <c r="CM256" i="13" s="1"/>
  <c r="BW256" i="13"/>
  <c r="CL259" i="13"/>
  <c r="CV259" i="13"/>
  <c r="CH259" i="13"/>
  <c r="CO256" i="13"/>
  <c r="BU259" i="13"/>
  <c r="AE259" i="16" s="1"/>
  <c r="CG259" i="13"/>
  <c r="BU101" i="13"/>
  <c r="AE101" i="16" s="1"/>
  <c r="CV101" i="13"/>
  <c r="BW101" i="13"/>
  <c r="CL101" i="13"/>
  <c r="CO101" i="13"/>
  <c r="CH132" i="13"/>
  <c r="CG132" i="13"/>
  <c r="BT132" i="13"/>
  <c r="BW119" i="13"/>
  <c r="BU119" i="13"/>
  <c r="AE119" i="16" s="1"/>
  <c r="CV119" i="13"/>
  <c r="CL119" i="13"/>
  <c r="CG53" i="13"/>
  <c r="CH53" i="13"/>
  <c r="BT53" i="13"/>
  <c r="BW58" i="13"/>
  <c r="CL58" i="13"/>
  <c r="BU58" i="13"/>
  <c r="AE58" i="16" s="1"/>
  <c r="CV58" i="13"/>
  <c r="CO58" i="13"/>
  <c r="AJ58" i="16"/>
  <c r="CO119" i="13"/>
  <c r="CH118" i="13"/>
  <c r="CY265" i="13"/>
  <c r="CP258" i="13"/>
  <c r="CM258" i="13"/>
  <c r="CJ258" i="13"/>
  <c r="CJ255" i="13"/>
  <c r="CO255" i="13"/>
  <c r="CG118" i="13"/>
  <c r="CH260" i="13"/>
  <c r="CG260" i="13"/>
  <c r="BT260" i="13"/>
  <c r="BV257" i="13"/>
  <c r="AF257" i="16" s="1"/>
  <c r="BV258" i="13"/>
  <c r="AF258" i="16" s="1"/>
  <c r="BV256" i="13"/>
  <c r="AF256" i="16" s="1"/>
  <c r="BV224" i="13"/>
  <c r="AF224" i="16" s="1"/>
  <c r="BW233" i="13"/>
  <c r="CL233" i="13"/>
  <c r="BU233" i="13"/>
  <c r="AE233" i="16" s="1"/>
  <c r="CV233" i="13"/>
  <c r="BU56" i="13"/>
  <c r="AE56" i="16" s="1"/>
  <c r="CL56" i="13"/>
  <c r="BW56" i="13"/>
  <c r="CV56" i="13"/>
  <c r="BU100" i="13"/>
  <c r="AE100" i="16" s="1"/>
  <c r="CL100" i="13"/>
  <c r="CV100" i="13"/>
  <c r="BW100" i="13"/>
  <c r="CH51" i="13"/>
  <c r="CG51" i="13"/>
  <c r="BT51" i="13"/>
  <c r="BW118" i="13"/>
  <c r="BU118" i="13"/>
  <c r="AE118" i="16" s="1"/>
  <c r="CV118" i="13"/>
  <c r="CL118" i="13"/>
  <c r="CH131" i="13"/>
  <c r="CG131" i="13"/>
  <c r="CO56" i="13"/>
  <c r="AJ56" i="16"/>
  <c r="BU49" i="13"/>
  <c r="AE49" i="16" s="1"/>
  <c r="CL49" i="13"/>
  <c r="BW49" i="13"/>
  <c r="CV49" i="13"/>
  <c r="CH99" i="13"/>
  <c r="CO100" i="13"/>
  <c r="CO49" i="13"/>
  <c r="CH199" i="13"/>
  <c r="CG199" i="13"/>
  <c r="BT199" i="13"/>
  <c r="CP256" i="13" l="1"/>
  <c r="CJ256" i="13"/>
  <c r="AJ49" i="16"/>
  <c r="CI260" i="13"/>
  <c r="AJ101" i="16"/>
  <c r="CI199" i="13"/>
  <c r="CI131" i="13"/>
  <c r="AJ119" i="16"/>
  <c r="G258" i="20"/>
  <c r="F258" i="23"/>
  <c r="G258" i="23" s="1"/>
  <c r="G256" i="20"/>
  <c r="F256" i="23"/>
  <c r="G256" i="23" s="1"/>
  <c r="CI132" i="13"/>
  <c r="E132" i="20" s="1"/>
  <c r="CI51" i="13"/>
  <c r="E51" i="20" s="1"/>
  <c r="CI259" i="13"/>
  <c r="AJ259" i="16" s="1"/>
  <c r="CI257" i="13"/>
  <c r="AJ257" i="16" s="1"/>
  <c r="CP224" i="13"/>
  <c r="CI53" i="13"/>
  <c r="E53" i="20" s="1"/>
  <c r="E224" i="20"/>
  <c r="E260" i="20"/>
  <c r="AJ224" i="16"/>
  <c r="CI118" i="13"/>
  <c r="E118" i="20" s="1"/>
  <c r="E131" i="20"/>
  <c r="E199" i="20"/>
  <c r="AJ256" i="16"/>
  <c r="AK256" i="16"/>
  <c r="F256" i="20"/>
  <c r="AK224" i="16"/>
  <c r="F224" i="20"/>
  <c r="AK258" i="16"/>
  <c r="F258" i="20"/>
  <c r="AK255" i="16"/>
  <c r="BV255" i="13"/>
  <c r="CZ255" i="13" s="1"/>
  <c r="BV233" i="13"/>
  <c r="AF233" i="16" s="1"/>
  <c r="BV119" i="13"/>
  <c r="AF119" i="16" s="1"/>
  <c r="BV259" i="13"/>
  <c r="AF259" i="16" s="1"/>
  <c r="CJ119" i="13"/>
  <c r="CO257" i="13"/>
  <c r="CM259" i="13"/>
  <c r="CP101" i="13"/>
  <c r="CO259" i="13"/>
  <c r="CM119" i="13"/>
  <c r="CM58" i="13"/>
  <c r="CM101" i="13"/>
  <c r="CP58" i="13"/>
  <c r="CO53" i="13"/>
  <c r="CO132" i="13"/>
  <c r="CJ101" i="13"/>
  <c r="BV58" i="13"/>
  <c r="AF58" i="16" s="1"/>
  <c r="CP119" i="13"/>
  <c r="CJ58" i="13"/>
  <c r="CV53" i="13"/>
  <c r="BW53" i="13"/>
  <c r="BU53" i="13"/>
  <c r="AE53" i="16" s="1"/>
  <c r="CL53" i="13"/>
  <c r="CL132" i="13"/>
  <c r="CV132" i="13"/>
  <c r="BW132" i="13"/>
  <c r="BU132" i="13"/>
  <c r="AE132" i="16" s="1"/>
  <c r="BV101" i="13"/>
  <c r="AF101" i="16" s="1"/>
  <c r="CO118" i="13"/>
  <c r="CM233" i="13"/>
  <c r="BW260" i="13"/>
  <c r="CL260" i="13"/>
  <c r="BU260" i="13"/>
  <c r="AE260" i="16" s="1"/>
  <c r="CV260" i="13"/>
  <c r="CZ258" i="13"/>
  <c r="CT258" i="13"/>
  <c r="CO260" i="13"/>
  <c r="AJ260" i="16"/>
  <c r="CZ224" i="13"/>
  <c r="CT224" i="13"/>
  <c r="CP255" i="13"/>
  <c r="F255" i="23" s="1"/>
  <c r="G255" i="23" s="1"/>
  <c r="CT257" i="13"/>
  <c r="CZ257" i="13"/>
  <c r="CT256" i="13"/>
  <c r="CZ256" i="13"/>
  <c r="CM56" i="13"/>
  <c r="CP49" i="13"/>
  <c r="CM118" i="13"/>
  <c r="CM100" i="13"/>
  <c r="CM49" i="13"/>
  <c r="CP100" i="13"/>
  <c r="CJ56" i="13"/>
  <c r="BU99" i="13"/>
  <c r="AE99" i="16" s="1"/>
  <c r="CL99" i="13"/>
  <c r="CV99" i="13"/>
  <c r="BW99" i="13"/>
  <c r="CP56" i="13"/>
  <c r="CO199" i="13"/>
  <c r="AJ199" i="16"/>
  <c r="BV118" i="13"/>
  <c r="AF118" i="16" s="1"/>
  <c r="BV100" i="13"/>
  <c r="AF100" i="16" s="1"/>
  <c r="BW199" i="13"/>
  <c r="BU199" i="13"/>
  <c r="AE199" i="16" s="1"/>
  <c r="CV199" i="13"/>
  <c r="CL199" i="13"/>
  <c r="CL131" i="13"/>
  <c r="CV131" i="13"/>
  <c r="BW131" i="13"/>
  <c r="BU131" i="13"/>
  <c r="AE131" i="16" s="1"/>
  <c r="CJ49" i="13"/>
  <c r="CO131" i="13"/>
  <c r="AJ131" i="16"/>
  <c r="BW51" i="13"/>
  <c r="CL51" i="13"/>
  <c r="BU51" i="13"/>
  <c r="AE51" i="16" s="1"/>
  <c r="CV51" i="13"/>
  <c r="CO51" i="13"/>
  <c r="CJ100" i="13"/>
  <c r="BV49" i="13"/>
  <c r="AF49" i="16" s="1"/>
  <c r="BV56" i="13"/>
  <c r="AF56" i="16" s="1"/>
  <c r="AJ118" i="16" l="1"/>
  <c r="AJ51" i="16"/>
  <c r="AJ132" i="16"/>
  <c r="E259" i="20"/>
  <c r="AJ53" i="16"/>
  <c r="G49" i="20"/>
  <c r="F49" i="23"/>
  <c r="G49" i="23" s="1"/>
  <c r="G224" i="20"/>
  <c r="F224" i="23"/>
  <c r="G224" i="23" s="1"/>
  <c r="G58" i="20"/>
  <c r="F58" i="23"/>
  <c r="G58" i="23" s="1"/>
  <c r="E257" i="20"/>
  <c r="G56" i="20"/>
  <c r="F56" i="23"/>
  <c r="G56" i="23" s="1"/>
  <c r="G119" i="20"/>
  <c r="F119" i="23"/>
  <c r="G119" i="23" s="1"/>
  <c r="G101" i="20"/>
  <c r="F101" i="23"/>
  <c r="G101" i="23" s="1"/>
  <c r="G100" i="20"/>
  <c r="F100" i="23"/>
  <c r="G100" i="23" s="1"/>
  <c r="AK100" i="16"/>
  <c r="F100" i="20"/>
  <c r="AK58" i="16"/>
  <c r="F58" i="20"/>
  <c r="AK49" i="16"/>
  <c r="F49" i="20"/>
  <c r="AK101" i="16"/>
  <c r="F101" i="20"/>
  <c r="AK56" i="16"/>
  <c r="F56" i="20"/>
  <c r="AK119" i="16"/>
  <c r="F119" i="20"/>
  <c r="CZ264" i="13"/>
  <c r="AF255" i="16"/>
  <c r="CT255" i="13"/>
  <c r="CT119" i="13"/>
  <c r="CZ233" i="13"/>
  <c r="CT233" i="13"/>
  <c r="CZ259" i="13"/>
  <c r="CT259" i="13"/>
  <c r="CZ119" i="13"/>
  <c r="CM99" i="13"/>
  <c r="CP257" i="13"/>
  <c r="CJ257" i="13"/>
  <c r="CP132" i="13"/>
  <c r="CM132" i="13"/>
  <c r="CP259" i="13"/>
  <c r="CJ259" i="13"/>
  <c r="CP53" i="13"/>
  <c r="CM53" i="13"/>
  <c r="BV53" i="13"/>
  <c r="AF53" i="16" s="1"/>
  <c r="BV132" i="13"/>
  <c r="AF132" i="16" s="1"/>
  <c r="CZ58" i="13"/>
  <c r="CT58" i="13"/>
  <c r="CJ132" i="13"/>
  <c r="CJ53" i="13"/>
  <c r="CZ101" i="13"/>
  <c r="CT101" i="13"/>
  <c r="CP118" i="13"/>
  <c r="CJ118" i="13"/>
  <c r="CP260" i="13"/>
  <c r="CM260" i="13"/>
  <c r="CJ260" i="13"/>
  <c r="BV260" i="13"/>
  <c r="AF260" i="16" s="1"/>
  <c r="CP51" i="13"/>
  <c r="CM199" i="13"/>
  <c r="CM131" i="13"/>
  <c r="CP131" i="13"/>
  <c r="BV51" i="13"/>
  <c r="AF51" i="16" s="1"/>
  <c r="BV131" i="13"/>
  <c r="AF131" i="16" s="1"/>
  <c r="CZ49" i="13"/>
  <c r="CT49" i="13"/>
  <c r="CM51" i="13"/>
  <c r="CJ51" i="13"/>
  <c r="CJ131" i="13"/>
  <c r="BV199" i="13"/>
  <c r="AF199" i="16" s="1"/>
  <c r="CJ199" i="13"/>
  <c r="BV99" i="13"/>
  <c r="AF99" i="16" s="1"/>
  <c r="CP199" i="13"/>
  <c r="CT56" i="13"/>
  <c r="CZ56" i="13"/>
  <c r="CZ100" i="13"/>
  <c r="CT100" i="13"/>
  <c r="CZ118" i="13"/>
  <c r="CT118" i="13"/>
  <c r="G51" i="20" l="1"/>
  <c r="F51" i="23"/>
  <c r="G51" i="23" s="1"/>
  <c r="G260" i="20"/>
  <c r="F260" i="23"/>
  <c r="G260" i="23" s="1"/>
  <c r="G53" i="20"/>
  <c r="F53" i="23"/>
  <c r="G53" i="23" s="1"/>
  <c r="G118" i="20"/>
  <c r="F118" i="23"/>
  <c r="G118" i="23" s="1"/>
  <c r="G259" i="20"/>
  <c r="F259" i="23"/>
  <c r="G259" i="23" s="1"/>
  <c r="G131" i="20"/>
  <c r="F131" i="23"/>
  <c r="G131" i="23" s="1"/>
  <c r="G199" i="20"/>
  <c r="F199" i="23"/>
  <c r="G199" i="23" s="1"/>
  <c r="G257" i="20"/>
  <c r="F257" i="23"/>
  <c r="G257" i="23" s="1"/>
  <c r="G132" i="20"/>
  <c r="F132" i="23"/>
  <c r="G132" i="23" s="1"/>
  <c r="AK257" i="16"/>
  <c r="F257" i="20"/>
  <c r="AK53" i="16"/>
  <c r="F53" i="20"/>
  <c r="AK260" i="16"/>
  <c r="F260" i="20"/>
  <c r="AK51" i="16"/>
  <c r="F51" i="20"/>
  <c r="AK259" i="16"/>
  <c r="F259" i="20"/>
  <c r="AK131" i="16"/>
  <c r="F131" i="20"/>
  <c r="AK199" i="16"/>
  <c r="F199" i="20"/>
  <c r="AK132" i="16"/>
  <c r="F132" i="20"/>
  <c r="AK118" i="16"/>
  <c r="F118" i="20"/>
  <c r="CZ53" i="13"/>
  <c r="CT53" i="13"/>
  <c r="CZ132" i="13"/>
  <c r="CT132" i="13"/>
  <c r="CT260" i="13"/>
  <c r="CZ260" i="13"/>
  <c r="CZ199" i="13"/>
  <c r="CT199" i="13"/>
  <c r="CT99" i="13"/>
  <c r="CZ99" i="13"/>
  <c r="CZ263" i="13" s="1"/>
  <c r="CT131" i="13"/>
  <c r="CZ131" i="13"/>
  <c r="CZ51" i="13"/>
  <c r="CT51" i="13"/>
  <c r="CZ265" i="13" l="1"/>
  <c r="CZ267" i="13"/>
  <c r="X2" i="16"/>
  <c r="Z99" i="16" l="1"/>
  <c r="CG233" i="13"/>
  <c r="CI233" i="13" s="1"/>
  <c r="E233" i="20" s="1"/>
  <c r="CG99" i="13"/>
  <c r="CI99" i="13" s="1"/>
  <c r="E99" i="20" s="1"/>
  <c r="CO233" i="13" l="1"/>
  <c r="AJ233" i="16"/>
  <c r="BF99" i="13"/>
  <c r="CO99" i="13"/>
  <c r="AJ99" i="16"/>
  <c r="AA99" i="16" l="1"/>
  <c r="D99" i="20"/>
  <c r="CJ233" i="13"/>
  <c r="CP233" i="13"/>
  <c r="CP99" i="13"/>
  <c r="CJ99" i="13"/>
  <c r="G99" i="20" l="1"/>
  <c r="F99" i="23"/>
  <c r="G99" i="23" s="1"/>
  <c r="G233" i="20"/>
  <c r="F233" i="23"/>
  <c r="G233" i="23" s="1"/>
  <c r="AK99" i="16"/>
  <c r="F99" i="20"/>
  <c r="AK233" i="16"/>
  <c r="F233" i="20"/>
  <c r="CG144" i="13"/>
  <c r="Z144" i="16"/>
  <c r="CG150" i="13"/>
  <c r="Z150" i="16"/>
  <c r="CG149" i="13"/>
  <c r="Z149" i="16"/>
  <c r="Q2" i="13"/>
  <c r="CO149" i="13" l="1"/>
  <c r="CI149" i="13"/>
  <c r="E149" i="20" s="1"/>
  <c r="CO150" i="13"/>
  <c r="CI150" i="13"/>
  <c r="E150" i="20" s="1"/>
  <c r="CO144" i="13"/>
  <c r="CI144" i="13"/>
  <c r="E144" i="20" s="1"/>
  <c r="BF144" i="13"/>
  <c r="BF150" i="13"/>
  <c r="BF149" i="13"/>
  <c r="AJ149" i="16"/>
  <c r="T2" i="13"/>
  <c r="A37" i="5" s="1"/>
  <c r="U2" i="13"/>
  <c r="BK2" i="13" s="1"/>
  <c r="AJ144" i="16" l="1"/>
  <c r="AJ150" i="16"/>
  <c r="AA149" i="16"/>
  <c r="D149" i="20"/>
  <c r="AA150" i="16"/>
  <c r="D150" i="20"/>
  <c r="AA144" i="16"/>
  <c r="D144" i="20"/>
  <c r="CP144" i="13"/>
  <c r="CP149" i="13"/>
  <c r="CP150" i="13"/>
  <c r="A35" i="5"/>
  <c r="A69" i="5"/>
  <c r="CJ144" i="13"/>
  <c r="CJ149" i="13"/>
  <c r="CJ150" i="13"/>
  <c r="AA2" i="13"/>
  <c r="AK2" i="13" s="1"/>
  <c r="AT2" i="13"/>
  <c r="AX2" i="13" s="1"/>
  <c r="AB2" i="13"/>
  <c r="AL2" i="13" s="1"/>
  <c r="AW2" i="13"/>
  <c r="BA2" i="13" s="1"/>
  <c r="A57" i="5"/>
  <c r="A39" i="5"/>
  <c r="A31" i="5"/>
  <c r="A32" i="5"/>
  <c r="A65" i="5"/>
  <c r="A71" i="5"/>
  <c r="A64" i="5"/>
  <c r="A44" i="5"/>
  <c r="A58" i="5"/>
  <c r="A54" i="5"/>
  <c r="A33" i="5"/>
  <c r="A43" i="5"/>
  <c r="A62" i="5"/>
  <c r="A45" i="5"/>
  <c r="A63" i="5"/>
  <c r="AU2" i="13"/>
  <c r="AY2" i="13" s="1"/>
  <c r="A24" i="5"/>
  <c r="A38" i="5"/>
  <c r="A51" i="5"/>
  <c r="A55" i="5"/>
  <c r="A28" i="5"/>
  <c r="A60" i="5"/>
  <c r="A70" i="5"/>
  <c r="A56" i="5"/>
  <c r="A40" i="5"/>
  <c r="A61" i="5"/>
  <c r="A27" i="5"/>
  <c r="A59" i="5"/>
  <c r="A25" i="5"/>
  <c r="A68" i="5"/>
  <c r="A41" i="5"/>
  <c r="AV2" i="13"/>
  <c r="AZ2" i="13" s="1"/>
  <c r="BB2" i="13" s="1"/>
  <c r="A50" i="5"/>
  <c r="A23" i="5"/>
  <c r="A36" i="5"/>
  <c r="A52" i="5"/>
  <c r="A66" i="5"/>
  <c r="A53" i="5"/>
  <c r="A67" i="5"/>
  <c r="A26" i="5"/>
  <c r="A29" i="5"/>
  <c r="A30" i="5"/>
  <c r="A49" i="5"/>
  <c r="A42" i="5"/>
  <c r="A34" i="5"/>
  <c r="AC2" i="13"/>
  <c r="AM2" i="13" s="1"/>
  <c r="AO2" i="13" s="1"/>
  <c r="AD2" i="13"/>
  <c r="AN2" i="13" s="1"/>
  <c r="CK2" i="13" s="1"/>
  <c r="CA2" i="13"/>
  <c r="CE2" i="13" s="1"/>
  <c r="BZ2" i="13"/>
  <c r="CD2" i="13" s="1"/>
  <c r="CF2" i="13" s="1"/>
  <c r="BY2" i="13"/>
  <c r="CC2" i="13" s="1"/>
  <c r="BX2" i="13"/>
  <c r="CB2" i="13" s="1"/>
  <c r="BN2" i="13"/>
  <c r="BR2" i="13" s="1"/>
  <c r="BM2" i="13"/>
  <c r="BQ2" i="13" s="1"/>
  <c r="BS2" i="13" s="1"/>
  <c r="BL2" i="13"/>
  <c r="BP2" i="13" s="1"/>
  <c r="BO2" i="13"/>
  <c r="G149" i="20" l="1"/>
  <c r="F149" i="23"/>
  <c r="G149" i="23" s="1"/>
  <c r="G144" i="20"/>
  <c r="F144" i="23"/>
  <c r="G144" i="23" s="1"/>
  <c r="G150" i="20"/>
  <c r="F150" i="23"/>
  <c r="G150" i="23" s="1"/>
  <c r="AK150" i="16"/>
  <c r="F150" i="20"/>
  <c r="AK144" i="16"/>
  <c r="F144" i="20"/>
  <c r="AK149" i="16"/>
  <c r="F149" i="20"/>
  <c r="S2" i="16"/>
  <c r="BE2" i="13"/>
  <c r="C2" i="20" s="1"/>
  <c r="CN2" i="13"/>
  <c r="W2" i="16"/>
  <c r="AG2" i="16"/>
  <c r="AC2" i="16"/>
  <c r="M2" i="23" l="1"/>
  <c r="BF2" i="13"/>
  <c r="D2" i="20" s="1"/>
  <c r="AQ2" i="13"/>
  <c r="Z2" i="16"/>
  <c r="BH2" i="13" l="1"/>
  <c r="U2" i="16"/>
  <c r="AA2" i="16"/>
  <c r="AR2" i="13"/>
  <c r="V2" i="16" l="1"/>
  <c r="CU2" i="13"/>
  <c r="BI2" i="13"/>
  <c r="CY2" i="13"/>
  <c r="CS2" i="13"/>
  <c r="BA242" i="13"/>
  <c r="CN242" i="13" s="1"/>
  <c r="AN242" i="13"/>
  <c r="CK242" i="13" s="1"/>
  <c r="BQ242" i="13"/>
  <c r="BS242" i="13" s="1"/>
  <c r="AC242" i="16" s="1"/>
  <c r="CD242" i="13"/>
  <c r="CF242" i="13" s="1"/>
  <c r="AG242" i="16" s="1"/>
  <c r="AZ242" i="13"/>
  <c r="BB242" i="13" s="1"/>
  <c r="AM242" i="13"/>
  <c r="AO242" i="13" s="1"/>
  <c r="S242" i="16" s="1"/>
  <c r="AX242" i="13"/>
  <c r="BP242" i="13"/>
  <c r="BO242" i="13"/>
  <c r="AY242" i="13"/>
  <c r="CE242" i="13"/>
  <c r="CC242" i="13"/>
  <c r="AL242" i="13"/>
  <c r="BR242" i="13"/>
  <c r="AK242" i="13"/>
  <c r="CB242" i="13"/>
  <c r="W242" i="16" l="1"/>
  <c r="BE242" i="13"/>
  <c r="Z242" i="16" s="1"/>
  <c r="AB2" i="16"/>
  <c r="K2" i="23"/>
  <c r="CG4" i="13"/>
  <c r="CH4" i="13"/>
  <c r="BT4" i="13"/>
  <c r="BJ2" i="13"/>
  <c r="AQ242" i="13"/>
  <c r="U242" i="16" s="1"/>
  <c r="C242" i="20" l="1"/>
  <c r="M242" i="23"/>
  <c r="CI4" i="13"/>
  <c r="E4" i="20" s="1"/>
  <c r="AD2" i="16"/>
  <c r="BT2" i="13" s="1"/>
  <c r="AH2" i="16"/>
  <c r="CG2" i="13" s="1"/>
  <c r="BH242" i="13"/>
  <c r="BI242" i="13" s="1"/>
  <c r="BW4" i="13"/>
  <c r="CV4" i="13"/>
  <c r="CL4" i="13"/>
  <c r="BU4" i="13"/>
  <c r="AE4" i="16" s="1"/>
  <c r="CO4" i="13"/>
  <c r="AI2" i="16"/>
  <c r="CH2" i="13" s="1"/>
  <c r="CH168" i="13"/>
  <c r="CG168" i="13"/>
  <c r="BT168" i="13"/>
  <c r="BF242" i="13"/>
  <c r="AR242" i="13"/>
  <c r="AB242" i="16" l="1"/>
  <c r="K242" i="23"/>
  <c r="V242" i="16"/>
  <c r="AU269" i="13"/>
  <c r="AS269" i="13"/>
  <c r="CI168" i="13"/>
  <c r="E168" i="20" s="1"/>
  <c r="AJ4" i="16"/>
  <c r="AA242" i="16"/>
  <c r="D242" i="20"/>
  <c r="AI242" i="16"/>
  <c r="AD242" i="16"/>
  <c r="AH242" i="16"/>
  <c r="AS265" i="13"/>
  <c r="CV2" i="13"/>
  <c r="CO2" i="13"/>
  <c r="CP4" i="13"/>
  <c r="CM4" i="13"/>
  <c r="CJ4" i="13"/>
  <c r="BV4" i="13"/>
  <c r="AF4" i="16" s="1"/>
  <c r="CI2" i="13"/>
  <c r="E2" i="20" s="1"/>
  <c r="BW2" i="13"/>
  <c r="CL2" i="13"/>
  <c r="BU2" i="13"/>
  <c r="CG85" i="13"/>
  <c r="BT85" i="13"/>
  <c r="CH85" i="13"/>
  <c r="CO168" i="13"/>
  <c r="BW168" i="13"/>
  <c r="CL168" i="13"/>
  <c r="BU168" i="13"/>
  <c r="AE168" i="16" s="1"/>
  <c r="CV168" i="13"/>
  <c r="BJ242" i="13"/>
  <c r="CY242" i="13"/>
  <c r="CY268" i="13" s="1"/>
  <c r="CY269" i="13" s="1"/>
  <c r="CS242" i="13"/>
  <c r="CU242" i="13"/>
  <c r="AU268" i="13"/>
  <c r="AU264" i="13"/>
  <c r="AS267" i="13"/>
  <c r="AS266" i="13"/>
  <c r="AU265" i="13"/>
  <c r="AU266" i="13"/>
  <c r="AU267" i="13"/>
  <c r="AS264" i="13"/>
  <c r="AS268" i="13"/>
  <c r="AJ168" i="16" l="1"/>
  <c r="G4" i="20"/>
  <c r="F4" i="23"/>
  <c r="G4" i="23" s="1"/>
  <c r="CI85" i="13"/>
  <c r="E85" i="20" s="1"/>
  <c r="AK4" i="16"/>
  <c r="F4" i="20"/>
  <c r="AV265" i="13"/>
  <c r="AT268" i="13"/>
  <c r="AT267" i="13"/>
  <c r="AV264" i="13"/>
  <c r="AT266" i="13"/>
  <c r="AT265" i="13"/>
  <c r="AV268" i="13"/>
  <c r="AS271" i="13"/>
  <c r="AT264" i="13"/>
  <c r="CS271" i="13"/>
  <c r="CS273" i="13" s="1"/>
  <c r="CS275" i="13"/>
  <c r="CS277" i="13" s="1"/>
  <c r="AV267" i="13"/>
  <c r="CS267" i="13"/>
  <c r="CS269" i="13" s="1"/>
  <c r="CS263" i="13"/>
  <c r="CS265" i="13" s="1"/>
  <c r="AV266" i="13"/>
  <c r="BV2" i="13"/>
  <c r="AJ2" i="16"/>
  <c r="CT4" i="13"/>
  <c r="CZ4" i="13"/>
  <c r="CP2" i="13"/>
  <c r="CM2" i="13"/>
  <c r="AE2" i="16"/>
  <c r="CJ2" i="13"/>
  <c r="F2" i="20" s="1"/>
  <c r="CM168" i="13"/>
  <c r="CJ168" i="13"/>
  <c r="CP168" i="13"/>
  <c r="CL85" i="13"/>
  <c r="BW85" i="13"/>
  <c r="BU85" i="13"/>
  <c r="AE85" i="16" s="1"/>
  <c r="CV85" i="13"/>
  <c r="CO85" i="13"/>
  <c r="BV168" i="13"/>
  <c r="AF168" i="16" s="1"/>
  <c r="AU271" i="13"/>
  <c r="AJ85" i="16" l="1"/>
  <c r="G168" i="20"/>
  <c r="F168" i="23"/>
  <c r="G168" i="23" s="1"/>
  <c r="G2" i="20"/>
  <c r="F2" i="23"/>
  <c r="G2" i="23" s="1"/>
  <c r="AK168" i="16"/>
  <c r="F168" i="20"/>
  <c r="CG242" i="13"/>
  <c r="CH242" i="13"/>
  <c r="BT242" i="13"/>
  <c r="CT272" i="13"/>
  <c r="CT2" i="13"/>
  <c r="CZ2" i="13"/>
  <c r="AF2" i="16"/>
  <c r="AK2" i="16"/>
  <c r="CP85" i="13"/>
  <c r="BV85" i="13"/>
  <c r="AF85" i="16" s="1"/>
  <c r="CT168" i="13"/>
  <c r="CZ168" i="13"/>
  <c r="CM85" i="13"/>
  <c r="CJ85" i="13"/>
  <c r="CL242" i="13" l="1"/>
  <c r="CT264" i="13"/>
  <c r="G85" i="20"/>
  <c r="F85" i="23"/>
  <c r="G85" i="23" s="1"/>
  <c r="CI242" i="13"/>
  <c r="E242" i="20" s="1"/>
  <c r="AK85" i="16"/>
  <c r="F85" i="20"/>
  <c r="BW242" i="13"/>
  <c r="CO242" i="13"/>
  <c r="CO241" i="13"/>
  <c r="CV242" i="13"/>
  <c r="BU242" i="13"/>
  <c r="AE242" i="16" s="1"/>
  <c r="BU241" i="13"/>
  <c r="AE241" i="16" s="1"/>
  <c r="BW241" i="13"/>
  <c r="BV270" i="13" s="1"/>
  <c r="CV241" i="13"/>
  <c r="AJ241" i="16"/>
  <c r="CZ85" i="13"/>
  <c r="CT85" i="13"/>
  <c r="AJ242" i="16" l="1"/>
  <c r="CM241" i="13"/>
  <c r="CP241" i="13"/>
  <c r="BV241" i="13"/>
  <c r="CJ241" i="13"/>
  <c r="CT271" i="13"/>
  <c r="CT273" i="13" s="1"/>
  <c r="CT275" i="13"/>
  <c r="CT277" i="13" s="1"/>
  <c r="BV267" i="13"/>
  <c r="CM242" i="13"/>
  <c r="BV242" i="13"/>
  <c r="AF242" i="16" s="1"/>
  <c r="CP242" i="13"/>
  <c r="CJ242" i="13"/>
  <c r="G242" i="20" l="1"/>
  <c r="F242" i="23"/>
  <c r="G242" i="23" s="1"/>
  <c r="AF241" i="16"/>
  <c r="BV269" i="13"/>
  <c r="G241" i="20"/>
  <c r="F241" i="23"/>
  <c r="G241" i="23" s="1"/>
  <c r="AK241" i="16"/>
  <c r="F241" i="20"/>
  <c r="AK242" i="16"/>
  <c r="F242" i="20"/>
  <c r="CZ241" i="13"/>
  <c r="CT241" i="13"/>
  <c r="BV266" i="13"/>
  <c r="BT266" i="13"/>
  <c r="BT265" i="13"/>
  <c r="BT269" i="13"/>
  <c r="BV265" i="13"/>
  <c r="BT268" i="13"/>
  <c r="BV268" i="13"/>
  <c r="BT267" i="13"/>
  <c r="BT264" i="13"/>
  <c r="BV264" i="13"/>
  <c r="CZ242" i="13"/>
  <c r="CZ268" i="13" s="1"/>
  <c r="CZ269" i="13" s="1"/>
  <c r="CT242" i="13"/>
  <c r="BU265" i="13" l="1"/>
  <c r="BW265" i="13"/>
  <c r="BU264" i="13"/>
  <c r="BT271" i="13"/>
  <c r="BU267" i="13"/>
  <c r="BW268" i="13"/>
  <c r="BU268" i="13"/>
  <c r="BU266" i="13"/>
  <c r="BW266" i="13"/>
  <c r="BW264" i="13"/>
  <c r="BV271" i="13"/>
  <c r="CT263" i="13"/>
  <c r="CT265" i="13" s="1"/>
  <c r="CT267" i="13"/>
  <c r="CT269" i="13" s="1"/>
  <c r="BW267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 Department</author>
    <author>VS</author>
    <author>Reed, Caleb</author>
    <author>tc={252D032C-FD50-4081-9979-61B87B94708C}</author>
    <author>tc={CA8D2B81-8686-4292-876F-1E2D2D06ABA3}</author>
    <author>Santiago, Demily</author>
    <author>tc={D226E84D-F66C-46F1-AF42-F0284D8760E4}</author>
    <author>tc={1B177086-17B3-4CDE-AF24-71A176436916}</author>
  </authors>
  <commentList>
    <comment ref="O6" authorId="0" shapeId="0" xr:uid="{840B84D4-6BE3-492F-8C64-5C54166F4AA0}">
      <text>
        <r>
          <rPr>
            <b/>
            <sz val="9"/>
            <color indexed="81"/>
            <rFont val="Tahoma"/>
            <family val="2"/>
          </rPr>
          <t>IS Department:</t>
        </r>
        <r>
          <rPr>
            <sz val="9"/>
            <color indexed="81"/>
            <rFont val="Tahoma"/>
            <family val="2"/>
          </rPr>
          <t xml:space="preserve">
4453</t>
        </r>
      </text>
    </comment>
    <comment ref="L8" authorId="1" shapeId="0" xr:uid="{7FC38126-7C28-4008-8647-E3A7B9AA8CEF}">
      <text>
        <r>
          <rPr>
            <b/>
            <sz val="9"/>
            <color indexed="81"/>
            <rFont val="Tahoma"/>
            <family val="2"/>
          </rPr>
          <t>VS:</t>
        </r>
        <r>
          <rPr>
            <sz val="9"/>
            <color indexed="81"/>
            <rFont val="Tahoma"/>
            <family val="2"/>
          </rPr>
          <t xml:space="preserve">
removed 8,070</t>
        </r>
      </text>
    </comment>
    <comment ref="L9" authorId="0" shapeId="0" xr:uid="{FB467D23-02AD-4F76-9D68-67044FB66E27}">
      <text>
        <r>
          <rPr>
            <b/>
            <sz val="9"/>
            <color indexed="81"/>
            <rFont val="Tahoma"/>
            <family val="2"/>
          </rPr>
          <t>IS Department:</t>
        </r>
        <r>
          <rPr>
            <sz val="9"/>
            <color indexed="81"/>
            <rFont val="Tahoma"/>
            <family val="2"/>
          </rPr>
          <t xml:space="preserve">
2952
</t>
        </r>
      </text>
    </comment>
    <comment ref="M12" authorId="2" shapeId="0" xr:uid="{992BD4F5-99B1-497B-99EB-EC2205D9C83D}">
      <text>
        <r>
          <rPr>
            <b/>
            <sz val="9"/>
            <color indexed="81"/>
            <rFont val="Tahoma"/>
            <family val="2"/>
          </rPr>
          <t>Reed, Caleb:</t>
        </r>
        <r>
          <rPr>
            <sz val="9"/>
            <color indexed="81"/>
            <rFont val="Tahoma"/>
            <family val="2"/>
          </rPr>
          <t xml:space="preserve">
5847</t>
        </r>
      </text>
    </comment>
    <comment ref="L19" authorId="0" shapeId="0" xr:uid="{9E4C163F-E074-43A1-97C6-40FBF3AD8753}">
      <text>
        <r>
          <rPr>
            <b/>
            <sz val="9"/>
            <color indexed="81"/>
            <rFont val="Tahoma"/>
            <family val="2"/>
          </rPr>
          <t>IS Department:</t>
        </r>
        <r>
          <rPr>
            <sz val="9"/>
            <color indexed="81"/>
            <rFont val="Tahoma"/>
            <family val="2"/>
          </rPr>
          <t xml:space="preserve">
859
</t>
        </r>
      </text>
    </comment>
    <comment ref="M20" authorId="2" shapeId="0" xr:uid="{AF1B38D9-BA03-45CF-A029-CA0FC1A64F87}">
      <text>
        <r>
          <rPr>
            <b/>
            <sz val="9"/>
            <color indexed="81"/>
            <rFont val="Tahoma"/>
            <family val="2"/>
          </rPr>
          <t>Reed, Caleb:</t>
        </r>
        <r>
          <rPr>
            <sz val="9"/>
            <color indexed="81"/>
            <rFont val="Tahoma"/>
            <family val="2"/>
          </rPr>
          <t xml:space="preserve">
2787</t>
        </r>
      </text>
    </comment>
    <comment ref="M22" authorId="3" shapeId="0" xr:uid="{252D032C-FD50-4081-9979-61B87B94708C}">
      <text>
        <t>[Threaded comment]
Your version of Excel allows you to read this threaded comment; however, any edits to it will get removed if the file is opened in a newer version of Excel. Learn more: https://go.microsoft.com/fwlink/?linkid=870924
Comment:
    3938</t>
      </text>
    </comment>
    <comment ref="M26" authorId="0" shapeId="0" xr:uid="{CA3F6A8B-37FE-435F-9F19-7A01BC99B085}">
      <text>
        <r>
          <rPr>
            <b/>
            <sz val="9"/>
            <color indexed="81"/>
            <rFont val="Tahoma"/>
            <family val="2"/>
          </rPr>
          <t>IS Department:</t>
        </r>
        <r>
          <rPr>
            <sz val="9"/>
            <color indexed="81"/>
            <rFont val="Tahoma"/>
            <family val="2"/>
          </rPr>
          <t xml:space="preserve">
2472</t>
        </r>
      </text>
    </comment>
    <comment ref="M27" authorId="4" shapeId="0" xr:uid="{CA8D2B81-8686-4292-876F-1E2D2D06ABA3}">
      <text>
        <t>[Threaded comment]
Your version of Excel allows you to read this threaded comment; however, any edits to it will get removed if the file is opened in a newer version of Excel. Learn more: https://go.microsoft.com/fwlink/?linkid=870924
Comment:
    3638</t>
      </text>
    </comment>
    <comment ref="M37" authorId="2" shapeId="0" xr:uid="{3F4936D2-04AC-4CE1-963A-ADA96D70547A}">
      <text>
        <r>
          <rPr>
            <b/>
            <sz val="9"/>
            <color indexed="81"/>
            <rFont val="Tahoma"/>
            <family val="2"/>
          </rPr>
          <t>Reed, Caleb:</t>
        </r>
        <r>
          <rPr>
            <sz val="9"/>
            <color indexed="81"/>
            <rFont val="Tahoma"/>
            <family val="2"/>
          </rPr>
          <t xml:space="preserve">
17714</t>
        </r>
      </text>
    </comment>
    <comment ref="M39" authorId="2" shapeId="0" xr:uid="{0073BC54-626C-4E21-BB60-CAA6D732D9BD}">
      <text>
        <r>
          <rPr>
            <b/>
            <sz val="9"/>
            <color indexed="81"/>
            <rFont val="Tahoma"/>
            <family val="2"/>
          </rPr>
          <t>Reed, Caleb:</t>
        </r>
        <r>
          <rPr>
            <sz val="9"/>
            <color indexed="81"/>
            <rFont val="Tahoma"/>
            <family val="2"/>
          </rPr>
          <t xml:space="preserve">
6976</t>
        </r>
      </text>
    </comment>
    <comment ref="M40" authorId="2" shapeId="0" xr:uid="{1E8AD9F9-C8A3-4609-B4C8-BEC226B6AD5E}">
      <text>
        <r>
          <rPr>
            <b/>
            <sz val="9"/>
            <color indexed="81"/>
            <rFont val="Tahoma"/>
            <family val="2"/>
          </rPr>
          <t>Reed, Caleb:</t>
        </r>
        <r>
          <rPr>
            <sz val="9"/>
            <color indexed="81"/>
            <rFont val="Tahoma"/>
            <family val="2"/>
          </rPr>
          <t xml:space="preserve">
5971</t>
        </r>
      </text>
    </comment>
    <comment ref="L43" authorId="0" shapeId="0" xr:uid="{50450F3C-6B80-4BB4-AFB0-CD81D9D05F7F}">
      <text>
        <r>
          <rPr>
            <b/>
            <sz val="9"/>
            <color indexed="81"/>
            <rFont val="Tahoma"/>
            <family val="2"/>
          </rPr>
          <t>IS Department:</t>
        </r>
        <r>
          <rPr>
            <sz val="9"/>
            <color indexed="81"/>
            <rFont val="Tahoma"/>
            <family val="2"/>
          </rPr>
          <t xml:space="preserve">
2150
</t>
        </r>
      </text>
    </comment>
    <comment ref="L45" authorId="5" shapeId="0" xr:uid="{88939562-4DED-4A29-962E-65EC0D8520A5}">
      <text>
        <r>
          <rPr>
            <b/>
            <sz val="9"/>
            <color indexed="81"/>
            <rFont val="Tahoma"/>
            <family val="2"/>
          </rPr>
          <t>Santiago, Demily:</t>
        </r>
        <r>
          <rPr>
            <sz val="9"/>
            <color indexed="81"/>
            <rFont val="Tahoma"/>
            <family val="2"/>
          </rPr>
          <t xml:space="preserve">
7905</t>
        </r>
      </text>
    </comment>
    <comment ref="L46" authorId="6" shapeId="0" xr:uid="{D226E84D-F66C-46F1-AF42-F0284D8760E4}">
      <text>
        <t>[Threaded comment]
Your version of Excel allows you to read this threaded comment; however, any edits to it will get removed if the file is opened in a newer version of Excel. Learn more: https://go.microsoft.com/fwlink/?linkid=870924
Comment:
    7905</t>
      </text>
    </comment>
    <comment ref="O57" authorId="2" shapeId="0" xr:uid="{92A5A904-3CB6-4C4B-9D2B-61577E076E58}">
      <text>
        <r>
          <rPr>
            <b/>
            <sz val="9"/>
            <color indexed="81"/>
            <rFont val="Tahoma"/>
            <family val="2"/>
          </rPr>
          <t>Reed, Caleb:</t>
        </r>
        <r>
          <rPr>
            <sz val="9"/>
            <color indexed="81"/>
            <rFont val="Tahoma"/>
            <family val="2"/>
          </rPr>
          <t xml:space="preserve">
3502
</t>
        </r>
      </text>
    </comment>
    <comment ref="O84" authorId="0" shapeId="0" xr:uid="{CB7E00A8-D527-4DE6-809C-E35C7D375C51}">
      <text>
        <r>
          <rPr>
            <b/>
            <sz val="9"/>
            <color indexed="81"/>
            <rFont val="Tahoma"/>
            <family val="2"/>
          </rPr>
          <t>IS Department:</t>
        </r>
        <r>
          <rPr>
            <sz val="9"/>
            <color indexed="81"/>
            <rFont val="Tahoma"/>
            <family val="2"/>
          </rPr>
          <t xml:space="preserve">
4,303</t>
        </r>
      </text>
    </comment>
    <comment ref="L91" authorId="0" shapeId="0" xr:uid="{9F74543F-859E-47E5-AECC-42C348288DA9}">
      <text>
        <r>
          <rPr>
            <b/>
            <sz val="9"/>
            <color indexed="81"/>
            <rFont val="Tahoma"/>
            <family val="2"/>
          </rPr>
          <t>IS Department:</t>
        </r>
        <r>
          <rPr>
            <sz val="9"/>
            <color indexed="81"/>
            <rFont val="Tahoma"/>
            <family val="2"/>
          </rPr>
          <t xml:space="preserve">
3391
</t>
        </r>
      </text>
    </comment>
    <comment ref="M92" authorId="0" shapeId="0" xr:uid="{57B177BE-B437-4498-A60D-A61B3EFB4408}">
      <text>
        <r>
          <rPr>
            <b/>
            <sz val="9"/>
            <color indexed="81"/>
            <rFont val="Tahoma"/>
            <family val="2"/>
          </rPr>
          <t>IS Department:</t>
        </r>
        <r>
          <rPr>
            <sz val="9"/>
            <color indexed="81"/>
            <rFont val="Tahoma"/>
            <family val="2"/>
          </rPr>
          <t xml:space="preserve">
4211
</t>
        </r>
      </text>
    </comment>
    <comment ref="L98" authorId="0" shapeId="0" xr:uid="{F2F6FB1E-0F20-4F25-85D3-203ED1D7DCFC}">
      <text>
        <r>
          <rPr>
            <b/>
            <sz val="9"/>
            <color indexed="81"/>
            <rFont val="Tahoma"/>
            <family val="2"/>
          </rPr>
          <t>IS Department:</t>
        </r>
        <r>
          <rPr>
            <sz val="9"/>
            <color indexed="81"/>
            <rFont val="Tahoma"/>
            <family val="2"/>
          </rPr>
          <t xml:space="preserve">
2617</t>
        </r>
      </text>
    </comment>
    <comment ref="N99" authorId="2" shapeId="0" xr:uid="{F3D52180-070E-4241-A44C-A0A9A094C817}">
      <text>
        <r>
          <rPr>
            <b/>
            <sz val="9"/>
            <color indexed="81"/>
            <rFont val="Tahoma"/>
            <family val="2"/>
          </rPr>
          <t>Reed, Caleb:</t>
        </r>
        <r>
          <rPr>
            <sz val="9"/>
            <color indexed="81"/>
            <rFont val="Tahoma"/>
            <family val="2"/>
          </rPr>
          <t xml:space="preserve">
2437</t>
        </r>
      </text>
    </comment>
    <comment ref="O117" authorId="0" shapeId="0" xr:uid="{586F8081-0934-4F5D-9650-A7F85AC1C2DF}">
      <text>
        <r>
          <rPr>
            <b/>
            <sz val="9"/>
            <color indexed="81"/>
            <rFont val="Tahoma"/>
            <family val="2"/>
          </rPr>
          <t>IS Department:</t>
        </r>
        <r>
          <rPr>
            <sz val="9"/>
            <color indexed="81"/>
            <rFont val="Tahoma"/>
            <family val="2"/>
          </rPr>
          <t xml:space="preserve">
2198</t>
        </r>
      </text>
    </comment>
    <comment ref="O118" authorId="0" shapeId="0" xr:uid="{65C7B36C-398A-498B-980D-668F3E6CC0EF}">
      <text>
        <r>
          <rPr>
            <b/>
            <sz val="9"/>
            <color indexed="81"/>
            <rFont val="Tahoma"/>
            <family val="2"/>
          </rPr>
          <t>IS Department:</t>
        </r>
        <r>
          <rPr>
            <sz val="9"/>
            <color indexed="81"/>
            <rFont val="Tahoma"/>
            <family val="2"/>
          </rPr>
          <t xml:space="preserve">
912
</t>
        </r>
      </text>
    </comment>
    <comment ref="O123" authorId="0" shapeId="0" xr:uid="{1264ED67-2D8B-4506-B2B6-335AA38B8970}">
      <text>
        <r>
          <rPr>
            <b/>
            <sz val="9"/>
            <color indexed="81"/>
            <rFont val="Tahoma"/>
            <family val="2"/>
          </rPr>
          <t>IS Department:</t>
        </r>
        <r>
          <rPr>
            <sz val="9"/>
            <color indexed="81"/>
            <rFont val="Tahoma"/>
            <family val="2"/>
          </rPr>
          <t xml:space="preserve">
894</t>
        </r>
      </text>
    </comment>
    <comment ref="T130" authorId="2" shapeId="0" xr:uid="{2E3407EC-D5A4-4E6E-BB4E-3588B612C90E}">
      <text>
        <r>
          <rPr>
            <b/>
            <sz val="9"/>
            <color indexed="81"/>
            <rFont val="Tahoma"/>
            <family val="2"/>
          </rPr>
          <t>Reed, Caleb:</t>
        </r>
        <r>
          <rPr>
            <sz val="9"/>
            <color indexed="81"/>
            <rFont val="Tahoma"/>
            <family val="2"/>
          </rPr>
          <t xml:space="preserve">
set to max of 5% in CMS</t>
        </r>
      </text>
    </comment>
    <comment ref="L132" authorId="0" shapeId="0" xr:uid="{708B9C2C-ACE6-4830-B728-5EA1D85C6FB4}">
      <text>
        <r>
          <rPr>
            <b/>
            <sz val="9"/>
            <color indexed="81"/>
            <rFont val="Tahoma"/>
            <family val="2"/>
          </rPr>
          <t>IS Department:</t>
        </r>
        <r>
          <rPr>
            <sz val="9"/>
            <color indexed="81"/>
            <rFont val="Tahoma"/>
            <family val="2"/>
          </rPr>
          <t xml:space="preserve">
8521
</t>
        </r>
      </text>
    </comment>
    <comment ref="M138" authorId="2" shapeId="0" xr:uid="{7461CD15-C49B-4B03-B8D5-BE2924A018F7}">
      <text>
        <r>
          <rPr>
            <b/>
            <sz val="9"/>
            <color indexed="81"/>
            <rFont val="Tahoma"/>
            <family val="2"/>
          </rPr>
          <t>Reed, Caleb:</t>
        </r>
        <r>
          <rPr>
            <sz val="9"/>
            <color indexed="81"/>
            <rFont val="Tahoma"/>
            <family val="2"/>
          </rPr>
          <t xml:space="preserve">
3704</t>
        </r>
      </text>
    </comment>
    <comment ref="M141" authorId="2" shapeId="0" xr:uid="{83BFBBCC-0ABF-43A9-952E-360BFBC48896}">
      <text>
        <r>
          <rPr>
            <b/>
            <sz val="9"/>
            <color indexed="81"/>
            <rFont val="Tahoma"/>
            <family val="2"/>
          </rPr>
          <t>Reed, Caleb:</t>
        </r>
        <r>
          <rPr>
            <sz val="9"/>
            <color indexed="81"/>
            <rFont val="Tahoma"/>
            <family val="2"/>
          </rPr>
          <t xml:space="preserve">
4669</t>
        </r>
      </text>
    </comment>
    <comment ref="L144" authorId="0" shapeId="0" xr:uid="{F6082C8A-6A0D-49B6-85F3-3A198A9909FC}">
      <text>
        <r>
          <rPr>
            <b/>
            <sz val="9"/>
            <color indexed="81"/>
            <rFont val="Tahoma"/>
            <family val="2"/>
          </rPr>
          <t>IS Department:</t>
        </r>
        <r>
          <rPr>
            <sz val="9"/>
            <color indexed="81"/>
            <rFont val="Tahoma"/>
            <family val="2"/>
          </rPr>
          <t xml:space="preserve">
4722</t>
        </r>
      </text>
    </comment>
    <comment ref="T149" authorId="2" shapeId="0" xr:uid="{A23320B2-DFBD-467E-A4F8-69EC010A1E40}">
      <text>
        <r>
          <rPr>
            <b/>
            <sz val="9"/>
            <color indexed="81"/>
            <rFont val="Tahoma"/>
            <family val="2"/>
          </rPr>
          <t xml:space="preserve">Reed, Caleb:
</t>
        </r>
        <r>
          <rPr>
            <sz val="9"/>
            <color indexed="81"/>
            <rFont val="Tahoma"/>
            <family val="2"/>
          </rPr>
          <t>manully set to 5% in CMS tab</t>
        </r>
      </text>
    </comment>
    <comment ref="M161" authorId="1" shapeId="0" xr:uid="{C21FC60D-9375-4C4E-851F-CFCFDC538475}">
      <text>
        <r>
          <rPr>
            <b/>
            <sz val="9"/>
            <color indexed="81"/>
            <rFont val="Tahoma"/>
            <family val="2"/>
          </rPr>
          <t>VS:</t>
        </r>
        <r>
          <rPr>
            <sz val="9"/>
            <color indexed="81"/>
            <rFont val="Tahoma"/>
            <family val="2"/>
          </rPr>
          <t xml:space="preserve">
average of 283 and 289</t>
        </r>
      </text>
    </comment>
    <comment ref="N161" authorId="1" shapeId="0" xr:uid="{CD64BB2D-29B7-496C-9B05-6044BEA8CED6}">
      <text>
        <r>
          <rPr>
            <b/>
            <sz val="9"/>
            <color indexed="81"/>
            <rFont val="Tahoma"/>
            <family val="2"/>
          </rPr>
          <t>VS:</t>
        </r>
        <r>
          <rPr>
            <sz val="9"/>
            <color indexed="81"/>
            <rFont val="Tahoma"/>
            <family val="2"/>
          </rPr>
          <t xml:space="preserve">
average of 283 and 289</t>
        </r>
      </text>
    </comment>
    <comment ref="O161" authorId="1" shapeId="0" xr:uid="{1CC62C7F-509D-46C8-B39C-E58CA3022038}">
      <text>
        <r>
          <rPr>
            <b/>
            <sz val="9"/>
            <color indexed="81"/>
            <rFont val="Tahoma"/>
            <family val="2"/>
          </rPr>
          <t>VS:</t>
        </r>
        <r>
          <rPr>
            <sz val="9"/>
            <color indexed="81"/>
            <rFont val="Tahoma"/>
            <family val="2"/>
          </rPr>
          <t xml:space="preserve">
average of 283 and 289</t>
        </r>
      </text>
    </comment>
    <comment ref="Q161" authorId="2" shapeId="0" xr:uid="{7ED66E5C-F0BB-401B-8249-F2AEC2CD5819}">
      <text>
        <r>
          <rPr>
            <b/>
            <sz val="9"/>
            <color indexed="81"/>
            <rFont val="Tahoma"/>
            <family val="2"/>
          </rPr>
          <t>Reed, Caleb:</t>
        </r>
        <r>
          <rPr>
            <sz val="9"/>
            <color indexed="81"/>
            <rFont val="Tahoma"/>
            <family val="2"/>
          </rPr>
          <t xml:space="preserve">
13663</t>
        </r>
      </text>
    </comment>
    <comment ref="T171" authorId="2" shapeId="0" xr:uid="{A86FF050-3CC3-4144-86EC-6EFE93D778F3}">
      <text>
        <r>
          <rPr>
            <b/>
            <sz val="9"/>
            <color indexed="81"/>
            <rFont val="Tahoma"/>
            <family val="2"/>
          </rPr>
          <t>Reed, Caleb:</t>
        </r>
        <r>
          <rPr>
            <sz val="9"/>
            <color indexed="81"/>
            <rFont val="Tahoma"/>
            <family val="2"/>
          </rPr>
          <t xml:space="preserve">
Manually set to 5% in CMS tab</t>
        </r>
      </text>
    </comment>
    <comment ref="N173" authorId="2" shapeId="0" xr:uid="{E5A952BC-A1D2-4EB7-B4CF-FA86C0C10EC4}">
      <text>
        <r>
          <rPr>
            <b/>
            <sz val="9"/>
            <color indexed="81"/>
            <rFont val="Tahoma"/>
            <family val="2"/>
          </rPr>
          <t>Reed, Caleb:</t>
        </r>
        <r>
          <rPr>
            <sz val="9"/>
            <color indexed="81"/>
            <rFont val="Tahoma"/>
            <family val="2"/>
          </rPr>
          <t xml:space="preserve">
11714</t>
        </r>
      </text>
    </comment>
    <comment ref="P184" authorId="2" shapeId="0" xr:uid="{25D267D2-F235-40D7-B713-550BAFDC447D}">
      <text>
        <r>
          <rPr>
            <b/>
            <sz val="9"/>
            <color indexed="81"/>
            <rFont val="Tahoma"/>
            <family val="2"/>
          </rPr>
          <t>Reed, Caleb:</t>
        </r>
        <r>
          <rPr>
            <sz val="9"/>
            <color indexed="81"/>
            <rFont val="Tahoma"/>
            <family val="2"/>
          </rPr>
          <t xml:space="preserve">
44500</t>
        </r>
      </text>
    </comment>
    <comment ref="N188" authorId="2" shapeId="0" xr:uid="{CAFFA052-8481-4CED-B36D-008F0B0CE209}">
      <text>
        <r>
          <rPr>
            <b/>
            <sz val="9"/>
            <color indexed="81"/>
            <rFont val="Tahoma"/>
            <family val="2"/>
          </rPr>
          <t>Reed, Caleb:</t>
        </r>
        <r>
          <rPr>
            <sz val="9"/>
            <color indexed="81"/>
            <rFont val="Tahoma"/>
            <family val="2"/>
          </rPr>
          <t xml:space="preserve">
19400</t>
        </r>
      </text>
    </comment>
    <comment ref="M192" authorId="2" shapeId="0" xr:uid="{EDE72B2C-6C46-4418-B2ED-E8B56985E225}">
      <text>
        <r>
          <rPr>
            <b/>
            <sz val="9"/>
            <color indexed="81"/>
            <rFont val="Tahoma"/>
            <family val="2"/>
          </rPr>
          <t>Reed, Caleb:</t>
        </r>
        <r>
          <rPr>
            <sz val="9"/>
            <color indexed="81"/>
            <rFont val="Tahoma"/>
            <family val="2"/>
          </rPr>
          <t xml:space="preserve">
9600</t>
        </r>
      </text>
    </comment>
    <comment ref="N193" authorId="2" shapeId="0" xr:uid="{AF5019D3-AA31-4A1D-B9E1-DEE756230F82}">
      <text>
        <r>
          <rPr>
            <b/>
            <sz val="9"/>
            <color indexed="81"/>
            <rFont val="Tahoma"/>
            <family val="2"/>
          </rPr>
          <t>Reed, Caleb:</t>
        </r>
        <r>
          <rPr>
            <sz val="9"/>
            <color indexed="81"/>
            <rFont val="Tahoma"/>
            <family val="2"/>
          </rPr>
          <t xml:space="preserve">
8800</t>
        </r>
      </text>
    </comment>
    <comment ref="M194" authorId="2" shapeId="0" xr:uid="{AE7D4391-0404-4877-AA7E-E9AF489959A9}">
      <text>
        <r>
          <rPr>
            <b/>
            <sz val="9"/>
            <color indexed="81"/>
            <rFont val="Tahoma"/>
            <family val="2"/>
          </rPr>
          <t>Reed, Caleb:</t>
        </r>
        <r>
          <rPr>
            <sz val="9"/>
            <color indexed="81"/>
            <rFont val="Tahoma"/>
            <family val="2"/>
          </rPr>
          <t xml:space="preserve">
4300</t>
        </r>
      </text>
    </comment>
    <comment ref="N197" authorId="2" shapeId="0" xr:uid="{EFC7BD91-A138-46F1-997C-22D57B84445C}">
      <text>
        <r>
          <rPr>
            <b/>
            <sz val="9"/>
            <color indexed="81"/>
            <rFont val="Tahoma"/>
            <family val="2"/>
          </rPr>
          <t>Reed, Caleb:</t>
        </r>
        <r>
          <rPr>
            <sz val="9"/>
            <color indexed="81"/>
            <rFont val="Tahoma"/>
            <family val="2"/>
          </rPr>
          <t xml:space="preserve">
7000</t>
        </r>
      </text>
    </comment>
    <comment ref="N199" authorId="2" shapeId="0" xr:uid="{491C31FB-12DA-4C28-8D9D-B2674AFE782F}">
      <text>
        <r>
          <rPr>
            <b/>
            <sz val="9"/>
            <color indexed="81"/>
            <rFont val="Tahoma"/>
            <family val="2"/>
          </rPr>
          <t>Reed, Caleb:</t>
        </r>
        <r>
          <rPr>
            <sz val="9"/>
            <color indexed="81"/>
            <rFont val="Tahoma"/>
            <family val="2"/>
          </rPr>
          <t xml:space="preserve">
5800</t>
        </r>
      </text>
    </comment>
    <comment ref="P206" authorId="2" shapeId="0" xr:uid="{5DC7AC96-59FE-4889-92FD-4A6557040DF2}">
      <text>
        <r>
          <rPr>
            <b/>
            <sz val="9"/>
            <color indexed="81"/>
            <rFont val="Tahoma"/>
            <family val="2"/>
          </rPr>
          <t>Reed, Caleb:</t>
        </r>
        <r>
          <rPr>
            <sz val="9"/>
            <color indexed="81"/>
            <rFont val="Tahoma"/>
            <family val="2"/>
          </rPr>
          <t xml:space="preserve">
6000</t>
        </r>
      </text>
    </comment>
    <comment ref="N210" authorId="2" shapeId="0" xr:uid="{F0C9FED9-3376-4048-B7B8-6453638700D7}">
      <text>
        <r>
          <rPr>
            <b/>
            <sz val="9"/>
            <color indexed="81"/>
            <rFont val="Tahoma"/>
            <family val="2"/>
          </rPr>
          <t>Reed, Caleb:</t>
        </r>
        <r>
          <rPr>
            <sz val="9"/>
            <color indexed="81"/>
            <rFont val="Tahoma"/>
            <family val="2"/>
          </rPr>
          <t xml:space="preserve">
74500</t>
        </r>
      </text>
    </comment>
    <comment ref="P211" authorId="2" shapeId="0" xr:uid="{AE658F8D-E18C-44EC-AA5A-02F49EC6D527}">
      <text>
        <r>
          <rPr>
            <b/>
            <sz val="9"/>
            <color indexed="81"/>
            <rFont val="Tahoma"/>
            <family val="2"/>
          </rPr>
          <t>Reed, Caleb:</t>
        </r>
        <r>
          <rPr>
            <sz val="9"/>
            <color indexed="81"/>
            <rFont val="Tahoma"/>
            <family val="2"/>
          </rPr>
          <t xml:space="preserve">
70500</t>
        </r>
      </text>
    </comment>
    <comment ref="L215" authorId="0" shapeId="0" xr:uid="{9684DFA4-FAFF-4F29-99D7-1854DC224C53}">
      <text>
        <r>
          <rPr>
            <b/>
            <sz val="9"/>
            <color indexed="81"/>
            <rFont val="Tahoma"/>
            <family val="2"/>
          </rPr>
          <t>IS Department:</t>
        </r>
        <r>
          <rPr>
            <sz val="9"/>
            <color indexed="81"/>
            <rFont val="Tahoma"/>
            <family val="2"/>
          </rPr>
          <t xml:space="preserve">
8900</t>
        </r>
      </text>
    </comment>
    <comment ref="P220" authorId="2" shapeId="0" xr:uid="{10C19CC9-6B5D-4A7E-8A0A-89DA1DB6AFB8}">
      <text>
        <r>
          <rPr>
            <b/>
            <sz val="9"/>
            <color indexed="81"/>
            <rFont val="Tahoma"/>
            <family val="2"/>
          </rPr>
          <t>Reed, Caleb:</t>
        </r>
        <r>
          <rPr>
            <sz val="9"/>
            <color indexed="81"/>
            <rFont val="Tahoma"/>
            <family val="2"/>
          </rPr>
          <t xml:space="preserve">
44500</t>
        </r>
      </text>
    </comment>
    <comment ref="P228" authorId="2" shapeId="0" xr:uid="{104EA0E4-D8DC-4645-BD78-99FD216C0FFC}">
      <text>
        <r>
          <rPr>
            <b/>
            <sz val="9"/>
            <color indexed="81"/>
            <rFont val="Tahoma"/>
            <family val="2"/>
          </rPr>
          <t>Reed, Caleb:</t>
        </r>
        <r>
          <rPr>
            <sz val="9"/>
            <color indexed="81"/>
            <rFont val="Tahoma"/>
            <family val="2"/>
          </rPr>
          <t xml:space="preserve">
10300</t>
        </r>
      </text>
    </comment>
    <comment ref="L230" authorId="0" shapeId="0" xr:uid="{29D73F96-E345-4533-B351-B5BCBA23AFEF}">
      <text>
        <r>
          <rPr>
            <b/>
            <sz val="9"/>
            <color indexed="81"/>
            <rFont val="Tahoma"/>
            <family val="2"/>
          </rPr>
          <t>IS Department:</t>
        </r>
        <r>
          <rPr>
            <sz val="9"/>
            <color indexed="81"/>
            <rFont val="Tahoma"/>
            <family val="2"/>
          </rPr>
          <t xml:space="preserve">
1850</t>
        </r>
      </text>
    </comment>
    <comment ref="P232" authorId="2" shapeId="0" xr:uid="{A208584B-13D0-4493-ADC8-F37D6640E16F}">
      <text>
        <r>
          <rPr>
            <b/>
            <sz val="9"/>
            <color indexed="81"/>
            <rFont val="Tahoma"/>
            <family val="2"/>
          </rPr>
          <t>Reed, Caleb:</t>
        </r>
        <r>
          <rPr>
            <sz val="9"/>
            <color indexed="81"/>
            <rFont val="Tahoma"/>
            <family val="2"/>
          </rPr>
          <t xml:space="preserve">
800</t>
        </r>
      </text>
    </comment>
    <comment ref="N234" authorId="2" shapeId="0" xr:uid="{CA1C85D8-903B-497F-8A9F-035B0015A486}">
      <text>
        <r>
          <rPr>
            <b/>
            <sz val="9"/>
            <color indexed="81"/>
            <rFont val="Tahoma"/>
            <family val="2"/>
          </rPr>
          <t>Reed, Caleb:</t>
        </r>
        <r>
          <rPr>
            <sz val="9"/>
            <color indexed="81"/>
            <rFont val="Tahoma"/>
            <family val="2"/>
          </rPr>
          <t xml:space="preserve">
1950</t>
        </r>
      </text>
    </comment>
    <comment ref="Q236" authorId="2" shapeId="0" xr:uid="{3E434874-34C0-4236-B594-5784CC1205AC}">
      <text>
        <r>
          <rPr>
            <b/>
            <sz val="9"/>
            <color indexed="81"/>
            <rFont val="Tahoma"/>
            <family val="2"/>
          </rPr>
          <t>Reed, Caleb:</t>
        </r>
        <r>
          <rPr>
            <sz val="9"/>
            <color indexed="81"/>
            <rFont val="Tahoma"/>
            <family val="2"/>
          </rPr>
          <t xml:space="preserve">
2800</t>
        </r>
      </text>
    </comment>
    <comment ref="Q237" authorId="2" shapeId="0" xr:uid="{C551D69A-BA31-4B98-A8E5-2FBE40E592A8}">
      <text>
        <r>
          <rPr>
            <b/>
            <sz val="9"/>
            <color indexed="81"/>
            <rFont val="Tahoma"/>
            <family val="2"/>
          </rPr>
          <t>Reed, Caleb:</t>
        </r>
        <r>
          <rPr>
            <sz val="9"/>
            <color indexed="81"/>
            <rFont val="Tahoma"/>
            <family val="2"/>
          </rPr>
          <t xml:space="preserve">
12400</t>
        </r>
      </text>
    </comment>
    <comment ref="P239" authorId="2" shapeId="0" xr:uid="{699BBBED-F111-4273-A1FA-CD94CAFC38A4}">
      <text>
        <r>
          <rPr>
            <b/>
            <sz val="9"/>
            <color indexed="81"/>
            <rFont val="Tahoma"/>
            <family val="2"/>
          </rPr>
          <t>Reed, Caleb:</t>
        </r>
        <r>
          <rPr>
            <sz val="9"/>
            <color indexed="81"/>
            <rFont val="Tahoma"/>
            <family val="2"/>
          </rPr>
          <t xml:space="preserve">
44800</t>
        </r>
      </text>
    </comment>
    <comment ref="P240" authorId="2" shapeId="0" xr:uid="{FCCD72F1-FE5B-4B39-9B89-B7A31332863C}">
      <text>
        <r>
          <rPr>
            <b/>
            <sz val="9"/>
            <color indexed="81"/>
            <rFont val="Tahoma"/>
            <family val="2"/>
          </rPr>
          <t>Reed, Caleb:</t>
        </r>
        <r>
          <rPr>
            <sz val="9"/>
            <color indexed="81"/>
            <rFont val="Tahoma"/>
            <family val="2"/>
          </rPr>
          <t xml:space="preserve">
40400</t>
        </r>
      </text>
    </comment>
    <comment ref="B247" authorId="7" shapeId="0" xr:uid="{1B177086-17B3-4CDE-AF24-71A176436916}">
      <text>
        <t>[Threaded comment]
Your version of Excel allows you to read this threaded comment; however, any edits to it will get removed if the file is opened in a newer version of Excel. Learn more: https://go.microsoft.com/fwlink/?linkid=870924
Comment:
    2022 - assumed Linear forecast again for 2022 counts</t>
      </text>
    </comment>
    <comment ref="L248" authorId="5" shapeId="0" xr:uid="{E27273A8-E0DF-40E7-BE4F-9419975AEA25}">
      <text>
        <r>
          <rPr>
            <b/>
            <sz val="9"/>
            <color indexed="81"/>
            <rFont val="Tahoma"/>
            <family val="2"/>
          </rPr>
          <t>Santiago, Demily:</t>
        </r>
        <r>
          <rPr>
            <sz val="9"/>
            <color indexed="81"/>
            <rFont val="Tahoma"/>
            <family val="2"/>
          </rPr>
          <t xml:space="preserve">
1301</t>
        </r>
      </text>
    </comment>
    <comment ref="M249" authorId="2" shapeId="0" xr:uid="{BE9FFD24-AF09-416B-A1AD-03BE21910A9A}">
      <text>
        <r>
          <rPr>
            <b/>
            <sz val="9"/>
            <color indexed="81"/>
            <rFont val="Tahoma"/>
            <family val="2"/>
          </rPr>
          <t>Reed, Caleb:</t>
        </r>
        <r>
          <rPr>
            <sz val="9"/>
            <color indexed="81"/>
            <rFont val="Tahoma"/>
            <family val="2"/>
          </rPr>
          <t xml:space="preserve">
0</t>
        </r>
      </text>
    </comment>
    <comment ref="P250" authorId="2" shapeId="0" xr:uid="{B5D995F9-8644-4B01-B5D7-FFADB4D99E1C}">
      <text>
        <r>
          <rPr>
            <b/>
            <sz val="9"/>
            <color indexed="81"/>
            <rFont val="Tahoma"/>
            <family val="2"/>
          </rPr>
          <t>Reed, Caleb:</t>
        </r>
        <r>
          <rPr>
            <sz val="9"/>
            <color indexed="81"/>
            <rFont val="Tahoma"/>
            <family val="2"/>
          </rPr>
          <t xml:space="preserve">
5328</t>
        </r>
      </text>
    </comment>
    <comment ref="L271" authorId="1" shapeId="0" xr:uid="{72603413-B97C-42EB-9724-89E7D9F8365A}">
      <text>
        <r>
          <rPr>
            <b/>
            <sz val="9"/>
            <color indexed="81"/>
            <rFont val="Tahoma"/>
            <family val="2"/>
          </rPr>
          <t>VS:</t>
        </r>
        <r>
          <rPr>
            <sz val="9"/>
            <color indexed="81"/>
            <rFont val="Tahoma"/>
            <family val="2"/>
          </rPr>
          <t xml:space="preserve">
removed 9,550</t>
        </r>
      </text>
    </comment>
    <comment ref="L272" authorId="1" shapeId="0" xr:uid="{C40D08DB-9D04-42BF-9BE7-5BF4696EE1C7}">
      <text>
        <r>
          <rPr>
            <b/>
            <sz val="9"/>
            <color indexed="81"/>
            <rFont val="Tahoma"/>
            <family val="2"/>
          </rPr>
          <t>VS:</t>
        </r>
        <r>
          <rPr>
            <sz val="9"/>
            <color indexed="81"/>
            <rFont val="Tahoma"/>
            <family val="2"/>
          </rPr>
          <t xml:space="preserve">
removed 8,900</t>
        </r>
      </text>
    </comment>
    <comment ref="L273" authorId="1" shapeId="0" xr:uid="{422C43FC-414F-4159-A64A-9AB7203AEBDB}">
      <text>
        <r>
          <rPr>
            <b/>
            <sz val="9"/>
            <color indexed="81"/>
            <rFont val="Tahoma"/>
            <family val="2"/>
          </rPr>
          <t>VS:</t>
        </r>
        <r>
          <rPr>
            <sz val="9"/>
            <color indexed="81"/>
            <rFont val="Tahoma"/>
            <family val="2"/>
          </rPr>
          <t xml:space="preserve">
removed 16,700</t>
        </r>
      </text>
    </comment>
    <comment ref="L300" authorId="1" shapeId="0" xr:uid="{F59EE690-F791-4EC9-AA1A-7B13B466670D}">
      <text>
        <r>
          <rPr>
            <b/>
            <sz val="9"/>
            <color indexed="81"/>
            <rFont val="Tahoma"/>
            <family val="2"/>
          </rPr>
          <t>VS:</t>
        </r>
        <r>
          <rPr>
            <sz val="9"/>
            <color indexed="81"/>
            <rFont val="Tahoma"/>
            <family val="2"/>
          </rPr>
          <t xml:space="preserve">
removed 16,700</t>
        </r>
      </text>
    </comment>
    <comment ref="L302" authorId="0" shapeId="0" xr:uid="{78CA559B-0A9F-4384-A41A-B08F0203E67D}">
      <text>
        <r>
          <rPr>
            <b/>
            <sz val="9"/>
            <color indexed="81"/>
            <rFont val="Tahoma"/>
            <family val="2"/>
          </rPr>
          <t>IS Department:</t>
        </r>
        <r>
          <rPr>
            <sz val="9"/>
            <color indexed="81"/>
            <rFont val="Tahoma"/>
            <family val="2"/>
          </rPr>
          <t xml:space="preserve">
21406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VS</author>
    <author>tc={0B6F18B2-6A45-4647-BA8A-159615F8DFDD}</author>
    <author>tc={3AA4027E-9497-425C-B722-60AC8BFF7B3A}</author>
    <author>tc={2781A84E-BCAE-4663-B37D-256F220153D4}</author>
    <author>tc={220732C9-0B26-4ECA-97CD-306966471146}</author>
    <author>tc={757458E0-E09C-45A9-8103-85262487786A}</author>
    <author>tc={941F1F9E-8B7C-41C6-975A-C732712C98E6}</author>
    <author>tc={210987C3-6F55-4C22-9C2E-D07585E6EC7F}</author>
    <author>tc={9CA82D5B-19AB-49DF-ACE5-3D030A90B10B}</author>
    <author>tc={A5F9CED6-D95B-4482-BBC0-75E3CEBC4B9F}</author>
    <author>tc={2073B70D-EC18-43DC-871B-B23193A576A4}</author>
    <author>Reed, Caleb</author>
  </authors>
  <commentList>
    <comment ref="P1" authorId="0" shapeId="0" xr:uid="{D65E6DC5-8ED9-447A-988E-1EFFA4B4179D}">
      <text>
        <r>
          <rPr>
            <b/>
            <sz val="9"/>
            <color indexed="81"/>
            <rFont val="Tahoma"/>
            <family val="2"/>
          </rPr>
          <t>VS:</t>
        </r>
        <r>
          <rPr>
            <sz val="9"/>
            <color indexed="81"/>
            <rFont val="Tahoma"/>
            <family val="2"/>
          </rPr>
          <t xml:space="preserve">
verify</t>
        </r>
      </text>
    </comment>
    <comment ref="R1" authorId="0" shapeId="0" xr:uid="{8A125E24-278B-4FB3-A3A0-8D10B0EDEC33}">
      <text>
        <r>
          <rPr>
            <b/>
            <sz val="9"/>
            <color indexed="81"/>
            <rFont val="Tahoma"/>
            <family val="2"/>
          </rPr>
          <t>VS:</t>
        </r>
        <r>
          <rPr>
            <sz val="9"/>
            <color indexed="81"/>
            <rFont val="Tahoma"/>
            <family val="2"/>
          </rPr>
          <t xml:space="preserve">
for rural uninterrupted flow highways</t>
        </r>
      </text>
    </comment>
    <comment ref="AF1" authorId="0" shapeId="0" xr:uid="{9ED050FF-F5FB-42CA-9927-0F63729D7435}">
      <text>
        <r>
          <rPr>
            <b/>
            <sz val="9"/>
            <color indexed="81"/>
            <rFont val="Tahoma"/>
            <family val="2"/>
          </rPr>
          <t>VS:</t>
        </r>
        <r>
          <rPr>
            <sz val="9"/>
            <color indexed="81"/>
            <rFont val="Tahoma"/>
            <family val="2"/>
          </rPr>
          <t xml:space="preserve">
+5% if interrupted, divided, 2-lane facility with left-turn lanes</t>
        </r>
      </text>
    </comment>
    <comment ref="AG1" authorId="0" shapeId="0" xr:uid="{3CDCC0EE-BA29-4BB8-BE3B-0B52EE9AC80F}">
      <text>
        <r>
          <rPr>
            <b/>
            <sz val="9"/>
            <color indexed="81"/>
            <rFont val="Tahoma"/>
            <family val="2"/>
          </rPr>
          <t>VS:</t>
        </r>
        <r>
          <rPr>
            <sz val="9"/>
            <color indexed="81"/>
            <rFont val="Tahoma"/>
            <family val="2"/>
          </rPr>
          <t xml:space="preserve">
-20% if interrupted, 2-lane, undivided with no turn lanes</t>
        </r>
      </text>
    </comment>
    <comment ref="AH1" authorId="0" shapeId="0" xr:uid="{1AF14884-0429-432D-AED8-FE233DE56FC8}">
      <text>
        <r>
          <rPr>
            <b/>
            <sz val="9"/>
            <color indexed="81"/>
            <rFont val="Tahoma"/>
            <family val="2"/>
          </rPr>
          <t>VS:</t>
        </r>
        <r>
          <rPr>
            <sz val="9"/>
            <color indexed="81"/>
            <rFont val="Tahoma"/>
            <family val="2"/>
          </rPr>
          <t xml:space="preserve">
-5% if multilane, interrupted, undivided with left-turn lanes but no right-turn lanes</t>
        </r>
      </text>
    </comment>
    <comment ref="AJ1" authorId="0" shapeId="0" xr:uid="{DA91609B-58D5-47B5-9AC7-C516D7DE2918}">
      <text>
        <r>
          <rPr>
            <b/>
            <sz val="9"/>
            <color indexed="81"/>
            <rFont val="Tahoma"/>
            <family val="2"/>
          </rPr>
          <t>VS:</t>
        </r>
        <r>
          <rPr>
            <sz val="9"/>
            <color indexed="81"/>
            <rFont val="Tahoma"/>
            <family val="2"/>
          </rPr>
          <t xml:space="preserve">
+5% if right-turn lanes present</t>
        </r>
      </text>
    </comment>
    <comment ref="A34" authorId="1" shapeId="0" xr:uid="{0B6F18B2-6A45-4647-BA8A-159615F8DFDD}">
      <text>
        <t>[Threaded comment]
Your version of Excel allows you to read this threaded comment; however, any edits to it will get removed if the file is opened in a newer version of Excel. Learn more: https://go.microsoft.com/fwlink/?linkid=870924
Comment:
    2027 - TLs added with future construction</t>
      </text>
    </comment>
    <comment ref="BP34" authorId="2" shapeId="0" xr:uid="{3AA4027E-9497-425C-B722-60AC8BFF7B3A}">
      <text>
        <t>[Threaded comment]
Your version of Excel allows you to read this threaded comment; however, any edits to it will get removed if the file is opened in a newer version of Excel. Learn more: https://go.microsoft.com/fwlink/?linkid=870924
Comment:
    2027 service volumes - turn lanes added with future construction</t>
      </text>
    </comment>
    <comment ref="CC34" authorId="3" shapeId="0" xr:uid="{2781A84E-BCAE-4663-B37D-256F220153D4}">
      <text>
        <t>[Threaded comment]
Your version of Excel allows you to read this threaded comment; however, any edits to it will get removed if the file is opened in a newer version of Excel. Learn more: https://go.microsoft.com/fwlink/?linkid=870924
Comment:
    2027 service volumes adjusted for future TLs</t>
      </text>
    </comment>
    <comment ref="CP91" authorId="4" shapeId="0" xr:uid="{220732C9-0B26-4ECA-97CD-306966471146}">
      <text>
        <t>[Threaded comment]
Your version of Excel allows you to read this threaded comment; however, any edits to it will get removed if the file is opened in a newer version of Excel. Learn more: https://go.microsoft.com/fwlink/?linkid=870924
Comment:
    manually input. Was "Not Congested" because LOS F capacity is undefined.</t>
      </text>
    </comment>
    <comment ref="CS91" authorId="0" shapeId="0" xr:uid="{814526A4-81C6-45D2-8E23-7549F252F68A}">
      <text>
        <r>
          <rPr>
            <b/>
            <sz val="9"/>
            <color indexed="81"/>
            <rFont val="Tahoma"/>
            <family val="2"/>
          </rPr>
          <t>VS:</t>
        </r>
        <r>
          <rPr>
            <sz val="9"/>
            <color indexed="81"/>
            <rFont val="Tahoma"/>
            <family val="2"/>
          </rPr>
          <t xml:space="preserve">
hard-coded zero because Adopted LOS F cannot be exceeded</t>
        </r>
      </text>
    </comment>
    <comment ref="CT91" authorId="0" shapeId="0" xr:uid="{677D9A40-C249-46D1-9023-FF380749C24D}">
      <text>
        <r>
          <rPr>
            <b/>
            <sz val="9"/>
            <color indexed="81"/>
            <rFont val="Tahoma"/>
            <family val="2"/>
          </rPr>
          <t>VS:</t>
        </r>
        <r>
          <rPr>
            <sz val="9"/>
            <color indexed="81"/>
            <rFont val="Tahoma"/>
            <family val="2"/>
          </rPr>
          <t xml:space="preserve">
hard-coded zero because Adopted LOS F cannot be exceeded</t>
        </r>
      </text>
    </comment>
    <comment ref="Y119" authorId="0" shapeId="0" xr:uid="{06E3A0A6-3849-4BA3-89E2-3C85C796153A}">
      <text>
        <r>
          <rPr>
            <b/>
            <sz val="9"/>
            <color indexed="81"/>
            <rFont val="Tahoma"/>
            <family val="2"/>
          </rPr>
          <t>VS:</t>
        </r>
        <r>
          <rPr>
            <sz val="9"/>
            <color indexed="81"/>
            <rFont val="Tahoma"/>
            <family val="2"/>
          </rPr>
          <t xml:space="preserve">
per Sumter County Comp Plan</t>
        </r>
      </text>
    </comment>
    <comment ref="U151" authorId="5" shapeId="0" xr:uid="{757458E0-E09C-45A9-8103-85262487786A}">
      <text>
        <t>[Threaded comment]
Your version of Excel allows you to read this threaded comment; however, any edits to it will get removed if the file is opened in a newer version of Excel. Learn more: https://go.microsoft.com/fwlink/?linkid=870924
Comment:
    hard-coded</t>
      </text>
    </comment>
    <comment ref="CP163" authorId="6" shapeId="0" xr:uid="{941F1F9E-8B7C-41C6-975A-C732712C98E6}">
      <text>
        <t>[Threaded comment]
Your version of Excel allows you to read this threaded comment; however, any edits to it will get removed if the file is opened in a newer version of Excel. Learn more: https://go.microsoft.com/fwlink/?linkid=870924
Comment:
    manually input. Was showing Not Congested, since LOS F capacity is undefined.</t>
      </text>
    </comment>
    <comment ref="CS163" authorId="0" shapeId="0" xr:uid="{C69BAF9D-B835-4023-ACAC-87D8C0BB7E51}">
      <text>
        <r>
          <rPr>
            <b/>
            <sz val="9"/>
            <color indexed="81"/>
            <rFont val="Tahoma"/>
            <family val="2"/>
          </rPr>
          <t>VS:</t>
        </r>
        <r>
          <rPr>
            <sz val="9"/>
            <color indexed="81"/>
            <rFont val="Tahoma"/>
            <family val="2"/>
          </rPr>
          <t xml:space="preserve">
hard-coded zero because Adopted LOS F cannot be exceeded</t>
        </r>
      </text>
    </comment>
    <comment ref="CT163" authorId="0" shapeId="0" xr:uid="{DC8F4461-88A5-4BE0-B449-7CA2432E2EB0}">
      <text>
        <r>
          <rPr>
            <b/>
            <sz val="9"/>
            <color indexed="81"/>
            <rFont val="Tahoma"/>
            <family val="2"/>
          </rPr>
          <t>VS:</t>
        </r>
        <r>
          <rPr>
            <sz val="9"/>
            <color indexed="81"/>
            <rFont val="Tahoma"/>
            <family val="2"/>
          </rPr>
          <t xml:space="preserve">
hard-coded zero because Adopted LOS F cannot be exceeded</t>
        </r>
      </text>
    </comment>
    <comment ref="CS164" authorId="0" shapeId="0" xr:uid="{E6DECBE5-AA8F-45AA-94AF-997F3E4EF02D}">
      <text>
        <r>
          <rPr>
            <b/>
            <sz val="9"/>
            <color indexed="81"/>
            <rFont val="Tahoma"/>
            <family val="2"/>
          </rPr>
          <t>VS:</t>
        </r>
        <r>
          <rPr>
            <sz val="9"/>
            <color indexed="81"/>
            <rFont val="Tahoma"/>
            <family val="2"/>
          </rPr>
          <t xml:space="preserve">
hard-coded zero because Adopted LOS F cannot be exceeded</t>
        </r>
      </text>
    </comment>
    <comment ref="CT164" authorId="0" shapeId="0" xr:uid="{DD97D779-826F-4480-B767-39028DDD0A0B}">
      <text>
        <r>
          <rPr>
            <b/>
            <sz val="9"/>
            <color indexed="81"/>
            <rFont val="Tahoma"/>
            <family val="2"/>
          </rPr>
          <t>VS:</t>
        </r>
        <r>
          <rPr>
            <sz val="9"/>
            <color indexed="81"/>
            <rFont val="Tahoma"/>
            <family val="2"/>
          </rPr>
          <t xml:space="preserve">
hard-coded zero because Adopted LOS F cannot be exceeded</t>
        </r>
      </text>
    </comment>
    <comment ref="CP226" authorId="7" shapeId="0" xr:uid="{210987C3-6F55-4C22-9C2E-D07585E6EC7F}">
      <text>
        <t>[Threaded comment]
Your version of Excel allows you to read this threaded comment; however, any edits to it will get removed if the file is opened in a newer version of Excel. Learn more: https://go.microsoft.com/fwlink/?linkid=870924
Comment:
    manually input. Was "Not Congested" because LOS F capacity is undefined.</t>
      </text>
    </comment>
    <comment ref="CS226" authorId="0" shapeId="0" xr:uid="{38A30CA2-01E7-4AA2-9CC3-D8C90B0F3C93}">
      <text>
        <r>
          <rPr>
            <b/>
            <sz val="9"/>
            <color indexed="81"/>
            <rFont val="Tahoma"/>
            <family val="2"/>
          </rPr>
          <t>VS:</t>
        </r>
        <r>
          <rPr>
            <sz val="9"/>
            <color indexed="81"/>
            <rFont val="Tahoma"/>
            <family val="2"/>
          </rPr>
          <t xml:space="preserve">
hard-coded zero because Adopted LOS F cannot be exceeded</t>
        </r>
      </text>
    </comment>
    <comment ref="CT226" authorId="0" shapeId="0" xr:uid="{5C7BF795-965D-4C74-8D3C-F0DE85B133BD}">
      <text>
        <r>
          <rPr>
            <b/>
            <sz val="9"/>
            <color indexed="81"/>
            <rFont val="Tahoma"/>
            <family val="2"/>
          </rPr>
          <t>VS:</t>
        </r>
        <r>
          <rPr>
            <sz val="9"/>
            <color indexed="81"/>
            <rFont val="Tahoma"/>
            <family val="2"/>
          </rPr>
          <t xml:space="preserve">
hard-coded zero because Adopted LOS F cannot be exceeded</t>
        </r>
      </text>
    </comment>
    <comment ref="CP227" authorId="8" shapeId="0" xr:uid="{9CA82D5B-19AB-49DF-ACE5-3D030A90B10B}">
      <text>
        <t>[Threaded comment]
Your version of Excel allows you to read this threaded comment; however, any edits to it will get removed if the file is opened in a newer version of Excel. Learn more: https://go.microsoft.com/fwlink/?linkid=870924
Comment:
    manually input. Was "Not Congested" because LOS F capacity is undefined.</t>
      </text>
    </comment>
    <comment ref="CS227" authorId="0" shapeId="0" xr:uid="{22263F8E-A20C-4094-919D-B221DF8E2953}">
      <text>
        <r>
          <rPr>
            <b/>
            <sz val="9"/>
            <color indexed="81"/>
            <rFont val="Tahoma"/>
            <family val="2"/>
          </rPr>
          <t>VS:</t>
        </r>
        <r>
          <rPr>
            <sz val="9"/>
            <color indexed="81"/>
            <rFont val="Tahoma"/>
            <family val="2"/>
          </rPr>
          <t xml:space="preserve">
hard-coded zero because Adopted LOS F cannot be exceeded</t>
        </r>
      </text>
    </comment>
    <comment ref="CT227" authorId="0" shapeId="0" xr:uid="{0F05FC0A-6D13-4752-B84F-BDB4BDED3066}">
      <text>
        <r>
          <rPr>
            <b/>
            <sz val="9"/>
            <color indexed="81"/>
            <rFont val="Tahoma"/>
            <family val="2"/>
          </rPr>
          <t>VS:</t>
        </r>
        <r>
          <rPr>
            <sz val="9"/>
            <color indexed="81"/>
            <rFont val="Tahoma"/>
            <family val="2"/>
          </rPr>
          <t xml:space="preserve">
hard-coded zero because Adopted LOS F cannot be exceeded</t>
        </r>
      </text>
    </comment>
    <comment ref="CP228" authorId="9" shapeId="0" xr:uid="{A5F9CED6-D95B-4482-BBC0-75E3CEBC4B9F}">
      <text>
        <t>[Threaded comment]
Your version of Excel allows you to read this threaded comment; however, any edits to it will get removed if the file is opened in a newer version of Excel. Learn more: https://go.microsoft.com/fwlink/?linkid=870924
Comment:
    manually input. Was "Not Congested" because LOS F capacity is undefined.</t>
      </text>
    </comment>
    <comment ref="CS228" authorId="0" shapeId="0" xr:uid="{EAA13EBB-A34A-413C-AFEB-5103DC228544}">
      <text>
        <r>
          <rPr>
            <b/>
            <sz val="9"/>
            <color indexed="81"/>
            <rFont val="Tahoma"/>
            <family val="2"/>
          </rPr>
          <t>VS:</t>
        </r>
        <r>
          <rPr>
            <sz val="9"/>
            <color indexed="81"/>
            <rFont val="Tahoma"/>
            <family val="2"/>
          </rPr>
          <t xml:space="preserve">
hard-coded zero because Adopted LOS F cannot be exceeded</t>
        </r>
      </text>
    </comment>
    <comment ref="CT228" authorId="0" shapeId="0" xr:uid="{D5EA13FF-633A-45FD-91F8-0050E8C121FB}">
      <text>
        <r>
          <rPr>
            <b/>
            <sz val="9"/>
            <color indexed="81"/>
            <rFont val="Tahoma"/>
            <family val="2"/>
          </rPr>
          <t>VS:</t>
        </r>
        <r>
          <rPr>
            <sz val="9"/>
            <color indexed="81"/>
            <rFont val="Tahoma"/>
            <family val="2"/>
          </rPr>
          <t xml:space="preserve">
hard-coded zero because Adopted LOS F cannot be exceeded</t>
        </r>
      </text>
    </comment>
    <comment ref="U239" authorId="10" shapeId="0" xr:uid="{2073B70D-EC18-43DC-871B-B23193A576A4}">
      <text>
        <t>[Threaded comment]
Your version of Excel allows you to read this threaded comment; however, any edits to it will get removed if the file is opened in a newer version of Excel. Learn more: https://go.microsoft.com/fwlink/?linkid=870924
Comment:
    Hard-coded</t>
      </text>
    </comment>
    <comment ref="AQ274" authorId="11" shapeId="0" xr:uid="{79BCD792-2AAC-4F72-B687-FB0DC32FD7B4}">
      <text>
        <r>
          <rPr>
            <b/>
            <sz val="9"/>
            <color indexed="81"/>
            <rFont val="Tahoma"/>
            <family val="2"/>
          </rPr>
          <t>Reed, Caleb:</t>
        </r>
        <r>
          <rPr>
            <sz val="9"/>
            <color indexed="81"/>
            <rFont val="Tahoma"/>
            <family val="2"/>
          </rPr>
          <t xml:space="preserve">
calculated from 2021 MVMT multiplied by ratio of 2016 total volume to 2021 total volume</t>
        </r>
      </text>
    </comment>
    <comment ref="AR274" authorId="11" shapeId="0" xr:uid="{5A5B7FFC-1617-4E63-9C8C-F4D77BE570C8}">
      <text>
        <r>
          <rPr>
            <b/>
            <sz val="9"/>
            <color indexed="81"/>
            <rFont val="Tahoma"/>
            <family val="2"/>
          </rPr>
          <t>Reed, Caleb:</t>
        </r>
        <r>
          <rPr>
            <sz val="9"/>
            <color indexed="81"/>
            <rFont val="Tahoma"/>
            <family val="2"/>
          </rPr>
          <t xml:space="preserve">
calculated from 2021 MVMT multiplied by ratio of 2017 total volume to 2021 total volume</t>
        </r>
      </text>
    </comment>
    <comment ref="AS274" authorId="11" shapeId="0" xr:uid="{FD64429E-2DA4-4CC0-8C24-5E76A2207322}">
      <text>
        <r>
          <rPr>
            <b/>
            <sz val="9"/>
            <color indexed="81"/>
            <rFont val="Tahoma"/>
            <family val="2"/>
          </rPr>
          <t>Reed, Caleb:</t>
        </r>
        <r>
          <rPr>
            <sz val="9"/>
            <color indexed="81"/>
            <rFont val="Tahoma"/>
            <family val="2"/>
          </rPr>
          <t xml:space="preserve">
calculated from 2021 MVMT multiplied by ratio of 2018 total volume to 2021 total volume</t>
        </r>
      </text>
    </comment>
    <comment ref="AT274" authorId="11" shapeId="0" xr:uid="{E8065D16-3B8E-476A-856D-C957271CF2B7}">
      <text>
        <r>
          <rPr>
            <b/>
            <sz val="9"/>
            <color indexed="81"/>
            <rFont val="Tahoma"/>
            <family val="2"/>
          </rPr>
          <t>Reed, Caleb:</t>
        </r>
        <r>
          <rPr>
            <sz val="9"/>
            <color indexed="81"/>
            <rFont val="Tahoma"/>
            <family val="2"/>
          </rPr>
          <t xml:space="preserve">
From 2019 CMP_Cleanup spreadsheet</t>
        </r>
      </text>
    </comment>
    <comment ref="AU274" authorId="11" shapeId="0" xr:uid="{593C07E0-E039-461E-8A11-74353365F409}">
      <text>
        <r>
          <rPr>
            <b/>
            <sz val="9"/>
            <color indexed="81"/>
            <rFont val="Tahoma"/>
            <family val="2"/>
          </rPr>
          <t>Reed, Caleb:</t>
        </r>
        <r>
          <rPr>
            <sz val="9"/>
            <color indexed="81"/>
            <rFont val="Tahoma"/>
            <family val="2"/>
          </rPr>
          <t xml:space="preserve">
From 2020 CMP Database spreadsheet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VS</author>
    <author>tc={BB93394B-ECC4-4FA2-BC5E-1563B61AD52E}</author>
    <author>tc={8E45773A-6831-4D6A-A7DF-E6E626340263}</author>
    <author>tc={EE75791C-34AD-427B-BAC1-3FDFA771C7F8}</author>
    <author>tc={E870C2E7-D7A3-4D3A-924F-9C4CC1CF19CB}</author>
    <author>tc={6F1F6A4E-17CC-4BBF-8F13-3DF8BCA181EB}</author>
  </authors>
  <commentList>
    <comment ref="P1" authorId="0" shapeId="0" xr:uid="{674763BD-333B-4221-B083-325B7B47A6BD}">
      <text>
        <r>
          <rPr>
            <b/>
            <sz val="9"/>
            <color indexed="81"/>
            <rFont val="Tahoma"/>
            <family val="2"/>
          </rPr>
          <t>VS:</t>
        </r>
        <r>
          <rPr>
            <sz val="9"/>
            <color indexed="81"/>
            <rFont val="Tahoma"/>
            <family val="2"/>
          </rPr>
          <t xml:space="preserve">
verify</t>
        </r>
      </text>
    </comment>
    <comment ref="R1" authorId="0" shapeId="0" xr:uid="{1C87ABAC-E112-40D4-97BD-D8AD07ED1904}">
      <text>
        <r>
          <rPr>
            <b/>
            <sz val="9"/>
            <color indexed="81"/>
            <rFont val="Tahoma"/>
            <family val="2"/>
          </rPr>
          <t>VS:</t>
        </r>
        <r>
          <rPr>
            <sz val="9"/>
            <color indexed="81"/>
            <rFont val="Tahoma"/>
            <family val="2"/>
          </rPr>
          <t xml:space="preserve">
for rural uninterrupted flow highways</t>
        </r>
      </text>
    </comment>
    <comment ref="AF1" authorId="0" shapeId="0" xr:uid="{A1C82505-95F2-4E51-A517-D366CE88B0F2}">
      <text>
        <r>
          <rPr>
            <b/>
            <sz val="9"/>
            <color indexed="81"/>
            <rFont val="Tahoma"/>
            <family val="2"/>
          </rPr>
          <t>VS:</t>
        </r>
        <r>
          <rPr>
            <sz val="9"/>
            <color indexed="81"/>
            <rFont val="Tahoma"/>
            <family val="2"/>
          </rPr>
          <t xml:space="preserve">
+5% if interrupted, divided, 2-lane facility with left-turn lanes</t>
        </r>
      </text>
    </comment>
    <comment ref="AG1" authorId="0" shapeId="0" xr:uid="{15D79B37-940B-47FC-822A-0B110EFF0B10}">
      <text>
        <r>
          <rPr>
            <b/>
            <sz val="9"/>
            <color indexed="81"/>
            <rFont val="Tahoma"/>
            <family val="2"/>
          </rPr>
          <t>VS:</t>
        </r>
        <r>
          <rPr>
            <sz val="9"/>
            <color indexed="81"/>
            <rFont val="Tahoma"/>
            <family val="2"/>
          </rPr>
          <t xml:space="preserve">
-20% if interrupted, 2-lane, undivided with no turn lanes</t>
        </r>
      </text>
    </comment>
    <comment ref="AH1" authorId="0" shapeId="0" xr:uid="{57657F59-8E8B-4B77-9CAA-20D1CF2C3030}">
      <text>
        <r>
          <rPr>
            <b/>
            <sz val="9"/>
            <color indexed="81"/>
            <rFont val="Tahoma"/>
            <family val="2"/>
          </rPr>
          <t>VS:</t>
        </r>
        <r>
          <rPr>
            <sz val="9"/>
            <color indexed="81"/>
            <rFont val="Tahoma"/>
            <family val="2"/>
          </rPr>
          <t xml:space="preserve">
-5% if multilane, interrupted, undivided with left-turn lanes but no right-turn lanes</t>
        </r>
      </text>
    </comment>
    <comment ref="AJ1" authorId="0" shapeId="0" xr:uid="{9D25435C-1A72-4A96-AA7D-EE229737F2E0}">
      <text>
        <r>
          <rPr>
            <b/>
            <sz val="9"/>
            <color indexed="81"/>
            <rFont val="Tahoma"/>
            <family val="2"/>
          </rPr>
          <t>VS:</t>
        </r>
        <r>
          <rPr>
            <sz val="9"/>
            <color indexed="81"/>
            <rFont val="Tahoma"/>
            <family val="2"/>
          </rPr>
          <t xml:space="preserve">
+5% if right-turn lanes present</t>
        </r>
      </text>
    </comment>
    <comment ref="CP9" authorId="1" shapeId="0" xr:uid="{BB93394B-ECC4-4FA2-BC5E-1563B61AD52E}">
      <text>
        <t>[Threaded comment]
Your version of Excel allows you to read this threaded comment; however, any edits to it will get removed if the file is opened in a newer version of Excel. Learn more: https://go.microsoft.com/fwlink/?linkid=870924
Comment:
    manually input. Was "Not Congested" because LOS F capacity is undefined.</t>
      </text>
    </comment>
    <comment ref="CS9" authorId="0" shapeId="0" xr:uid="{478E97B3-2A6D-4A70-AF40-8A1F2B632C9F}">
      <text>
        <r>
          <rPr>
            <b/>
            <sz val="9"/>
            <color indexed="81"/>
            <rFont val="Tahoma"/>
            <family val="2"/>
          </rPr>
          <t>VS:</t>
        </r>
        <r>
          <rPr>
            <sz val="9"/>
            <color indexed="81"/>
            <rFont val="Tahoma"/>
            <family val="2"/>
          </rPr>
          <t xml:space="preserve">
hard-coded zero because Adopted LOS F cannot be exceeded</t>
        </r>
      </text>
    </comment>
    <comment ref="CT9" authorId="0" shapeId="0" xr:uid="{ACFD148C-419B-4218-B1A2-655584C45307}">
      <text>
        <r>
          <rPr>
            <b/>
            <sz val="9"/>
            <color indexed="81"/>
            <rFont val="Tahoma"/>
            <family val="2"/>
          </rPr>
          <t>VS:</t>
        </r>
        <r>
          <rPr>
            <sz val="9"/>
            <color indexed="81"/>
            <rFont val="Tahoma"/>
            <family val="2"/>
          </rPr>
          <t xml:space="preserve">
hard-coded zero because Adopted LOS F cannot be exceeded</t>
        </r>
      </text>
    </comment>
    <comment ref="CP10" authorId="2" shapeId="0" xr:uid="{8E45773A-6831-4D6A-A7DF-E6E626340263}">
      <text>
        <t>[Threaded comment]
Your version of Excel allows you to read this threaded comment; however, any edits to it will get removed if the file is opened in a newer version of Excel. Learn more: https://go.microsoft.com/fwlink/?linkid=870924
Comment:
    manually input. Was showing Not Congested, since LOS F capacity is undefined.</t>
      </text>
    </comment>
    <comment ref="CS10" authorId="0" shapeId="0" xr:uid="{977375F9-A735-4C1D-8E50-1764CED6BCAB}">
      <text>
        <r>
          <rPr>
            <b/>
            <sz val="9"/>
            <color indexed="81"/>
            <rFont val="Tahoma"/>
            <family val="2"/>
          </rPr>
          <t>VS:</t>
        </r>
        <r>
          <rPr>
            <sz val="9"/>
            <color indexed="81"/>
            <rFont val="Tahoma"/>
            <family val="2"/>
          </rPr>
          <t xml:space="preserve">
hard-coded zero because Adopted LOS F cannot be exceeded</t>
        </r>
      </text>
    </comment>
    <comment ref="CT10" authorId="0" shapeId="0" xr:uid="{DEF682BC-531A-44DB-9CEC-47713751AC69}">
      <text>
        <r>
          <rPr>
            <b/>
            <sz val="9"/>
            <color indexed="81"/>
            <rFont val="Tahoma"/>
            <family val="2"/>
          </rPr>
          <t>VS:</t>
        </r>
        <r>
          <rPr>
            <sz val="9"/>
            <color indexed="81"/>
            <rFont val="Tahoma"/>
            <family val="2"/>
          </rPr>
          <t xml:space="preserve">
hard-coded zero because Adopted LOS F cannot be exceeded</t>
        </r>
      </text>
    </comment>
    <comment ref="CS11" authorId="0" shapeId="0" xr:uid="{0095A787-1D05-4EC7-AAE9-01D97D5557DB}">
      <text>
        <r>
          <rPr>
            <b/>
            <sz val="9"/>
            <color indexed="81"/>
            <rFont val="Tahoma"/>
            <family val="2"/>
          </rPr>
          <t>VS:</t>
        </r>
        <r>
          <rPr>
            <sz val="9"/>
            <color indexed="81"/>
            <rFont val="Tahoma"/>
            <family val="2"/>
          </rPr>
          <t xml:space="preserve">
hard-coded zero because Adopted LOS F cannot be exceeded</t>
        </r>
      </text>
    </comment>
    <comment ref="CT11" authorId="0" shapeId="0" xr:uid="{F33D5D57-6133-4154-B855-82937FBFF15F}">
      <text>
        <r>
          <rPr>
            <b/>
            <sz val="9"/>
            <color indexed="81"/>
            <rFont val="Tahoma"/>
            <family val="2"/>
          </rPr>
          <t>VS:</t>
        </r>
        <r>
          <rPr>
            <sz val="9"/>
            <color indexed="81"/>
            <rFont val="Tahoma"/>
            <family val="2"/>
          </rPr>
          <t xml:space="preserve">
hard-coded zero because Adopted LOS F cannot be exceeded</t>
        </r>
      </text>
    </comment>
    <comment ref="CP15" authorId="3" shapeId="0" xr:uid="{EE75791C-34AD-427B-BAC1-3FDFA771C7F8}">
      <text>
        <t>[Threaded comment]
Your version of Excel allows you to read this threaded comment; however, any edits to it will get removed if the file is opened in a newer version of Excel. Learn more: https://go.microsoft.com/fwlink/?linkid=870924
Comment:
    manually input. Was "Not Congested" because LOS F capacity is undefined.</t>
      </text>
    </comment>
    <comment ref="CS15" authorId="0" shapeId="0" xr:uid="{0715AD00-27FB-456F-83AF-2ACF64F4B5CB}">
      <text>
        <r>
          <rPr>
            <b/>
            <sz val="9"/>
            <color indexed="81"/>
            <rFont val="Tahoma"/>
            <family val="2"/>
          </rPr>
          <t>VS:</t>
        </r>
        <r>
          <rPr>
            <sz val="9"/>
            <color indexed="81"/>
            <rFont val="Tahoma"/>
            <family val="2"/>
          </rPr>
          <t xml:space="preserve">
hard-coded zero because Adopted LOS F cannot be exceeded</t>
        </r>
      </text>
    </comment>
    <comment ref="CT15" authorId="0" shapeId="0" xr:uid="{0277F8DE-7A7D-4AC3-975B-C11751C65030}">
      <text>
        <r>
          <rPr>
            <b/>
            <sz val="9"/>
            <color indexed="81"/>
            <rFont val="Tahoma"/>
            <family val="2"/>
          </rPr>
          <t>VS:</t>
        </r>
        <r>
          <rPr>
            <sz val="9"/>
            <color indexed="81"/>
            <rFont val="Tahoma"/>
            <family val="2"/>
          </rPr>
          <t xml:space="preserve">
hard-coded zero because Adopted LOS F cannot be exceeded</t>
        </r>
      </text>
    </comment>
    <comment ref="CP16" authorId="4" shapeId="0" xr:uid="{E870C2E7-D7A3-4D3A-924F-9C4CC1CF19CB}">
      <text>
        <t>[Threaded comment]
Your version of Excel allows you to read this threaded comment; however, any edits to it will get removed if the file is opened in a newer version of Excel. Learn more: https://go.microsoft.com/fwlink/?linkid=870924
Comment:
    manually input. Was "Not Congested" because LOS F capacity is undefined.</t>
      </text>
    </comment>
    <comment ref="CS16" authorId="0" shapeId="0" xr:uid="{E1A90091-2182-464A-AC93-209BAD5B1729}">
      <text>
        <r>
          <rPr>
            <b/>
            <sz val="9"/>
            <color indexed="81"/>
            <rFont val="Tahoma"/>
            <family val="2"/>
          </rPr>
          <t>VS:</t>
        </r>
        <r>
          <rPr>
            <sz val="9"/>
            <color indexed="81"/>
            <rFont val="Tahoma"/>
            <family val="2"/>
          </rPr>
          <t xml:space="preserve">
hard-coded zero because Adopted LOS F cannot be exceeded</t>
        </r>
      </text>
    </comment>
    <comment ref="CT16" authorId="0" shapeId="0" xr:uid="{EB01E083-7EC3-4350-999F-7D27D413D84A}">
      <text>
        <r>
          <rPr>
            <b/>
            <sz val="9"/>
            <color indexed="81"/>
            <rFont val="Tahoma"/>
            <family val="2"/>
          </rPr>
          <t>VS:</t>
        </r>
        <r>
          <rPr>
            <sz val="9"/>
            <color indexed="81"/>
            <rFont val="Tahoma"/>
            <family val="2"/>
          </rPr>
          <t xml:space="preserve">
hard-coded zero because Adopted LOS F cannot be exceeded</t>
        </r>
      </text>
    </comment>
    <comment ref="CP17" authorId="5" shapeId="0" xr:uid="{6F1F6A4E-17CC-4BBF-8F13-3DF8BCA181EB}">
      <text>
        <t>[Threaded comment]
Your version of Excel allows you to read this threaded comment; however, any edits to it will get removed if the file is opened in a newer version of Excel. Learn more: https://go.microsoft.com/fwlink/?linkid=870924
Comment:
    manually input. Was "Not Congested" because LOS F capacity is undefined.</t>
      </text>
    </comment>
    <comment ref="CS17" authorId="0" shapeId="0" xr:uid="{012387B8-997A-47E4-AACE-559DC9255B49}">
      <text>
        <r>
          <rPr>
            <b/>
            <sz val="9"/>
            <color indexed="81"/>
            <rFont val="Tahoma"/>
            <family val="2"/>
          </rPr>
          <t>VS:</t>
        </r>
        <r>
          <rPr>
            <sz val="9"/>
            <color indexed="81"/>
            <rFont val="Tahoma"/>
            <family val="2"/>
          </rPr>
          <t xml:space="preserve">
hard-coded zero because Adopted LOS F cannot be exceeded</t>
        </r>
      </text>
    </comment>
    <comment ref="CT17" authorId="0" shapeId="0" xr:uid="{96B732C2-50B2-4C9C-8F8D-EFAD2819DE7C}">
      <text>
        <r>
          <rPr>
            <b/>
            <sz val="9"/>
            <color indexed="81"/>
            <rFont val="Tahoma"/>
            <family val="2"/>
          </rPr>
          <t>VS:</t>
        </r>
        <r>
          <rPr>
            <sz val="9"/>
            <color indexed="81"/>
            <rFont val="Tahoma"/>
            <family val="2"/>
          </rPr>
          <t xml:space="preserve">
hard-coded zero because Adopted LOS F cannot be exceeded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4442A3E-2D30-4B79-8563-A21E43227199}" keepAlive="1" name="Query - MMP_SUMTER" description="Connection to the 'MMP_SUMTER' query in the workbook." type="5" refreshedVersion="6" background="1" saveData="1">
    <dbPr connection="Provider=Microsoft.Mashup.OleDb.1;Data Source=$Workbook$;Location=MMP_SUMTER;Extended Properties=&quot;&quot;" command="SELECT * FROM [MMP_SUMTER]"/>
  </connection>
</connections>
</file>

<file path=xl/sharedStrings.xml><?xml version="1.0" encoding="utf-8"?>
<sst xmlns="http://schemas.openxmlformats.org/spreadsheetml/2006/main" count="11367" uniqueCount="1173">
  <si>
    <t>FROM</t>
  </si>
  <si>
    <t>TO</t>
  </si>
  <si>
    <t>JURISDICTION</t>
  </si>
  <si>
    <t>B</t>
  </si>
  <si>
    <t>C</t>
  </si>
  <si>
    <t>D</t>
  </si>
  <si>
    <t>SUMTER</t>
  </si>
  <si>
    <t>BAILEY TRL</t>
  </si>
  <si>
    <t>BUENA VISTA BLVD (N)</t>
  </si>
  <si>
    <t>SUNSET RIDGE DR</t>
  </si>
  <si>
    <t>COUNTY</t>
  </si>
  <si>
    <t>UNINCORPORATED SUMTER COUNTY</t>
  </si>
  <si>
    <t>MAJOR COLLECTOR</t>
  </si>
  <si>
    <t>2UC</t>
  </si>
  <si>
    <t>ST. CHARLES PL</t>
  </si>
  <si>
    <t>BELVEDERE BLVD</t>
  </si>
  <si>
    <t>C-466E</t>
  </si>
  <si>
    <t>CHURCHILL DOWNS</t>
  </si>
  <si>
    <t>BUENA VISTA BLVD</t>
  </si>
  <si>
    <t>BONITA BLVD</t>
  </si>
  <si>
    <t>CANAL ST</t>
  </si>
  <si>
    <t>COLLECTOR</t>
  </si>
  <si>
    <t>MORSE BLVD N</t>
  </si>
  <si>
    <t>SR 44</t>
  </si>
  <si>
    <t>C-44A</t>
  </si>
  <si>
    <t>WILDWOOD</t>
  </si>
  <si>
    <t>4UC</t>
  </si>
  <si>
    <t>C-466A</t>
  </si>
  <si>
    <t>ST.CHARLES PL</t>
  </si>
  <si>
    <t>TEMBERRY FOREST DR</t>
  </si>
  <si>
    <t>TALL TREES LN</t>
  </si>
  <si>
    <t>LAUREL MANOR DR</t>
  </si>
  <si>
    <t>SADDLEBROOK LN</t>
  </si>
  <si>
    <t>EL CAMINO REAL</t>
  </si>
  <si>
    <t>MARION COUNTY BOUNDARY</t>
  </si>
  <si>
    <t>BUENOS AIRES BLVD</t>
  </si>
  <si>
    <t>US 27/US 441/SR 500</t>
  </si>
  <si>
    <t>BUTTONWOOD RUN</t>
  </si>
  <si>
    <t>HARDING PATH</t>
  </si>
  <si>
    <t>CR 213</t>
  </si>
  <si>
    <t>US 301/SR 35</t>
  </si>
  <si>
    <t>CR 139</t>
  </si>
  <si>
    <t>SR 44 (E)</t>
  </si>
  <si>
    <t>CR 229</t>
  </si>
  <si>
    <t>2RC</t>
  </si>
  <si>
    <t>CR 223</t>
  </si>
  <si>
    <t>CR 209</t>
  </si>
  <si>
    <t>CR 131</t>
  </si>
  <si>
    <t>CR 121</t>
  </si>
  <si>
    <t>CR 134</t>
  </si>
  <si>
    <t>ARTERIAL 1</t>
  </si>
  <si>
    <t>CR 105</t>
  </si>
  <si>
    <t>4U1</t>
  </si>
  <si>
    <t>CR 103</t>
  </si>
  <si>
    <t>CR 101</t>
  </si>
  <si>
    <t>MORSE BLVD</t>
  </si>
  <si>
    <t>LAKE COUNTY BOUNDARY</t>
  </si>
  <si>
    <t>C-468</t>
  </si>
  <si>
    <t>CR 513</t>
  </si>
  <si>
    <t>CR 501</t>
  </si>
  <si>
    <t>SANDALWOOD DR</t>
  </si>
  <si>
    <t>C-469</t>
  </si>
  <si>
    <t>SR 50</t>
  </si>
  <si>
    <t>CR 728</t>
  </si>
  <si>
    <t>C-48 E</t>
  </si>
  <si>
    <t>CENTER HILL</t>
  </si>
  <si>
    <t>SR 93/I-75</t>
  </si>
  <si>
    <t>NE 50TH WAY</t>
  </si>
  <si>
    <t>CR 412</t>
  </si>
  <si>
    <t>MINOR ARTERIAL</t>
  </si>
  <si>
    <t>CR 416 N</t>
  </si>
  <si>
    <t>CR 479</t>
  </si>
  <si>
    <t>C-472</t>
  </si>
  <si>
    <t>CR 117</t>
  </si>
  <si>
    <t>SR 48 W</t>
  </si>
  <si>
    <t>JUMPER DR S</t>
  </si>
  <si>
    <t>BUSHNELL</t>
  </si>
  <si>
    <t>CR 542 W</t>
  </si>
  <si>
    <t>CR 532 W</t>
  </si>
  <si>
    <t>C-476 E (Noble Ave)</t>
  </si>
  <si>
    <t>JASPER ST</t>
  </si>
  <si>
    <t>SR 471</t>
  </si>
  <si>
    <t>C-476 W</t>
  </si>
  <si>
    <t>HERNANDO COUNTY BOUNDARY</t>
  </si>
  <si>
    <t>C-575</t>
  </si>
  <si>
    <t>C-476B</t>
  </si>
  <si>
    <t>CR 625</t>
  </si>
  <si>
    <t>CR 616</t>
  </si>
  <si>
    <t>SW 95TH AVE</t>
  </si>
  <si>
    <t>CR 747</t>
  </si>
  <si>
    <t>WEBSTER</t>
  </si>
  <si>
    <t>CR 707</t>
  </si>
  <si>
    <t>C-478A</t>
  </si>
  <si>
    <t>CR 557</t>
  </si>
  <si>
    <t>187001</t>
  </si>
  <si>
    <t>CR 567</t>
  </si>
  <si>
    <t>CR 558</t>
  </si>
  <si>
    <t>CITRUS COUNTY BOUNDARY</t>
  </si>
  <si>
    <t>CR 313</t>
  </si>
  <si>
    <t>CR 663</t>
  </si>
  <si>
    <t>ODELL CIR (S)</t>
  </si>
  <si>
    <t>ODELL CIR (N)</t>
  </si>
  <si>
    <t>STILLWATER TRL</t>
  </si>
  <si>
    <t>BELEVEDERE BLVD</t>
  </si>
  <si>
    <t>MORVEN PARKWAY</t>
  </si>
  <si>
    <t>LYNNHAVEN LN</t>
  </si>
  <si>
    <t>WOODRIDGE DR</t>
  </si>
  <si>
    <t>CR 102</t>
  </si>
  <si>
    <t>CR 104</t>
  </si>
  <si>
    <t>CR 114</t>
  </si>
  <si>
    <t>CR 139 (Powell Rd)</t>
  </si>
  <si>
    <t>CR 156</t>
  </si>
  <si>
    <t>CR 232</t>
  </si>
  <si>
    <t>CR 216</t>
  </si>
  <si>
    <t>CR 202</t>
  </si>
  <si>
    <t>CR 237</t>
  </si>
  <si>
    <t>CR 222</t>
  </si>
  <si>
    <t>C-470E</t>
  </si>
  <si>
    <t>CR 673</t>
  </si>
  <si>
    <t>CR 674</t>
  </si>
  <si>
    <t>CR 721</t>
  </si>
  <si>
    <t>CR 727</t>
  </si>
  <si>
    <t>CR 730</t>
  </si>
  <si>
    <t>ENRIQUE DR</t>
  </si>
  <si>
    <t>MARIPOSA WAY</t>
  </si>
  <si>
    <t>500 FT SOUTH MARIPOSA WAY</t>
  </si>
  <si>
    <t>RIO GRANDE AVE</t>
  </si>
  <si>
    <t>NE 90TH ST (CR 100)</t>
  </si>
  <si>
    <t>ODELL CIRCLE</t>
  </si>
  <si>
    <t>BACKWATER WAY</t>
  </si>
  <si>
    <t>ARVIN LN</t>
  </si>
  <si>
    <t>MORSE BLVD N (S)</t>
  </si>
  <si>
    <t>MORSE BLVD N (N)</t>
  </si>
  <si>
    <t>CANAL ST (N)</t>
  </si>
  <si>
    <t>MEADOWLARK AVE</t>
  </si>
  <si>
    <t>SEMINOLE AVE E</t>
  </si>
  <si>
    <t>FDOT</t>
  </si>
  <si>
    <t>STATE</t>
  </si>
  <si>
    <t>PRINCIPAL ARTERIAL</t>
  </si>
  <si>
    <t>4RU</t>
  </si>
  <si>
    <t>180203: 180202</t>
  </si>
  <si>
    <t xml:space="preserve">SR 93/I-75 </t>
  </si>
  <si>
    <t>POLK COUNTY BOUNDARY</t>
  </si>
  <si>
    <t>2RU</t>
  </si>
  <si>
    <t>2R1</t>
  </si>
  <si>
    <t>CR 722</t>
  </si>
  <si>
    <t>SR 48 (CR 48 W)</t>
  </si>
  <si>
    <t>CR 609</t>
  </si>
  <si>
    <t>2U1</t>
  </si>
  <si>
    <t>180016: 180009</t>
  </si>
  <si>
    <t>SR 48 (Main St N)</t>
  </si>
  <si>
    <t>SR 48</t>
  </si>
  <si>
    <t>SR 91/FLORIDAS TURNPIKE</t>
  </si>
  <si>
    <t>FREEWAY</t>
  </si>
  <si>
    <t>4RF</t>
  </si>
  <si>
    <t>4TF</t>
  </si>
  <si>
    <t>6RF</t>
  </si>
  <si>
    <t>ST. CHARLES</t>
  </si>
  <si>
    <t>LOCKHART AVE</t>
  </si>
  <si>
    <t>MARION COUNTY  BOUNDARY</t>
  </si>
  <si>
    <t>6U1</t>
  </si>
  <si>
    <t>CR 656</t>
  </si>
  <si>
    <t>US 301/SR 35 (Main St)</t>
  </si>
  <si>
    <t>4R1</t>
  </si>
  <si>
    <t>US 301/SR 35 (Noble Av)</t>
  </si>
  <si>
    <t>COLEMAN</t>
  </si>
  <si>
    <t>180041: 180077</t>
  </si>
  <si>
    <t>US 301/SR 35 (Warm Springs Ave)</t>
  </si>
  <si>
    <t>180077: 180006</t>
  </si>
  <si>
    <t>4UU</t>
  </si>
  <si>
    <t>180006</t>
  </si>
  <si>
    <t>185016</t>
  </si>
  <si>
    <t>180002: 180206</t>
  </si>
  <si>
    <t>CR 204</t>
  </si>
  <si>
    <t>TAMARIND GROVE RUN</t>
  </si>
  <si>
    <t>DIVINDING CREEK PATH</t>
  </si>
  <si>
    <t>Segment_ID</t>
  </si>
  <si>
    <t>FDOT_STA</t>
  </si>
  <si>
    <t>COUNT_SOURCE</t>
  </si>
  <si>
    <t>ROAD_NAME</t>
  </si>
  <si>
    <t>MAINTAINING_AGENCY</t>
  </si>
  <si>
    <t>FUNCTIONAL_CLASS</t>
  </si>
  <si>
    <t>LOS_STD</t>
  </si>
  <si>
    <t>E</t>
  </si>
  <si>
    <t>ARTERIAL 2</t>
  </si>
  <si>
    <t>2U2</t>
  </si>
  <si>
    <t>2UMC</t>
  </si>
  <si>
    <t>4UMC</t>
  </si>
  <si>
    <t>2RMC</t>
  </si>
  <si>
    <t>4T1</t>
  </si>
  <si>
    <t>Non-State_Adj</t>
  </si>
  <si>
    <t>Source</t>
  </si>
  <si>
    <t>Table 9, Interrupted Flow, 1 Lane</t>
  </si>
  <si>
    <t>Table 9, Uninterrupted Flow, Developed Areas</t>
  </si>
  <si>
    <t>Table 9, Interrupted Flow, 2 Lanes</t>
  </si>
  <si>
    <t>Table 7, Interrupted Flow, Class I, 1 Lane</t>
  </si>
  <si>
    <t>Table 7, Interrupted Flow, Class II, 1 Lane</t>
  </si>
  <si>
    <t>Table 9, Freeways, 2 Lanes</t>
  </si>
  <si>
    <t>Table 9, Uninterrupted Flow, Rural Undeveloped</t>
  </si>
  <si>
    <t>Table 8, Interrupted Flow, Class I, 2 Lanes</t>
  </si>
  <si>
    <t>Table 8, Freeways, 2 Lanes</t>
  </si>
  <si>
    <t>Table 7, Interrupted Flow, Class I, 2 Lanes</t>
  </si>
  <si>
    <t>Table 7, Interrupted Flow, Class II, 2 Lanes</t>
  </si>
  <si>
    <t>Table 7, Uninterrupted Flow, 2 Lanes</t>
  </si>
  <si>
    <t>Table 7, Interrupted Flow, Class I, 3 Lanes</t>
  </si>
  <si>
    <t>Table 9, Freeways, 3 Lanes</t>
  </si>
  <si>
    <t>SPDCLASS</t>
  </si>
  <si>
    <t>LOS_CODE_new</t>
  </si>
  <si>
    <t>flow</t>
  </si>
  <si>
    <t>R-2Ux</t>
  </si>
  <si>
    <t>R-2Uy</t>
  </si>
  <si>
    <t>R-4D</t>
  </si>
  <si>
    <t>R-4F</t>
  </si>
  <si>
    <t>R-4U</t>
  </si>
  <si>
    <t>R-6F</t>
  </si>
  <si>
    <t>T-4F-2</t>
  </si>
  <si>
    <t>U-2D-1</t>
  </si>
  <si>
    <t>U-2U-1</t>
  </si>
  <si>
    <t>U-2U-2</t>
  </si>
  <si>
    <t>U-4D-1</t>
  </si>
  <si>
    <t>U-4D-2</t>
  </si>
  <si>
    <t>U-4U-1</t>
  </si>
  <si>
    <t>U-4U-2</t>
  </si>
  <si>
    <t>U-6D-2</t>
  </si>
  <si>
    <t>U-2D-2</t>
  </si>
  <si>
    <t>R-2Uz</t>
  </si>
  <si>
    <t>2DLT_Adj</t>
  </si>
  <si>
    <t>2U_NoTurn_Adj</t>
  </si>
  <si>
    <t>4U_LT_Adj</t>
  </si>
  <si>
    <t>4U_NoTurn_Adj</t>
  </si>
  <si>
    <t>RT_Adj</t>
  </si>
  <si>
    <t>EL CAMINO REAL/PAIGE PLACE</t>
  </si>
  <si>
    <t>U-2U-x</t>
  </si>
  <si>
    <t>Table 9, Uninterrupted Flow, Rural Undeveloped, 1 Lane</t>
  </si>
  <si>
    <t>Table 9, Uninterrupted Flow, Developed Area, 1 Lane</t>
  </si>
  <si>
    <t>Table 7, Interrupted Flow, Class 1, 1 Lane</t>
  </si>
  <si>
    <t>Table 7, Interrupted Flow, Class 2, 1 Lane</t>
  </si>
  <si>
    <t>Table 7, Uninterrupted Flow, 1 Lane</t>
  </si>
  <si>
    <t>Table 7, Interrupted Flow, Class 1, 2 Lanes</t>
  </si>
  <si>
    <t>Table 7, Interrupted Flow, Class 2, 2 Lanes</t>
  </si>
  <si>
    <t>Table 7, Interrupted Flow, Class 2, 3 Lanes</t>
  </si>
  <si>
    <t>T-4D-1</t>
  </si>
  <si>
    <t>Table 8, Interrupted Flow, Class 1, 2 Lanes</t>
  </si>
  <si>
    <t>-</t>
  </si>
  <si>
    <t>Sumter County Annual Traffic Counts</t>
  </si>
  <si>
    <t>Station</t>
  </si>
  <si>
    <t>Start</t>
  </si>
  <si>
    <t>Dura-</t>
  </si>
  <si>
    <t>A.M. Peak Hour</t>
  </si>
  <si>
    <t>P.M. Peak Hour</t>
  </si>
  <si>
    <t># of</t>
  </si>
  <si>
    <t>Posted</t>
  </si>
  <si>
    <t>Golf Cart</t>
  </si>
  <si>
    <t>ID</t>
  </si>
  <si>
    <t>Street</t>
  </si>
  <si>
    <t>Location Description</t>
  </si>
  <si>
    <t>Date</t>
  </si>
  <si>
    <t>tion</t>
  </si>
  <si>
    <t>Time</t>
  </si>
  <si>
    <t>Total</t>
  </si>
  <si>
    <t>NB/EB</t>
  </si>
  <si>
    <t>SB/WB</t>
  </si>
  <si>
    <t>'K'</t>
  </si>
  <si>
    <t>'D'</t>
  </si>
  <si>
    <t>Lanes</t>
  </si>
  <si>
    <t>Speed</t>
  </si>
  <si>
    <t>300 feet west of CR 139 east of US 301</t>
  </si>
  <si>
    <t>24-HR</t>
  </si>
  <si>
    <t>--</t>
  </si>
  <si>
    <t>150' East of CR 221(West of US 301)</t>
  </si>
  <si>
    <t>500' West of Buena Vista Boulevard</t>
  </si>
  <si>
    <t>200 feet south of Tall Trees Lane</t>
  </si>
  <si>
    <t>C-462W</t>
  </si>
  <si>
    <t>400' East of C-475N</t>
  </si>
  <si>
    <t>C-462E</t>
  </si>
  <si>
    <t>275' East of CR 131</t>
  </si>
  <si>
    <t>20' East of CR 221</t>
  </si>
  <si>
    <t>500' West of US 301</t>
  </si>
  <si>
    <t>200' East of US 301</t>
  </si>
  <si>
    <t>200' N. of NE 81 st. Blvd.</t>
  </si>
  <si>
    <t>500' North of C-466A</t>
  </si>
  <si>
    <t>C-466W</t>
  </si>
  <si>
    <t>300' South of C-475N</t>
  </si>
  <si>
    <t>250' East of CR 229</t>
  </si>
  <si>
    <t>450' West of US 301</t>
  </si>
  <si>
    <t>300' West of R/R</t>
  </si>
  <si>
    <t>300' West of CR 103</t>
  </si>
  <si>
    <t>200' West of CR 101</t>
  </si>
  <si>
    <t>400' W. of Buena Vista Blvd.</t>
  </si>
  <si>
    <t>500' E. of Buena Vista Blvd.</t>
  </si>
  <si>
    <t>500' East of Morse Blvd.</t>
  </si>
  <si>
    <t>C-466A (Cleveland)</t>
  </si>
  <si>
    <t>150' East of US 301</t>
  </si>
  <si>
    <t>500' East of CR 139</t>
  </si>
  <si>
    <t>500' W. of Buena Vista Blvd.</t>
  </si>
  <si>
    <t>300' W. of Morse Blvd.</t>
  </si>
  <si>
    <t>50' W. of Lake County Line</t>
  </si>
  <si>
    <t>1400' South of SR 44E</t>
  </si>
  <si>
    <t>500' East of CR 501</t>
  </si>
  <si>
    <t>500' West of CR 501</t>
  </si>
  <si>
    <t>400' East of US 301</t>
  </si>
  <si>
    <t>2640' South of CR 716</t>
  </si>
  <si>
    <t>300' East of CR 529</t>
  </si>
  <si>
    <t>500' West of Dixie Lime</t>
  </si>
  <si>
    <t>300' West of CR 500</t>
  </si>
  <si>
    <t>300' East of CR 501</t>
  </si>
  <si>
    <t>C-470N</t>
  </si>
  <si>
    <t>200' North/West of CR 491</t>
  </si>
  <si>
    <t>300' North CR 479</t>
  </si>
  <si>
    <t>1320' South of CR 400</t>
  </si>
  <si>
    <t>300' South of SR 44W</t>
  </si>
  <si>
    <t>325' West of RR Tracks</t>
  </si>
  <si>
    <t>500' West of CR 115</t>
  </si>
  <si>
    <t>C-475N</t>
  </si>
  <si>
    <t>700' South of C-462W</t>
  </si>
  <si>
    <t>1500' West of C-466W</t>
  </si>
  <si>
    <t>1320' South of Marion Co</t>
  </si>
  <si>
    <t>C-475S</t>
  </si>
  <si>
    <t>200' North of CR 532W</t>
  </si>
  <si>
    <t>2500' South of CR 532W</t>
  </si>
  <si>
    <t>100' South of CR 542</t>
  </si>
  <si>
    <t>500' North of SR 48W</t>
  </si>
  <si>
    <t>C-476E</t>
  </si>
  <si>
    <t>500' East of C-476A</t>
  </si>
  <si>
    <t>C-476W</t>
  </si>
  <si>
    <t>500' West of C-575</t>
  </si>
  <si>
    <t>100' West of C-476B</t>
  </si>
  <si>
    <t>100' East of C-476B</t>
  </si>
  <si>
    <t>500' West of CR 603</t>
  </si>
  <si>
    <t>C-476A</t>
  </si>
  <si>
    <t>2000' South of C-476E</t>
  </si>
  <si>
    <t>1000' South of SW 95th Ave</t>
  </si>
  <si>
    <t>1500' North of SW 95th Ave</t>
  </si>
  <si>
    <t>C-478E</t>
  </si>
  <si>
    <t>1 Mile South of C-48E</t>
  </si>
  <si>
    <t>200' East of NE 9th St</t>
  </si>
  <si>
    <t>1 Mile West of SR 471</t>
  </si>
  <si>
    <t>C-478W</t>
  </si>
  <si>
    <t>1 Mile East of US 301</t>
  </si>
  <si>
    <t>500' West of SR 471</t>
  </si>
  <si>
    <t>C-48E</t>
  </si>
  <si>
    <t>500' West of CR 747</t>
  </si>
  <si>
    <t>300' East of CR 747</t>
  </si>
  <si>
    <t>300' West of Old RR Tracks</t>
  </si>
  <si>
    <t>500' West of CR 702</t>
  </si>
  <si>
    <t>50' NE of CR 558</t>
  </si>
  <si>
    <t>C-48W</t>
  </si>
  <si>
    <t>100' West of C-575</t>
  </si>
  <si>
    <t>400' West of CR 616</t>
  </si>
  <si>
    <t>250' East of CR 616</t>
  </si>
  <si>
    <t>150' East of CR 313</t>
  </si>
  <si>
    <t>1.5 Miles South of C-48W</t>
  </si>
  <si>
    <t>300' North of C-476W</t>
  </si>
  <si>
    <t>780' South of C-468</t>
  </si>
  <si>
    <t>200' North of CR 500</t>
  </si>
  <si>
    <t>400' East of I-75</t>
  </si>
  <si>
    <t>1000' East of CR 674</t>
  </si>
  <si>
    <t>N. Morse Blvd</t>
  </si>
  <si>
    <t>150' N of C-466E Gate</t>
  </si>
  <si>
    <t>South of CR 466</t>
  </si>
  <si>
    <t>N. Morse Blvd.</t>
  </si>
  <si>
    <t>300' W of El Camino Real</t>
  </si>
  <si>
    <t>Rio Grande Ave</t>
  </si>
  <si>
    <t>200' E of Morse Blvd</t>
  </si>
  <si>
    <t>El Camino Real</t>
  </si>
  <si>
    <t>200' W of Morse Crl</t>
  </si>
  <si>
    <t>200' E of Buenos Aires Blvd</t>
  </si>
  <si>
    <t>200' W. of Buenos Aires Blvd</t>
  </si>
  <si>
    <t>300' E of Buena Vista Blvd</t>
  </si>
  <si>
    <t>Buenos Aires</t>
  </si>
  <si>
    <t>200'  N. of El Camino Real</t>
  </si>
  <si>
    <t>N. Buena Vista</t>
  </si>
  <si>
    <t>400' N of C-466E</t>
  </si>
  <si>
    <t>300' N of El Camino Real</t>
  </si>
  <si>
    <t>S. Morse Blvd</t>
  </si>
  <si>
    <t>200' S. of Mariposa Way</t>
  </si>
  <si>
    <t>200' S. of Stillwater Trail</t>
  </si>
  <si>
    <t>S.Morse Blvd.</t>
  </si>
  <si>
    <t>200' S of N. Odell Circle</t>
  </si>
  <si>
    <t>200' S. of Bonita Blvd</t>
  </si>
  <si>
    <t>200' S. of S. Odell Circle</t>
  </si>
  <si>
    <t>Belvedere Blvd.</t>
  </si>
  <si>
    <t>200' S. of C-466E</t>
  </si>
  <si>
    <t>200' W. of Buena Vista Blvd</t>
  </si>
  <si>
    <t>Canal St</t>
  </si>
  <si>
    <t>200' S of Stillwater Trl</t>
  </si>
  <si>
    <t>South of CR 44A</t>
  </si>
  <si>
    <t>200' S. of N. Odell Circle</t>
  </si>
  <si>
    <t>200' N. of S. Odell Circle</t>
  </si>
  <si>
    <t>Odell Circle</t>
  </si>
  <si>
    <t>200' E of Buena Vista Blvd N. End</t>
  </si>
  <si>
    <t>200' W. of S. Morse Blvd</t>
  </si>
  <si>
    <t>200' E of S. Morse Blvd gate ( N. end)</t>
  </si>
  <si>
    <t>200' W of S Morse Blvd gate (S. end)</t>
  </si>
  <si>
    <t>200' E. of Canal St</t>
  </si>
  <si>
    <t>200' W. of Canal St</t>
  </si>
  <si>
    <t>200' E. of S. Buena Vista Blvd</t>
  </si>
  <si>
    <t>Bailey Trail</t>
  </si>
  <si>
    <t>200' W of S Buena Vista Blvd (N. end)</t>
  </si>
  <si>
    <t>200 N of St. Charles Place</t>
  </si>
  <si>
    <t>200' S of St. Charles Place</t>
  </si>
  <si>
    <t>200' W of S. Buena Vista Blvd  (S. End)</t>
  </si>
  <si>
    <t>Stillwater Trail</t>
  </si>
  <si>
    <t>200' E of S. Buena Vista Blvd</t>
  </si>
  <si>
    <t>200' W of S. Morse Blvd</t>
  </si>
  <si>
    <t>200' E. of S. Morse Blvd gate</t>
  </si>
  <si>
    <t>200' E. of Odell Circle</t>
  </si>
  <si>
    <t>100' S. of Woodridge Dr</t>
  </si>
  <si>
    <t>600' N. of Woodridge Dr</t>
  </si>
  <si>
    <t>CR 100</t>
  </si>
  <si>
    <t>150' S. of C-466E</t>
  </si>
  <si>
    <t>200' N of Woodridge Dr</t>
  </si>
  <si>
    <t>200' N of Wal Mart N.B.</t>
  </si>
  <si>
    <t>200' S. of C-48W</t>
  </si>
  <si>
    <t>S. Buena Vista</t>
  </si>
  <si>
    <t>200' S. of Prof. Plaza</t>
  </si>
  <si>
    <t>S.Buena Vista</t>
  </si>
  <si>
    <t>200' S of Laurel Manor Dr</t>
  </si>
  <si>
    <t>200' S of Belvidere Blvd.</t>
  </si>
  <si>
    <t>200' S of Rainey Trl.</t>
  </si>
  <si>
    <t>200' N of Stillwater Trl.</t>
  </si>
  <si>
    <t>US 301</t>
  </si>
  <si>
    <t>South of Turnpike Ramps</t>
  </si>
  <si>
    <t>300' S of Stillwater Trl.</t>
  </si>
  <si>
    <t>200' S. of N. Bailey Trail S. End</t>
  </si>
  <si>
    <t>1320' S of St. Charles Place</t>
  </si>
  <si>
    <t>300' S of S. Bailey Trail</t>
  </si>
  <si>
    <t>300' S. of Turtle Mound Path</t>
  </si>
  <si>
    <t>Bonita Blvd.</t>
  </si>
  <si>
    <t>200' E. of Buena Vista Blvd.</t>
  </si>
  <si>
    <t>200' W. of Morse Blvd.</t>
  </si>
  <si>
    <t>300' North of SR 50</t>
  </si>
  <si>
    <t>300' East of C-471</t>
  </si>
  <si>
    <t>300' North of C-730</t>
  </si>
  <si>
    <t>300' South of C-730</t>
  </si>
  <si>
    <t>300' North of SR 44</t>
  </si>
  <si>
    <t>1000' North of C-462</t>
  </si>
  <si>
    <t>300' South of C-466</t>
  </si>
  <si>
    <t>S Buena Vista Blvd</t>
  </si>
  <si>
    <t>South of CR 466a</t>
  </si>
  <si>
    <t>N of SR 44</t>
  </si>
  <si>
    <t>N Buena Vista Blvd</t>
  </si>
  <si>
    <t>S of El Camino Real / Glenview Rd</t>
  </si>
  <si>
    <t>NW of CR 143</t>
  </si>
  <si>
    <t>C-462 W</t>
  </si>
  <si>
    <t>E of CR 229</t>
  </si>
  <si>
    <t>W of Canal St</t>
  </si>
  <si>
    <t>Southwest of CR 466A</t>
  </si>
  <si>
    <t>E of Flanner Ave</t>
  </si>
  <si>
    <t>W of CR 616</t>
  </si>
  <si>
    <t>C-476 (W Seminole Ave)</t>
  </si>
  <si>
    <t>W of S. Roland St</t>
  </si>
  <si>
    <t xml:space="preserve">C-48 (Florida St) </t>
  </si>
  <si>
    <t>S of E. Virginia Ave</t>
  </si>
  <si>
    <t>E of N. Justice St</t>
  </si>
  <si>
    <t>E of SE 26th Dr</t>
  </si>
  <si>
    <t>C-48 W</t>
  </si>
  <si>
    <t>W of CR 625</t>
  </si>
  <si>
    <t>E of North Ave / South Ave</t>
  </si>
  <si>
    <t>W of Magnolia Ave</t>
  </si>
  <si>
    <t>E of CR 181</t>
  </si>
  <si>
    <t>S of CR 48</t>
  </si>
  <si>
    <t>W of CR 469</t>
  </si>
  <si>
    <t>C-476 (E Seminole Ave)</t>
  </si>
  <si>
    <t>W of N. Justice St</t>
  </si>
  <si>
    <t>W of CR 243</t>
  </si>
  <si>
    <t>E of CR 231</t>
  </si>
  <si>
    <t>W of CR 229</t>
  </si>
  <si>
    <t>E of Buena Vista Blvd</t>
  </si>
  <si>
    <t>CST*</t>
  </si>
  <si>
    <t>South of CR 462</t>
  </si>
  <si>
    <t>N of SE 1st Ave / CR 478</t>
  </si>
  <si>
    <t>S of NE 2nd Ave</t>
  </si>
  <si>
    <t>N of CR 478 / NW 4th Ave</t>
  </si>
  <si>
    <t>N of CR 520</t>
  </si>
  <si>
    <t>E of SW 20th Dr</t>
  </si>
  <si>
    <t>W of N. West St</t>
  </si>
  <si>
    <t>E of N. Wall St</t>
  </si>
  <si>
    <t>N of W. Dade Ave</t>
  </si>
  <si>
    <t>SE of CR 109</t>
  </si>
  <si>
    <t>South of  CR 466</t>
  </si>
  <si>
    <t>S of W. Noble Ave</t>
  </si>
  <si>
    <t>W of N Florida St</t>
  </si>
  <si>
    <t>E of N Florida St</t>
  </si>
  <si>
    <t>S of CR 542</t>
  </si>
  <si>
    <t>S of CR 522 / N of CR 470</t>
  </si>
  <si>
    <t>S of CR 470</t>
  </si>
  <si>
    <t>S of Clark Ave</t>
  </si>
  <si>
    <t>E of CR 523 / Stokes St</t>
  </si>
  <si>
    <t>North of CR 466</t>
  </si>
  <si>
    <t>S of CR 130</t>
  </si>
  <si>
    <t>S of CR 222</t>
  </si>
  <si>
    <t>S of CR 472</t>
  </si>
  <si>
    <t>S of SE 180th St / CR 102 / County Line Rd</t>
  </si>
  <si>
    <t>N of SR 50</t>
  </si>
  <si>
    <t>W of CR 143</t>
  </si>
  <si>
    <t>SE of Buenos Aires Blvd</t>
  </si>
  <si>
    <t>S of Villager RV Park / N of Turnpike</t>
  </si>
  <si>
    <t>N of CR 222</t>
  </si>
  <si>
    <t>S of CR 128</t>
  </si>
  <si>
    <t>W of CR 103</t>
  </si>
  <si>
    <t>St. Charles Pl (S)</t>
  </si>
  <si>
    <t>NW of Buena Vista Blvd (NW of golf path)</t>
  </si>
  <si>
    <t>St. Charles Pl</t>
  </si>
  <si>
    <t>W of Bailey Trail</t>
  </si>
  <si>
    <t>St. Charles Pl (N)</t>
  </si>
  <si>
    <t>Tamarind Grove Run</t>
  </si>
  <si>
    <t>W of St Charles Pl</t>
  </si>
  <si>
    <t>Buttonwood Run</t>
  </si>
  <si>
    <t>NW of St Charles Pl</t>
  </si>
  <si>
    <t>Pennecamp Drive</t>
  </si>
  <si>
    <t>N of St Charles Pl</t>
  </si>
  <si>
    <t>NE of Morse Blvd N (N)</t>
  </si>
  <si>
    <t>East of Buena Vista Blvd</t>
  </si>
  <si>
    <t>South of Pinellas Place</t>
  </si>
  <si>
    <t>Anna Maria Ave</t>
  </si>
  <si>
    <t>North of Hillsborough Tr</t>
  </si>
  <si>
    <t>Charlotte Crt</t>
  </si>
  <si>
    <t>West of Buena Vista Blvd (Intersection South of El Camino Real)</t>
  </si>
  <si>
    <t>North of Pinellas Place</t>
  </si>
  <si>
    <t>South of Talley Ridge Dr</t>
  </si>
  <si>
    <t>East of Belevedere Dr</t>
  </si>
  <si>
    <t>West of Pennecamp Dr</t>
  </si>
  <si>
    <t>South of  CR 466A</t>
  </si>
  <si>
    <t>West of  Lynnhaven Ln</t>
  </si>
  <si>
    <t>East of CR 213</t>
  </si>
  <si>
    <t>West of CR 139 (Powell Rd)</t>
  </si>
  <si>
    <t>West of US 301</t>
  </si>
  <si>
    <t>East of US 301</t>
  </si>
  <si>
    <t>West of Sumter Lake C.L.</t>
  </si>
  <si>
    <t>South of SR 44</t>
  </si>
  <si>
    <t>North of SR 44</t>
  </si>
  <si>
    <t>Woodridge Dr</t>
  </si>
  <si>
    <t>E. of CR 101</t>
  </si>
  <si>
    <t>S. of Kristine Way</t>
  </si>
  <si>
    <t>S. of Hillsborough Trail</t>
  </si>
  <si>
    <t>Hillsborough Trail</t>
  </si>
  <si>
    <t>W. of Morse Blvd.</t>
  </si>
  <si>
    <t>flow_code</t>
  </si>
  <si>
    <t>per FDOT LOS Table</t>
  </si>
  <si>
    <t>ANNA MARIA AVE</t>
  </si>
  <si>
    <t>KRISTINE WAY</t>
  </si>
  <si>
    <t>SOUTHERN TRACE</t>
  </si>
  <si>
    <t>TALLEY RIDGE RD</t>
  </si>
  <si>
    <t>LOCAL</t>
  </si>
  <si>
    <t>PENNECAMP DR</t>
  </si>
  <si>
    <t>180001 180042</t>
  </si>
  <si>
    <t/>
  </si>
  <si>
    <t>5yr avg - 1.75 st dev</t>
  </si>
  <si>
    <t>5yr avg + 1.75 st dev</t>
  </si>
  <si>
    <t>avg</t>
  </si>
  <si>
    <t>median</t>
  </si>
  <si>
    <t>5_yr_growth</t>
  </si>
  <si>
    <t>U-6D-1</t>
  </si>
  <si>
    <t>Table 7, Interrupted Flow, Class 1, 3 Lanes</t>
  </si>
  <si>
    <t>U-4D-x</t>
  </si>
  <si>
    <t>BIKE/GC Lane</t>
  </si>
  <si>
    <t>NONE</t>
  </si>
  <si>
    <t>N/A</t>
  </si>
  <si>
    <t>MMP (70%) SW&amp;BIKE/GC LANE (30%)</t>
  </si>
  <si>
    <t>SW&amp;BIKE/GC LANE</t>
  </si>
  <si>
    <t>SW&amp;BIKE LANE</t>
  </si>
  <si>
    <t>Table 3, Interrupted Flow, 2 Lanes</t>
  </si>
  <si>
    <t>Table 1, Interrupted Flow, Class 1, 2 Lanes</t>
  </si>
  <si>
    <t>Table 1, Interrupted Flow, Class 2, 2 Lanes</t>
  </si>
  <si>
    <t>Table 1, Uninterrupted Flow, 2 Lanes</t>
  </si>
  <si>
    <t>R-4Dz</t>
  </si>
  <si>
    <t>U-2D-x</t>
  </si>
  <si>
    <t>Table 3, Freeways, 6 Lanes</t>
  </si>
  <si>
    <t>Table 1, Interrupted Flow, Class 1, 6 Lanes</t>
  </si>
  <si>
    <t>Table 1, Interrupted Flow, Class 2, 6 Lanes</t>
  </si>
  <si>
    <t>Table 3, Interrupted Flow, 4 Lanes</t>
  </si>
  <si>
    <t>Table 3, Freeways, 4 Lanes</t>
  </si>
  <si>
    <t>Table 2, Interrupted Flow, Class 1, 4 Lanes</t>
  </si>
  <si>
    <t>Table 2, Freeways, 4 Lanes</t>
  </si>
  <si>
    <t>Table 1, Interrupted Flow, Class 1, 4 Lanes</t>
  </si>
  <si>
    <t>Table 1, Interrupted Flow, Class 2, 4 Lanes</t>
  </si>
  <si>
    <t>Table 1, Uninterrupted Flow, 4 Lanes</t>
  </si>
  <si>
    <t>Table 3, Uninterrupted Flow, Developed Area, 2 Lanes</t>
  </si>
  <si>
    <t>Table 3, Uninterrupted Flow, Rural Undeveloped, 2 Lanes</t>
  </si>
  <si>
    <t>Table 1, Interrupted Flow, Class 2, 2 Lanes +5% divided</t>
  </si>
  <si>
    <t>Table 1, Interrupted Flow, Class 1, 2 Lanes +5% divided</t>
  </si>
  <si>
    <t>Table 3, Uninterrupted Flow, Rural Undeveloped, 4 Lanes</t>
  </si>
  <si>
    <t>Table 9, Uninterrupted Flow, Rural Undeveloped, 2 Lanes</t>
  </si>
  <si>
    <t>MVMT</t>
  </si>
  <si>
    <t>Truck</t>
  </si>
  <si>
    <t>Yes</t>
  </si>
  <si>
    <t>Ref</t>
  </si>
  <si>
    <t>NO COUNT</t>
  </si>
  <si>
    <t>CONSTRUCTION</t>
  </si>
  <si>
    <t>AREA_TYPE</t>
  </si>
  <si>
    <t>DIV</t>
  </si>
  <si>
    <t>RURAL_TYPE</t>
  </si>
  <si>
    <t>ADJACENT</t>
  </si>
  <si>
    <t>Raw_Pk_LOS_B</t>
  </si>
  <si>
    <t>Raw_Pk_LOS_C</t>
  </si>
  <si>
    <t>Raw_Pk_LOS_D</t>
  </si>
  <si>
    <t>Raw_Pk_LOS_E</t>
  </si>
  <si>
    <t>Adj_Pk_LOS_B</t>
  </si>
  <si>
    <t>Adj_Pk_LOS_C</t>
  </si>
  <si>
    <t>Adj_Pk_LOS_D</t>
  </si>
  <si>
    <t>Adj_Pk_LOS_E</t>
  </si>
  <si>
    <t>Adopted_Pk_MSV</t>
  </si>
  <si>
    <t>Raw_Daily_LOS_B</t>
  </si>
  <si>
    <t>Raw_Daily_LOS_C</t>
  </si>
  <si>
    <t>Raw_Daily_LOS_D</t>
  </si>
  <si>
    <t>Raw_Daily_LOS_E</t>
  </si>
  <si>
    <t>Adj_Daily_LOS_B</t>
  </si>
  <si>
    <t>Adj_Daily_LOS_C</t>
  </si>
  <si>
    <t>Adj_Daily_LOS_D</t>
  </si>
  <si>
    <t>Adj_Daily_LOS_E</t>
  </si>
  <si>
    <t>Adopted_Daily_MSV</t>
  </si>
  <si>
    <t>Adjusted_5_yr_growth</t>
  </si>
  <si>
    <t>Applied_growth</t>
  </si>
  <si>
    <t>Growth_Justification</t>
  </si>
  <si>
    <t>(1) Outliers in the historical AADT data altered the 5-year growth rate by two percent (2%) or more, so the growth rate was refined by removing the outlier</t>
  </si>
  <si>
    <t>Daily_Congestion_Service_Capacity</t>
  </si>
  <si>
    <t>Daily_Congestion_VC</t>
  </si>
  <si>
    <t>Daily_Congestion_Rating</t>
  </si>
  <si>
    <t>Pk_Congestion_Service_Volume</t>
  </si>
  <si>
    <t>Pk_Congestion_VC</t>
  </si>
  <si>
    <t>Pk_Congestion_Rating</t>
  </si>
  <si>
    <t>SIDEWALK_BL_COVERAGE</t>
  </si>
  <si>
    <t>PERCENT_COVERAGE</t>
  </si>
  <si>
    <t>Transit</t>
  </si>
  <si>
    <t>Below Adopted LOS</t>
  </si>
  <si>
    <t>Percent</t>
  </si>
  <si>
    <t>Truck Rt</t>
  </si>
  <si>
    <t>SW</t>
  </si>
  <si>
    <t>Transit Rt</t>
  </si>
  <si>
    <t>MMP</t>
  </si>
  <si>
    <t>Seg_Length</t>
  </si>
  <si>
    <t>SEGMENT ID</t>
  </si>
  <si>
    <t>COUNTY STATION</t>
  </si>
  <si>
    <t>FDOT STATION</t>
  </si>
  <si>
    <t>DATA SOURCE</t>
  </si>
  <si>
    <t>SPEED LIMIT</t>
  </si>
  <si>
    <t>SEGMENT LENGTH (MI)</t>
  </si>
  <si>
    <t>ROAD NAME</t>
  </si>
  <si>
    <t>URBAN / RURAL</t>
  </si>
  <si>
    <t>DIVIDED / UNDIVIDED</t>
  </si>
  <si>
    <t>MAINTAINING AGENCY</t>
  </si>
  <si>
    <t>ADOPTED LOS STANDARD</t>
  </si>
  <si>
    <t>DAILY SERVICE VOLUME</t>
  </si>
  <si>
    <t>PEAK HOUR DIRECTIONAL SERVICE VOLUME</t>
  </si>
  <si>
    <t>GROWTH RATE</t>
  </si>
  <si>
    <t>URBAN</t>
  </si>
  <si>
    <t>RURAL</t>
  </si>
  <si>
    <t>UNDIVIDED</t>
  </si>
  <si>
    <t>DIVIDED</t>
  </si>
  <si>
    <t>INTERRUPTED FLOW?
(SIGNALS)</t>
  </si>
  <si>
    <t>INTERRUPTED</t>
  </si>
  <si>
    <t>UNINTERRUPTED</t>
  </si>
  <si>
    <t>RURAL TYPE
(DEVELOPED/
UNDEV)</t>
  </si>
  <si>
    <t>UNDEVELOPED</t>
  </si>
  <si>
    <t>DEVELOPED</t>
  </si>
  <si>
    <t>LOS_CODE_2024</t>
  </si>
  <si>
    <t>F</t>
  </si>
  <si>
    <t>Miles</t>
  </si>
  <si>
    <t>check</t>
  </si>
  <si>
    <t>(blank)</t>
  </si>
  <si>
    <t>Exceed Physical Capacity</t>
  </si>
  <si>
    <t xml:space="preserve">DO </t>
  </si>
  <si>
    <t xml:space="preserve">NOT </t>
  </si>
  <si>
    <t>USE</t>
  </si>
  <si>
    <t>Source: 2020 QUALITY/LEVEL OF SERVICE HANDBOOK</t>
  </si>
  <si>
    <t>S Buena Vista</t>
  </si>
  <si>
    <t>200' N of Belvidere Blvd.</t>
  </si>
  <si>
    <t>Hillsborough Tr</t>
  </si>
  <si>
    <t>Morse Blvd</t>
  </si>
  <si>
    <t>Pinellas Pl</t>
  </si>
  <si>
    <t>Talley Ridge Dr</t>
  </si>
  <si>
    <t>Oak Forest Dr</t>
  </si>
  <si>
    <t>Parr Dr</t>
  </si>
  <si>
    <t>Triggerfish Run</t>
  </si>
  <si>
    <t>S Morse Blvd.</t>
  </si>
  <si>
    <t>Growth</t>
  </si>
  <si>
    <t>NHS</t>
  </si>
  <si>
    <t>Posted_Speed</t>
  </si>
  <si>
    <t>R-4DZ</t>
  </si>
  <si>
    <t>Station ID: 80037</t>
  </si>
  <si>
    <t>CONGESTED (2020)</t>
  </si>
  <si>
    <t>AMBERJACK TERR</t>
  </si>
  <si>
    <t>HILLSBOROUGH TRL</t>
  </si>
  <si>
    <t>PINELLAS PL</t>
  </si>
  <si>
    <t>CHARLOTTE CRT</t>
  </si>
  <si>
    <t>TALLEY RIDGE DR</t>
  </si>
  <si>
    <t>OAK FOREST DR</t>
  </si>
  <si>
    <t>PARR DR</t>
  </si>
  <si>
    <t>TRIGGERFISH RUN</t>
  </si>
  <si>
    <t>BASSINGER CRT</t>
  </si>
  <si>
    <t>CR 213 (WALKER RD)</t>
  </si>
  <si>
    <t>US 301/SR 35 (NOBLE AVE)</t>
  </si>
  <si>
    <t>US 301/SR 35 (MAIN ST)</t>
  </si>
  <si>
    <t>CR 139 (POWELL RD)</t>
  </si>
  <si>
    <t>CR 616 (HAYES RD)</t>
  </si>
  <si>
    <t>SR 48 (MAIN ST N)</t>
  </si>
  <si>
    <t>ODELL CIR</t>
  </si>
  <si>
    <t>SR 48 (MAIN ST)</t>
  </si>
  <si>
    <t>ODELL CIR N. END</t>
  </si>
  <si>
    <t>ODELL CIR S. END</t>
  </si>
  <si>
    <t>CORBIN TRL</t>
  </si>
  <si>
    <t>LYNN HAVEN LN</t>
  </si>
  <si>
    <t>TERMINUS (LAKE ELLA RD)</t>
  </si>
  <si>
    <t>CR 156 (CLAY DRAIN RD)</t>
  </si>
  <si>
    <t>C-472 (RAINEY TRL)</t>
  </si>
  <si>
    <t>CR 514 (WARM SPRING AVE)</t>
  </si>
  <si>
    <t>CR 514 (WARM SPRINGS AVE)</t>
  </si>
  <si>
    <t>CR 569 (NORTH AVE)</t>
  </si>
  <si>
    <t>CR 311 (N WEST ST)</t>
  </si>
  <si>
    <t>US 301/SR 35 (WARM SPRINGS AVE)</t>
  </si>
  <si>
    <t>CR 462 E</t>
  </si>
  <si>
    <t>CR 44A</t>
  </si>
  <si>
    <t>CR 478</t>
  </si>
  <si>
    <t>CR 462</t>
  </si>
  <si>
    <t>CR 469</t>
  </si>
  <si>
    <t>CR 466</t>
  </si>
  <si>
    <t>CR 48 (FLORIDA ST)</t>
  </si>
  <si>
    <t>CR 476 (NOBLE AVE)</t>
  </si>
  <si>
    <t>CR 476 (SEMINOLE AVE)</t>
  </si>
  <si>
    <t>CR 470 E (N)</t>
  </si>
  <si>
    <t>CR 468</t>
  </si>
  <si>
    <t>CR 470 E (S)</t>
  </si>
  <si>
    <t>CR 466A (CLEVELAND AVE)</t>
  </si>
  <si>
    <t>CR 462 (S)</t>
  </si>
  <si>
    <t>CR 462 (N)</t>
  </si>
  <si>
    <t>CR 472</t>
  </si>
  <si>
    <t>CR 466A</t>
  </si>
  <si>
    <t>CR 48</t>
  </si>
  <si>
    <t>CR 478 E</t>
  </si>
  <si>
    <t>CR 476</t>
  </si>
  <si>
    <t>CR 475 N</t>
  </si>
  <si>
    <t>CR 472 (RAINEY TRL)</t>
  </si>
  <si>
    <t>CR 470 N</t>
  </si>
  <si>
    <t>CR 478A</t>
  </si>
  <si>
    <t>CR 575</t>
  </si>
  <si>
    <t>CR 478 E (VIRGINIA AVE)</t>
  </si>
  <si>
    <t>CR 478 W</t>
  </si>
  <si>
    <t>CR 476B</t>
  </si>
  <si>
    <t>CR 476 E (NOBLE AVE)</t>
  </si>
  <si>
    <t>CR 476 E</t>
  </si>
  <si>
    <t>CR 476 W</t>
  </si>
  <si>
    <t>CR 470 E</t>
  </si>
  <si>
    <t xml:space="preserve">CR 48 </t>
  </si>
  <si>
    <t>CR 468 (WARM SPRINGS AVE)</t>
  </si>
  <si>
    <t>CR 475 S (MAIN STREET)</t>
  </si>
  <si>
    <t>CR 475</t>
  </si>
  <si>
    <t>CR 476A (SEMINOLE AVE)</t>
  </si>
  <si>
    <t>CR 478 (VIRGINIA AVE)</t>
  </si>
  <si>
    <t>CR 478 E (S)</t>
  </si>
  <si>
    <t>CR 478 (N)</t>
  </si>
  <si>
    <t>CR 48 E</t>
  </si>
  <si>
    <t>CR 470E</t>
  </si>
  <si>
    <t>CR 466E</t>
  </si>
  <si>
    <t>CR 542</t>
  </si>
  <si>
    <t>CR 462/CR 139</t>
  </si>
  <si>
    <t>CR 133 (NE 57TH DR)</t>
  </si>
  <si>
    <t>CR 466 E</t>
  </si>
  <si>
    <t>CR 500</t>
  </si>
  <si>
    <t>CR 133 (NE 57TH Dr)</t>
  </si>
  <si>
    <t>CR 100 (LAKE COUNTY BOUNDARY)</t>
  </si>
  <si>
    <t>CR 475 S (MAIN ST)</t>
  </si>
  <si>
    <t>CR 478 E (N)</t>
  </si>
  <si>
    <t xml:space="preserve">CR 468 </t>
  </si>
  <si>
    <t>BUENA VISTA BLVD N</t>
  </si>
  <si>
    <t>BUENA VISTA BLVD S</t>
  </si>
  <si>
    <t>CR 462 S</t>
  </si>
  <si>
    <t>MORSE BLVD S</t>
  </si>
  <si>
    <t>MORSE BLVD (N)</t>
  </si>
  <si>
    <t>CR 416 (N)</t>
  </si>
  <si>
    <t>CR 462 N</t>
  </si>
  <si>
    <t>ODELL CIR S</t>
  </si>
  <si>
    <t>ODELL CIR N</t>
  </si>
  <si>
    <t>CANAL ST S</t>
  </si>
  <si>
    <t xml:space="preserve">MORSE BLVD N </t>
  </si>
  <si>
    <t>SR 44 W</t>
  </si>
  <si>
    <t>LOCATION</t>
  </si>
  <si>
    <t>2020 MAP STA #</t>
  </si>
  <si>
    <t>2021 MAP STA #</t>
  </si>
  <si>
    <t>C-462</t>
  </si>
  <si>
    <t>C-466</t>
  </si>
  <si>
    <t>500' North/West of CR 491</t>
  </si>
  <si>
    <t>road</t>
  </si>
  <si>
    <t>loc</t>
  </si>
  <si>
    <t>300' North of CR 466</t>
  </si>
  <si>
    <t>Old Station</t>
  </si>
  <si>
    <t>Map Station</t>
  </si>
  <si>
    <t>500' East of Buena Vista Boulevard</t>
  </si>
  <si>
    <t>LANES 2021</t>
  </si>
  <si>
    <t>LANES_2026</t>
  </si>
  <si>
    <t>2021 AADT</t>
  </si>
  <si>
    <t>2021_Daily_VC</t>
  </si>
  <si>
    <t>2021_Daily_LOS</t>
  </si>
  <si>
    <t>2021_MVMT</t>
  </si>
  <si>
    <t>2021 NBEB</t>
  </si>
  <si>
    <t>2021 SBWB</t>
  </si>
  <si>
    <t>2021_Pk_VC</t>
  </si>
  <si>
    <t>2021_Pk_LOS</t>
  </si>
  <si>
    <t>RawLOSB_2026</t>
  </si>
  <si>
    <t>RawLOSC_2026</t>
  </si>
  <si>
    <t>RawLOSD_2026</t>
  </si>
  <si>
    <t>RawLOSE_2026</t>
  </si>
  <si>
    <t>AdjLOSB_2026</t>
  </si>
  <si>
    <t>AdjLOSC_2026</t>
  </si>
  <si>
    <t>AdjLOSD_2026</t>
  </si>
  <si>
    <t>AdjLOSE_2026</t>
  </si>
  <si>
    <t>Adopted_Daily_MSV_2026</t>
  </si>
  <si>
    <t>2026_AADT</t>
  </si>
  <si>
    <t>2026_Daily_VC</t>
  </si>
  <si>
    <t>2026_Daily_LOS</t>
  </si>
  <si>
    <t>2026_MVMT</t>
  </si>
  <si>
    <t>RawLOSB_2026_Pk</t>
  </si>
  <si>
    <t>RawLOSC_2026_Pk</t>
  </si>
  <si>
    <t>RawLOSD_2026_Pk</t>
  </si>
  <si>
    <t>RawLOSE_2026_Pk</t>
  </si>
  <si>
    <t>AdjLOSB_2026_Pk</t>
  </si>
  <si>
    <t>AdjLOSC_2026_Pk</t>
  </si>
  <si>
    <t>AdjLOSD_2026_Pk</t>
  </si>
  <si>
    <t>AdjLOSE_2026_Pk</t>
  </si>
  <si>
    <t>Adopted_MSV_Pk_2026</t>
  </si>
  <si>
    <t>2026_NBEB</t>
  </si>
  <si>
    <t>2026_SBWB</t>
  </si>
  <si>
    <t>2026_Pk_VC</t>
  </si>
  <si>
    <t>2026_Pk_LOS</t>
  </si>
  <si>
    <t>MilesBelowLOS_2026</t>
  </si>
  <si>
    <t>Miles_Congested_2021</t>
  </si>
  <si>
    <t>MilesBelowLOS_2021</t>
  </si>
  <si>
    <t>Miles_Congested_2026</t>
  </si>
  <si>
    <t>MVMT_Below_LOS2021</t>
  </si>
  <si>
    <t>MVMT_Below_LOS2026</t>
  </si>
  <si>
    <t>2020-12</t>
  </si>
  <si>
    <t>2020-18</t>
  </si>
  <si>
    <t>2020-25</t>
  </si>
  <si>
    <t>2020-52</t>
  </si>
  <si>
    <t>2020-76</t>
  </si>
  <si>
    <t>2020-89</t>
  </si>
  <si>
    <t>2020-105</t>
  </si>
  <si>
    <t>2020-198</t>
  </si>
  <si>
    <t>2020-270</t>
  </si>
  <si>
    <t>2020-278</t>
  </si>
  <si>
    <t>2020-378</t>
  </si>
  <si>
    <t>2020-491</t>
  </si>
  <si>
    <t>2020-493</t>
  </si>
  <si>
    <t>2020-800</t>
  </si>
  <si>
    <t>2020-1100</t>
  </si>
  <si>
    <t>Marsh Bend Trail</t>
  </si>
  <si>
    <t>100' west of Fenny Way</t>
  </si>
  <si>
    <t>600' west of Morse Blvd</t>
  </si>
  <si>
    <t>Southern Trace</t>
  </si>
  <si>
    <t>300' west of Buena Vista Blvd</t>
  </si>
  <si>
    <t>CR 647</t>
  </si>
  <si>
    <t>CR 614</t>
  </si>
  <si>
    <t>500’ South of CR 476</t>
  </si>
  <si>
    <t>100' South of C 472</t>
  </si>
  <si>
    <t>CR 683D</t>
  </si>
  <si>
    <t>CR 733</t>
  </si>
  <si>
    <t xml:space="preserve"> OLD MAP_STA</t>
  </si>
  <si>
    <t>2021_STA</t>
  </si>
  <si>
    <t>U</t>
  </si>
  <si>
    <t>MARSH BEND TRAIL</t>
  </si>
  <si>
    <t>DUNHAM DR</t>
  </si>
  <si>
    <t>%Miles</t>
  </si>
  <si>
    <t>%MVMT</t>
  </si>
  <si>
    <t>Other CMP Network Roadways</t>
  </si>
  <si>
    <t>NHS Non-Interstate</t>
  </si>
  <si>
    <t>NOT CONGESTED</t>
  </si>
  <si>
    <t>APPROACHING CONGESTION</t>
  </si>
  <si>
    <t>CONGESTED (2025)</t>
  </si>
  <si>
    <t>EXTREMELY (2025)</t>
  </si>
  <si>
    <t>EXTREMELY (2020)</t>
  </si>
  <si>
    <t>MAP_STA_2020</t>
  </si>
  <si>
    <t>ROAD_NAME_2020</t>
  </si>
  <si>
    <t>LOCATION_2020</t>
  </si>
  <si>
    <t>MAP_STA_2021</t>
  </si>
  <si>
    <t>ROAD_NAME_2021</t>
  </si>
  <si>
    <t>LOCATION_2021</t>
  </si>
  <si>
    <t xml:space="preserve"> </t>
  </si>
  <si>
    <t>-2</t>
  </si>
  <si>
    <t>-1</t>
  </si>
  <si>
    <t>-x</t>
  </si>
  <si>
    <t>minimum</t>
  </si>
  <si>
    <t>minimum, (1)</t>
  </si>
  <si>
    <t>(1)</t>
  </si>
  <si>
    <t>SW(20%)&amp;BIKE LANE</t>
  </si>
  <si>
    <t>SW(10%)&amp;BIKE LANE</t>
  </si>
  <si>
    <t>2021_Segment_ID</t>
  </si>
  <si>
    <t>2021_Pk_Congestion_Rating</t>
  </si>
  <si>
    <t>Same?</t>
  </si>
  <si>
    <t>2021_GR</t>
  </si>
  <si>
    <t>Reason?</t>
  </si>
  <si>
    <t>Lower volume in 2021, crossed threshold.</t>
  </si>
  <si>
    <t>Higher volume in 2021, crossed threshold.</t>
  </si>
  <si>
    <t>Growth rate increased with additional data point.</t>
  </si>
  <si>
    <t>Growth rate lowered with additional data point.</t>
  </si>
  <si>
    <t>ROADWAY</t>
  </si>
  <si>
    <t>REASON FOR DIFFERENCE</t>
  </si>
  <si>
    <t>2021 counts</t>
  </si>
  <si>
    <t>2021 Count Table</t>
  </si>
  <si>
    <t>2022 Count Table</t>
  </si>
  <si>
    <t>2022 Volumes Summary</t>
  </si>
  <si>
    <t>Yearly ADT</t>
  </si>
  <si>
    <t>ADT (+/-) Change</t>
  </si>
  <si>
    <t>N of Hillsborough Trl</t>
  </si>
  <si>
    <t>Bailey Trl</t>
  </si>
  <si>
    <t>200' W of S Buena Vista Blvd (North End)</t>
  </si>
  <si>
    <t>200 N of St Charles Pl</t>
  </si>
  <si>
    <t>200' S of St Charles Pl</t>
  </si>
  <si>
    <t>200' W of Buena Vista Blvd (South End)</t>
  </si>
  <si>
    <t>Belvedere Blvd</t>
  </si>
  <si>
    <t>200' S of E C 466</t>
  </si>
  <si>
    <t>200' W of S Buena Vista Blvd</t>
  </si>
  <si>
    <t>Bonita Blvd</t>
  </si>
  <si>
    <t>200' E of S Buena Vista Blvd</t>
  </si>
  <si>
    <t>200' W of Morse Blvd</t>
  </si>
  <si>
    <t>Buenos Aires Blvd</t>
  </si>
  <si>
    <t>200'  N of El Camino Real</t>
  </si>
  <si>
    <t>C 44A</t>
  </si>
  <si>
    <t>150' E of C 221</t>
  </si>
  <si>
    <t>500' W of S Buena Vista Blvd</t>
  </si>
  <si>
    <t>500' E of S Buena Vista Blvd</t>
  </si>
  <si>
    <t>W of CR 139 (Powell Rd)</t>
  </si>
  <si>
    <t>W C 462</t>
  </si>
  <si>
    <t>400' E of N C 475</t>
  </si>
  <si>
    <t>E C 462</t>
  </si>
  <si>
    <t>200' E of CR 221</t>
  </si>
  <si>
    <t>500' W of US 301</t>
  </si>
  <si>
    <t>200' E of US 301</t>
  </si>
  <si>
    <t>500' N of C 466A</t>
  </si>
  <si>
    <t>C 466</t>
  </si>
  <si>
    <t>250' E of CR 229</t>
  </si>
  <si>
    <t>450' W of US 301</t>
  </si>
  <si>
    <t>E C 466</t>
  </si>
  <si>
    <t>300' W of R/R</t>
  </si>
  <si>
    <t>200' W of CR 101</t>
  </si>
  <si>
    <t>400' W of Buena Vista Blvd</t>
  </si>
  <si>
    <t>500' E of Buena Vista Blvd</t>
  </si>
  <si>
    <t>500' E of Morse Blvd</t>
  </si>
  <si>
    <t>C 466A</t>
  </si>
  <si>
    <t>500' E of CR 139 (Powell Rd)</t>
  </si>
  <si>
    <t>300' W of Morse Blvd</t>
  </si>
  <si>
    <t>50' W of Lake County Line</t>
  </si>
  <si>
    <t>150' E of US 301</t>
  </si>
  <si>
    <t>1400' S of E SR 44</t>
  </si>
  <si>
    <t>Warm Springs Ave</t>
  </si>
  <si>
    <t>500' E of Marsh Bend Trl</t>
  </si>
  <si>
    <t>400' E of N US 301</t>
  </si>
  <si>
    <t>C 469</t>
  </si>
  <si>
    <t>2640' S of CR 716</t>
  </si>
  <si>
    <t>E C 470</t>
  </si>
  <si>
    <t>300' E of CR 529</t>
  </si>
  <si>
    <t>300' W of CR 500</t>
  </si>
  <si>
    <t>300' E of Marsh Bend Trl</t>
  </si>
  <si>
    <t>N C 470</t>
  </si>
  <si>
    <t>500' W of CR 491</t>
  </si>
  <si>
    <t>300' N CR 479</t>
  </si>
  <si>
    <t>1320' S of CR 400</t>
  </si>
  <si>
    <t>300' S of W SR 44</t>
  </si>
  <si>
    <t>C 472</t>
  </si>
  <si>
    <t>325' W of R/R Tracks</t>
  </si>
  <si>
    <t>500' W of CR 115</t>
  </si>
  <si>
    <t>N C 475</t>
  </si>
  <si>
    <t>700' S of W C 462</t>
  </si>
  <si>
    <t>1320' S of Marion County Line</t>
  </si>
  <si>
    <t>S C 475</t>
  </si>
  <si>
    <t>200' N of W CR 532</t>
  </si>
  <si>
    <t>2500' S of W CR 532</t>
  </si>
  <si>
    <t>C 476A (Dr Martin Luther King Jr Ave)</t>
  </si>
  <si>
    <t>W of S Justice St</t>
  </si>
  <si>
    <t>W C 476 (W Seminole Ave)</t>
  </si>
  <si>
    <t>W of S Roland St</t>
  </si>
  <si>
    <t>E C 476 (E Noble Ave)</t>
  </si>
  <si>
    <t>W C 476</t>
  </si>
  <si>
    <t>C 476A (S Jasper St)</t>
  </si>
  <si>
    <t>2000' S of E C 476</t>
  </si>
  <si>
    <t>C 476B</t>
  </si>
  <si>
    <t>1500' N of SW 95th Ave</t>
  </si>
  <si>
    <t>E C 476</t>
  </si>
  <si>
    <t>500' E of C 476A (S Jasper St)</t>
  </si>
  <si>
    <t>500' W of C 575</t>
  </si>
  <si>
    <t>100' W of C 476B</t>
  </si>
  <si>
    <t>100' E of C 476B</t>
  </si>
  <si>
    <t>500' W of CR 603</t>
  </si>
  <si>
    <t>C 478A</t>
  </si>
  <si>
    <t>500' W of SR 471</t>
  </si>
  <si>
    <t>100’ N of W C 476</t>
  </si>
  <si>
    <t>E C 478</t>
  </si>
  <si>
    <t>1 Mi S of E C 48</t>
  </si>
  <si>
    <t>200' E of NE 9th St</t>
  </si>
  <si>
    <t>200’ W of CR 755</t>
  </si>
  <si>
    <t>500’ S of W C 476</t>
  </si>
  <si>
    <t>W C 478</t>
  </si>
  <si>
    <t>1 Mile E of US 301</t>
  </si>
  <si>
    <t xml:space="preserve">E C 48 (N Florida St) </t>
  </si>
  <si>
    <t>S of E Joe P Strickland Jr Ave</t>
  </si>
  <si>
    <t>E C 48</t>
  </si>
  <si>
    <t>E of S Justice St</t>
  </si>
  <si>
    <t>W C 48</t>
  </si>
  <si>
    <t>500' W of CR 747</t>
  </si>
  <si>
    <t>300' E of CR 747</t>
  </si>
  <si>
    <t>300' W of Old RR Tracks (W Jefferson St)</t>
  </si>
  <si>
    <t>500' W of CR 702</t>
  </si>
  <si>
    <t>100' W of C 575</t>
  </si>
  <si>
    <t>400' W of CR 616</t>
  </si>
  <si>
    <t>150' E of CR 313</t>
  </si>
  <si>
    <t>C 575</t>
  </si>
  <si>
    <t>1.5 Mi S of W C 48</t>
  </si>
  <si>
    <t>300' N of W C 476</t>
  </si>
  <si>
    <t>200' S of Odell Cir (North End)</t>
  </si>
  <si>
    <t>200' N of Odell Cir (South End)</t>
  </si>
  <si>
    <t>200' S of Odell Cir (South End)</t>
  </si>
  <si>
    <t>Charlotte Ct</t>
  </si>
  <si>
    <t>150' S of E C 466</t>
  </si>
  <si>
    <t>100' S of Woodridge Dr</t>
  </si>
  <si>
    <t>600' N of Woodridge Dr</t>
  </si>
  <si>
    <t>S of C 466A</t>
  </si>
  <si>
    <t>C 139 (Powell Rd)</t>
  </si>
  <si>
    <t>S of E C 466</t>
  </si>
  <si>
    <t>S of E C 462</t>
  </si>
  <si>
    <t>300' N of E C 466</t>
  </si>
  <si>
    <t>S of C 44A</t>
  </si>
  <si>
    <t>300' N of E SR 44</t>
  </si>
  <si>
    <t>1000' N of E C 462</t>
  </si>
  <si>
    <t>300' S of E C 466</t>
  </si>
  <si>
    <t>Marsh Bend Trl</t>
  </si>
  <si>
    <t>780' S of Warm Springs Ave</t>
  </si>
  <si>
    <t>200' N of CR 500</t>
  </si>
  <si>
    <t>300' N of E C 48</t>
  </si>
  <si>
    <t>200' S of W C 48</t>
  </si>
  <si>
    <t>S of W C 48</t>
  </si>
  <si>
    <t>400' E of I 75</t>
  </si>
  <si>
    <t>1000' E of CR 674</t>
  </si>
  <si>
    <t>200' N of CR 673</t>
  </si>
  <si>
    <t>200' S of CR 673</t>
  </si>
  <si>
    <t>300' E of CR 721</t>
  </si>
  <si>
    <t>300' E of SR 471</t>
  </si>
  <si>
    <t>N CR 416</t>
  </si>
  <si>
    <t>100’ S of N C 470</t>
  </si>
  <si>
    <t>300' N of SR 50</t>
  </si>
  <si>
    <t>E of C 469</t>
  </si>
  <si>
    <t>200' N of E C 478</t>
  </si>
  <si>
    <t>300' N of CR 730</t>
  </si>
  <si>
    <t>300' S of CR 730</t>
  </si>
  <si>
    <t>200' W of N Morse Blvd</t>
  </si>
  <si>
    <t>200' W of Buenos Aires Blvd</t>
  </si>
  <si>
    <t>300' E of N Buena Vista Blvd</t>
  </si>
  <si>
    <t>Hillsborough Trl</t>
  </si>
  <si>
    <t>E of S Buena Vista Blvd</t>
  </si>
  <si>
    <t>W of Morse Blvd</t>
  </si>
  <si>
    <t>100' W of Fenney Wy</t>
  </si>
  <si>
    <t>S of Pinellas Pl</t>
  </si>
  <si>
    <t>N of Pinellas Pl</t>
  </si>
  <si>
    <t>S of El Camino Real/Glenview Rd</t>
  </si>
  <si>
    <t>400' N of E C 466</t>
  </si>
  <si>
    <t>N Morse Blvd</t>
  </si>
  <si>
    <t>150' N of E C 466 Gate</t>
  </si>
  <si>
    <t>Odell Cir</t>
  </si>
  <si>
    <t>200' E of S Buena Vista Blvd (North End)</t>
  </si>
  <si>
    <t>200' W of Morse Blvd (North End)</t>
  </si>
  <si>
    <t>200' E of Morse Blvd (North End)</t>
  </si>
  <si>
    <t>200' W of Morse Blvd (South End)</t>
  </si>
  <si>
    <t>200' E of Canal St (South End)</t>
  </si>
  <si>
    <t>200' W of Canal St (South End)</t>
  </si>
  <si>
    <t>200' E of S Buena Vista Blvd (South End)</t>
  </si>
  <si>
    <t>NE of Morse Blvd (South End)</t>
  </si>
  <si>
    <t>E of Belvedere Dr</t>
  </si>
  <si>
    <t>Pennecamp Dr</t>
  </si>
  <si>
    <t>600' W of Morse Blvd</t>
  </si>
  <si>
    <t>200' E of N Morse Blvd</t>
  </si>
  <si>
    <t>N of E SR 44</t>
  </si>
  <si>
    <t>S of Kristine Wy</t>
  </si>
  <si>
    <t>S of Hillsborough Trl</t>
  </si>
  <si>
    <t>200' S of Bailey Trl (North End)</t>
  </si>
  <si>
    <t>300' S of Turtle Mound Path</t>
  </si>
  <si>
    <t>200' S of Mariposa Wy</t>
  </si>
  <si>
    <t>200' S of Bonita Blvd</t>
  </si>
  <si>
    <t>200' N of Belvedere Blvd</t>
  </si>
  <si>
    <t>200' S of Belvedere Blvd</t>
  </si>
  <si>
    <t>200' S of Rainey Trl</t>
  </si>
  <si>
    <t>200' N of Stillwater Trl</t>
  </si>
  <si>
    <t>300' S of Stillwater Trl</t>
  </si>
  <si>
    <t>1320' S of St Charles Pl</t>
  </si>
  <si>
    <t>300' S of Bailey Trl (South End)</t>
  </si>
  <si>
    <t>Southern Trce</t>
  </si>
  <si>
    <t>300' W of Buena Vista Blvd</t>
  </si>
  <si>
    <t>E of N Wall St</t>
  </si>
  <si>
    <t>N of W Dade Ave</t>
  </si>
  <si>
    <t>St Charles Pl</t>
  </si>
  <si>
    <t>W of Bailey Trl</t>
  </si>
  <si>
    <t>W of Buena Vista Blvd (North End)</t>
  </si>
  <si>
    <t>NW of S Buena Vista Blvd (South End)</t>
  </si>
  <si>
    <t>Stillwater Trl</t>
  </si>
  <si>
    <t xml:space="preserve">W of Buena Vista Blvd </t>
  </si>
  <si>
    <t>E of CR 101</t>
  </si>
  <si>
    <t>K</t>
  </si>
  <si>
    <t>NOT UPDATED</t>
  </si>
  <si>
    <t>2022_STA</t>
  </si>
  <si>
    <t>LANES 2022</t>
  </si>
  <si>
    <t>LANES_2027</t>
  </si>
  <si>
    <t>2022 AADT</t>
  </si>
  <si>
    <t>2022_Daily_VC</t>
  </si>
  <si>
    <t>2022_Daily_LOS</t>
  </si>
  <si>
    <t>2022_MVMT</t>
  </si>
  <si>
    <t>2022 NBEB</t>
  </si>
  <si>
    <t>2022 SBWB</t>
  </si>
  <si>
    <t>2022_Pk_VC</t>
  </si>
  <si>
    <t>2022_Pk_LOS</t>
  </si>
  <si>
    <t>RawLOSB_2027</t>
  </si>
  <si>
    <t>RawLOSC_2027</t>
  </si>
  <si>
    <t>RawLOSD_2027</t>
  </si>
  <si>
    <t>RawLOSE_2027</t>
  </si>
  <si>
    <t>AdjLOSB_2027</t>
  </si>
  <si>
    <t>AdjLOSC_2027</t>
  </si>
  <si>
    <t>AdjLOSD_2027</t>
  </si>
  <si>
    <t>AdjLOSE_2027</t>
  </si>
  <si>
    <t>Adopted_Daily_MSV_2027</t>
  </si>
  <si>
    <t>2027_AADT</t>
  </si>
  <si>
    <t>2027_Daily_VC</t>
  </si>
  <si>
    <t>2027_Daily_LOS</t>
  </si>
  <si>
    <t>2027_MVMT</t>
  </si>
  <si>
    <t>RawLOSB_2027_Pk</t>
  </si>
  <si>
    <t>RawLOSC_2027_Pk</t>
  </si>
  <si>
    <t>RawLOSD_2027_Pk</t>
  </si>
  <si>
    <t>RawLOSE_2027_Pk</t>
  </si>
  <si>
    <t>AdjLOSB_2027_Pk</t>
  </si>
  <si>
    <t>AdjLOSC_2027_Pk</t>
  </si>
  <si>
    <t>AdjLOSD_2027_Pk</t>
  </si>
  <si>
    <t>AdjLOSE_2027_Pk</t>
  </si>
  <si>
    <t>Adopted_MSV_Pk_2027</t>
  </si>
  <si>
    <t>2027_NBEB</t>
  </si>
  <si>
    <t>2027_SBWB</t>
  </si>
  <si>
    <t>2027_Pk_VC</t>
  </si>
  <si>
    <t>2027_Pk_LOS</t>
  </si>
  <si>
    <t>MilesBelowLOS_2022</t>
  </si>
  <si>
    <t>MilesBelowLOS_2027</t>
  </si>
  <si>
    <t>Miles_Congested_2022</t>
  </si>
  <si>
    <t>Miles_Congested_2027</t>
  </si>
  <si>
    <t>MVMT_Below_LOS2022</t>
  </si>
  <si>
    <t>MVMT_Below_LOS2027</t>
  </si>
  <si>
    <t>LOS_CODE_2027</t>
  </si>
  <si>
    <t>Pk_VC_2022</t>
  </si>
  <si>
    <t>Pk_LOS_2022</t>
  </si>
  <si>
    <t>Pk_VC_2027</t>
  </si>
  <si>
    <t>Pk_LOS_2027</t>
  </si>
  <si>
    <t>LANES_2022</t>
  </si>
  <si>
    <t>2021_Applied_growth</t>
  </si>
  <si>
    <t>2022_Segment_ID</t>
  </si>
  <si>
    <t>2022_Pk_Congestion_Rating</t>
  </si>
  <si>
    <t>2021_AADT</t>
  </si>
  <si>
    <t>2022_GR</t>
  </si>
  <si>
    <t>Higher volume in 2022, crossed threshold.</t>
  </si>
  <si>
    <t>Growth rate decreased with additional data point.</t>
  </si>
  <si>
    <t>Lower volume in 2022, crossed threshold.</t>
  </si>
  <si>
    <t>2021 ANALYSIS</t>
  </si>
  <si>
    <t>2022 ANALYSIS</t>
  </si>
  <si>
    <t>LANES (2022)</t>
  </si>
  <si>
    <t>LANES (2027)</t>
  </si>
  <si>
    <t>2022 DAILY V/C</t>
  </si>
  <si>
    <t>2022 DAILY LOS</t>
  </si>
  <si>
    <t>2022 PEAK HOUR NB/EB VOLUME</t>
  </si>
  <si>
    <t>2022 PEAK HOUR SB/WB VOLUME</t>
  </si>
  <si>
    <t>2022 PEAK HOUR V/C</t>
  </si>
  <si>
    <t>2022 PEAK HOUR LOS</t>
  </si>
  <si>
    <t>2027 AADT</t>
  </si>
  <si>
    <t>2027 DAILY V/C</t>
  </si>
  <si>
    <t>2027 DAILY LOS</t>
  </si>
  <si>
    <t>PEAK HOUR DIRECTIONAL SERVICE VOLUME (2027)</t>
  </si>
  <si>
    <t>2027 PEAK HOUR NB/EB VOLUME</t>
  </si>
  <si>
    <t>2027 PEAK HOUR SB/WB VOLUME</t>
  </si>
  <si>
    <t>2027 PEAK HOUR V/C</t>
  </si>
  <si>
    <t>2027 PEAK HOUR LOS</t>
  </si>
  <si>
    <t>MARSH BEND TRAIL / CR 501</t>
  </si>
  <si>
    <t>DAILY SERVICE VOLUME (2027)</t>
  </si>
  <si>
    <t>(2) Manual maxiumum growth rate applied (typically because 2 or less years of data avaialable)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</si>
</sst>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\+0%;\-0%"/>
    <numFmt numFmtId="166" formatCode="mm/dd/yy;@"/>
    <numFmt numFmtId="167" formatCode="[$-409]h:mm\ AM/PM;@"/>
    <numFmt numFmtId="168" formatCode="0.0%"/>
    <numFmt numFmtId="169" formatCode="0;\(0\)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name val="Courier"/>
      <family val="3"/>
    </font>
    <font>
      <sz val="10"/>
      <color theme="0"/>
      <name val="Arial"/>
      <family val="2"/>
    </font>
    <font>
      <sz val="10"/>
      <color theme="0"/>
      <name val="Calibri"/>
      <family val="2"/>
    </font>
    <font>
      <sz val="10"/>
      <color rgb="FF9C0006"/>
      <name val="Arial"/>
      <family val="2"/>
    </font>
    <font>
      <sz val="10"/>
      <color rgb="FF9C0006"/>
      <name val="Calibri"/>
      <family val="2"/>
    </font>
    <font>
      <b/>
      <sz val="10"/>
      <color indexed="52"/>
      <name val="Arial"/>
      <family val="2"/>
    </font>
    <font>
      <b/>
      <sz val="10"/>
      <color rgb="FFFA7D00"/>
      <name val="Calibri"/>
      <family val="2"/>
    </font>
    <font>
      <b/>
      <sz val="10"/>
      <color theme="0"/>
      <name val="Arial"/>
      <family val="2"/>
    </font>
    <font>
      <b/>
      <sz val="10"/>
      <color theme="0"/>
      <name val="Calibri"/>
      <family val="2"/>
    </font>
    <font>
      <sz val="10"/>
      <name val="Helv"/>
    </font>
    <font>
      <i/>
      <sz val="10"/>
      <color rgb="FF7F7F7F"/>
      <name val="Arial"/>
      <family val="2"/>
    </font>
    <font>
      <i/>
      <sz val="10"/>
      <color rgb="FF7F7F7F"/>
      <name val="Calibri"/>
      <family val="2"/>
    </font>
    <font>
      <sz val="10"/>
      <color rgb="FF006100"/>
      <name val="Arial"/>
      <family val="2"/>
    </font>
    <font>
      <sz val="10"/>
      <color rgb="FF006100"/>
      <name val="Calibri"/>
      <family val="2"/>
    </font>
    <font>
      <b/>
      <sz val="15"/>
      <color indexed="56"/>
      <name val="Arial"/>
      <family val="2"/>
    </font>
    <font>
      <b/>
      <sz val="15"/>
      <color theme="3"/>
      <name val="Calibri"/>
      <family val="2"/>
    </font>
    <font>
      <b/>
      <sz val="13"/>
      <color indexed="56"/>
      <name val="Arial"/>
      <family val="2"/>
    </font>
    <font>
      <b/>
      <sz val="13"/>
      <color theme="3"/>
      <name val="Calibri"/>
      <family val="2"/>
    </font>
    <font>
      <b/>
      <sz val="11"/>
      <color indexed="56"/>
      <name val="Arial"/>
      <family val="2"/>
    </font>
    <font>
      <b/>
      <sz val="11"/>
      <color theme="3"/>
      <name val="Calibri"/>
      <family val="2"/>
    </font>
    <font>
      <sz val="10"/>
      <color rgb="FF3F3F76"/>
      <name val="Arial"/>
      <family val="2"/>
    </font>
    <font>
      <sz val="10"/>
      <color rgb="FF3F3F76"/>
      <name val="Calibri"/>
      <family val="2"/>
    </font>
    <font>
      <sz val="10"/>
      <color indexed="52"/>
      <name val="Arial"/>
      <family val="2"/>
    </font>
    <font>
      <sz val="10"/>
      <color rgb="FFFA7D00"/>
      <name val="Calibri"/>
      <family val="2"/>
    </font>
    <font>
      <sz val="10"/>
      <color indexed="60"/>
      <name val="Arial"/>
      <family val="2"/>
    </font>
    <font>
      <sz val="10"/>
      <color rgb="FF9C6500"/>
      <name val="Calibri"/>
      <family val="2"/>
    </font>
    <font>
      <sz val="8"/>
      <name val="SWISS"/>
    </font>
    <font>
      <sz val="10"/>
      <color theme="1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sz val="10"/>
      <color indexed="8"/>
      <name val="Calibri"/>
      <family val="2"/>
    </font>
    <font>
      <b/>
      <sz val="10"/>
      <color rgb="FF3F3F3F"/>
      <name val="Arial"/>
      <family val="2"/>
    </font>
    <font>
      <b/>
      <sz val="10"/>
      <color rgb="FF3F3F3F"/>
      <name val="Calibri"/>
      <family val="2"/>
    </font>
    <font>
      <b/>
      <sz val="18"/>
      <color indexed="56"/>
      <name val="Cambria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Times New Roman"/>
      <family val="1"/>
    </font>
    <font>
      <b/>
      <sz val="10"/>
      <name val="Arial"/>
      <family val="2"/>
    </font>
    <font>
      <b/>
      <sz val="10"/>
      <color rgb="FFFFFFFF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9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2791D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9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thin">
        <color indexed="64"/>
      </left>
      <right/>
      <top style="thin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medium">
        <color indexed="64"/>
      </bottom>
      <diagonal/>
    </border>
    <border>
      <left/>
      <right/>
      <top style="thin">
        <color theme="1"/>
      </top>
      <bottom style="medium">
        <color indexed="64"/>
      </bottom>
      <diagonal/>
    </border>
    <border>
      <left/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/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thin">
        <color auto="1"/>
      </left>
      <right style="medium">
        <color theme="1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966">
    <xf numFmtId="0" fontId="0" fillId="0" borderId="0"/>
    <xf numFmtId="0" fontId="2" fillId="0" borderId="0"/>
    <xf numFmtId="0" fontId="2" fillId="0" borderId="0"/>
    <xf numFmtId="0" fontId="2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8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0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6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1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1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3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27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31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8" fillId="12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8" fillId="16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8" fillId="20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8" fillId="24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8" fillId="2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" fillId="32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8" fillId="9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8" fillId="13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" fillId="17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8" fillId="21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8" fillId="2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10" fillId="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6" fillId="0" borderId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2" fillId="6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4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9" fillId="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1" fillId="0" borderId="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3" fillId="0" borderId="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5" fillId="0" borderId="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37" borderId="4" applyNumberFormat="0" applyAlignment="0" applyProtection="0"/>
    <xf numFmtId="0" fontId="26" fillId="37" borderId="4" applyNumberFormat="0" applyAlignment="0" applyProtection="0"/>
    <xf numFmtId="0" fontId="26" fillId="37" borderId="4" applyNumberFormat="0" applyAlignment="0" applyProtection="0"/>
    <xf numFmtId="0" fontId="26" fillId="37" borderId="4" applyNumberFormat="0" applyAlignment="0" applyProtection="0"/>
    <xf numFmtId="0" fontId="26" fillId="37" borderId="4" applyNumberFormat="0" applyAlignment="0" applyProtection="0"/>
    <xf numFmtId="0" fontId="26" fillId="37" borderId="4" applyNumberFormat="0" applyAlignment="0" applyProtection="0"/>
    <xf numFmtId="0" fontId="26" fillId="37" borderId="4" applyNumberFormat="0" applyAlignment="0" applyProtection="0"/>
    <xf numFmtId="0" fontId="26" fillId="37" borderId="4" applyNumberFormat="0" applyAlignment="0" applyProtection="0"/>
    <xf numFmtId="0" fontId="26" fillId="37" borderId="4" applyNumberFormat="0" applyAlignment="0" applyProtection="0"/>
    <xf numFmtId="0" fontId="26" fillId="37" borderId="4" applyNumberFormat="0" applyAlignment="0" applyProtection="0"/>
    <xf numFmtId="0" fontId="26" fillId="37" borderId="4" applyNumberFormat="0" applyAlignment="0" applyProtection="0"/>
    <xf numFmtId="0" fontId="27" fillId="5" borderId="4" applyNumberFormat="0" applyAlignment="0" applyProtection="0"/>
    <xf numFmtId="0" fontId="26" fillId="37" borderId="4" applyNumberFormat="0" applyAlignment="0" applyProtection="0"/>
    <xf numFmtId="0" fontId="26" fillId="37" borderId="4" applyNumberFormat="0" applyAlignment="0" applyProtection="0"/>
    <xf numFmtId="0" fontId="26" fillId="37" borderId="4" applyNumberFormat="0" applyAlignment="0" applyProtection="0"/>
    <xf numFmtId="0" fontId="26" fillId="37" borderId="4" applyNumberFormat="0" applyAlignment="0" applyProtection="0"/>
    <xf numFmtId="0" fontId="26" fillId="37" borderId="4" applyNumberFormat="0" applyAlignment="0" applyProtection="0"/>
    <xf numFmtId="0" fontId="26" fillId="37" borderId="4" applyNumberFormat="0" applyAlignment="0" applyProtection="0"/>
    <xf numFmtId="0" fontId="26" fillId="37" borderId="4" applyNumberFormat="0" applyAlignment="0" applyProtection="0"/>
    <xf numFmtId="0" fontId="26" fillId="37" borderId="4" applyNumberFormat="0" applyAlignment="0" applyProtection="0"/>
    <xf numFmtId="0" fontId="26" fillId="37" borderId="4" applyNumberFormat="0" applyAlignment="0" applyProtection="0"/>
    <xf numFmtId="0" fontId="26" fillId="37" borderId="4" applyNumberFormat="0" applyAlignment="0" applyProtection="0"/>
    <xf numFmtId="0" fontId="26" fillId="37" borderId="4" applyNumberFormat="0" applyAlignment="0" applyProtection="0"/>
    <xf numFmtId="0" fontId="26" fillId="37" borderId="4" applyNumberFormat="0" applyAlignment="0" applyProtection="0"/>
    <xf numFmtId="0" fontId="26" fillId="37" borderId="4" applyNumberFormat="0" applyAlignment="0" applyProtection="0"/>
    <xf numFmtId="0" fontId="26" fillId="37" borderId="4" applyNumberFormat="0" applyAlignment="0" applyProtection="0"/>
    <xf numFmtId="0" fontId="26" fillId="37" borderId="4" applyNumberFormat="0" applyAlignment="0" applyProtection="0"/>
    <xf numFmtId="0" fontId="26" fillId="37" borderId="4" applyNumberFormat="0" applyAlignment="0" applyProtection="0"/>
    <xf numFmtId="0" fontId="26" fillId="37" borderId="4" applyNumberFormat="0" applyAlignment="0" applyProtection="0"/>
    <xf numFmtId="0" fontId="26" fillId="37" borderId="4" applyNumberFormat="0" applyAlignment="0" applyProtection="0"/>
    <xf numFmtId="0" fontId="26" fillId="37" borderId="4" applyNumberFormat="0" applyAlignment="0" applyProtection="0"/>
    <xf numFmtId="0" fontId="26" fillId="37" borderId="4" applyNumberFormat="0" applyAlignment="0" applyProtection="0"/>
    <xf numFmtId="0" fontId="26" fillId="37" borderId="4" applyNumberFormat="0" applyAlignment="0" applyProtection="0"/>
    <xf numFmtId="0" fontId="26" fillId="37" borderId="4" applyNumberFormat="0" applyAlignment="0" applyProtection="0"/>
    <xf numFmtId="0" fontId="26" fillId="37" borderId="4" applyNumberFormat="0" applyAlignment="0" applyProtection="0"/>
    <xf numFmtId="0" fontId="26" fillId="37" borderId="4" applyNumberFormat="0" applyAlignment="0" applyProtection="0"/>
    <xf numFmtId="0" fontId="26" fillId="37" borderId="4" applyNumberFormat="0" applyAlignment="0" applyProtection="0"/>
    <xf numFmtId="0" fontId="26" fillId="37" borderId="4" applyNumberFormat="0" applyAlignment="0" applyProtection="0"/>
    <xf numFmtId="0" fontId="26" fillId="37" borderId="4" applyNumberFormat="0" applyAlignment="0" applyProtection="0"/>
    <xf numFmtId="0" fontId="26" fillId="37" borderId="4" applyNumberFormat="0" applyAlignment="0" applyProtection="0"/>
    <xf numFmtId="0" fontId="26" fillId="37" borderId="4" applyNumberFormat="0" applyAlignment="0" applyProtection="0"/>
    <xf numFmtId="0" fontId="26" fillId="37" borderId="4" applyNumberFormat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9" fillId="0" borderId="6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1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35" fillId="0" borderId="0"/>
    <xf numFmtId="0" fontId="35" fillId="0" borderId="0"/>
    <xf numFmtId="0" fontId="34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0" borderId="0"/>
    <xf numFmtId="0" fontId="2" fillId="0" borderId="0"/>
    <xf numFmtId="0" fontId="2" fillId="5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6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5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0" borderId="0"/>
    <xf numFmtId="0" fontId="1" fillId="0" borderId="0"/>
    <xf numFmtId="0" fontId="2" fillId="5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8" fillId="37" borderId="5" applyNumberFormat="0" applyAlignment="0" applyProtection="0"/>
    <xf numFmtId="0" fontId="38" fillId="37" borderId="5" applyNumberFormat="0" applyAlignment="0" applyProtection="0"/>
    <xf numFmtId="0" fontId="38" fillId="37" borderId="5" applyNumberFormat="0" applyAlignment="0" applyProtection="0"/>
    <xf numFmtId="0" fontId="38" fillId="37" borderId="5" applyNumberFormat="0" applyAlignment="0" applyProtection="0"/>
    <xf numFmtId="0" fontId="38" fillId="37" borderId="5" applyNumberFormat="0" applyAlignment="0" applyProtection="0"/>
    <xf numFmtId="0" fontId="38" fillId="37" borderId="5" applyNumberFormat="0" applyAlignment="0" applyProtection="0"/>
    <xf numFmtId="0" fontId="38" fillId="37" borderId="5" applyNumberFormat="0" applyAlignment="0" applyProtection="0"/>
    <xf numFmtId="0" fontId="38" fillId="37" borderId="5" applyNumberFormat="0" applyAlignment="0" applyProtection="0"/>
    <xf numFmtId="0" fontId="38" fillId="37" borderId="5" applyNumberFormat="0" applyAlignment="0" applyProtection="0"/>
    <xf numFmtId="0" fontId="38" fillId="37" borderId="5" applyNumberFormat="0" applyAlignment="0" applyProtection="0"/>
    <xf numFmtId="0" fontId="38" fillId="37" borderId="5" applyNumberFormat="0" applyAlignment="0" applyProtection="0"/>
    <xf numFmtId="0" fontId="39" fillId="6" borderId="5" applyNumberFormat="0" applyAlignment="0" applyProtection="0"/>
    <xf numFmtId="0" fontId="38" fillId="37" borderId="5" applyNumberFormat="0" applyAlignment="0" applyProtection="0"/>
    <xf numFmtId="0" fontId="38" fillId="37" borderId="5" applyNumberFormat="0" applyAlignment="0" applyProtection="0"/>
    <xf numFmtId="0" fontId="38" fillId="37" borderId="5" applyNumberFormat="0" applyAlignment="0" applyProtection="0"/>
    <xf numFmtId="0" fontId="38" fillId="37" borderId="5" applyNumberFormat="0" applyAlignment="0" applyProtection="0"/>
    <xf numFmtId="0" fontId="38" fillId="37" borderId="5" applyNumberFormat="0" applyAlignment="0" applyProtection="0"/>
    <xf numFmtId="0" fontId="38" fillId="37" borderId="5" applyNumberFormat="0" applyAlignment="0" applyProtection="0"/>
    <xf numFmtId="0" fontId="38" fillId="37" borderId="5" applyNumberFormat="0" applyAlignment="0" applyProtection="0"/>
    <xf numFmtId="0" fontId="38" fillId="37" borderId="5" applyNumberFormat="0" applyAlignment="0" applyProtection="0"/>
    <xf numFmtId="0" fontId="38" fillId="37" borderId="5" applyNumberFormat="0" applyAlignment="0" applyProtection="0"/>
    <xf numFmtId="0" fontId="38" fillId="37" borderId="5" applyNumberFormat="0" applyAlignment="0" applyProtection="0"/>
    <xf numFmtId="0" fontId="38" fillId="37" borderId="5" applyNumberFormat="0" applyAlignment="0" applyProtection="0"/>
    <xf numFmtId="0" fontId="38" fillId="37" borderId="5" applyNumberFormat="0" applyAlignment="0" applyProtection="0"/>
    <xf numFmtId="0" fontId="38" fillId="37" borderId="5" applyNumberFormat="0" applyAlignment="0" applyProtection="0"/>
    <xf numFmtId="0" fontId="38" fillId="37" borderId="5" applyNumberFormat="0" applyAlignment="0" applyProtection="0"/>
    <xf numFmtId="0" fontId="38" fillId="37" borderId="5" applyNumberFormat="0" applyAlignment="0" applyProtection="0"/>
    <xf numFmtId="0" fontId="38" fillId="37" borderId="5" applyNumberFormat="0" applyAlignment="0" applyProtection="0"/>
    <xf numFmtId="0" fontId="38" fillId="37" borderId="5" applyNumberFormat="0" applyAlignment="0" applyProtection="0"/>
    <xf numFmtId="0" fontId="38" fillId="37" borderId="5" applyNumberFormat="0" applyAlignment="0" applyProtection="0"/>
    <xf numFmtId="0" fontId="38" fillId="37" borderId="5" applyNumberFormat="0" applyAlignment="0" applyProtection="0"/>
    <xf numFmtId="0" fontId="38" fillId="37" borderId="5" applyNumberFormat="0" applyAlignment="0" applyProtection="0"/>
    <xf numFmtId="0" fontId="38" fillId="37" borderId="5" applyNumberFormat="0" applyAlignment="0" applyProtection="0"/>
    <xf numFmtId="0" fontId="38" fillId="37" borderId="5" applyNumberFormat="0" applyAlignment="0" applyProtection="0"/>
    <xf numFmtId="0" fontId="38" fillId="37" borderId="5" applyNumberFormat="0" applyAlignment="0" applyProtection="0"/>
    <xf numFmtId="0" fontId="38" fillId="37" borderId="5" applyNumberFormat="0" applyAlignment="0" applyProtection="0"/>
    <xf numFmtId="0" fontId="38" fillId="37" borderId="5" applyNumberFormat="0" applyAlignment="0" applyProtection="0"/>
    <xf numFmtId="0" fontId="38" fillId="37" borderId="5" applyNumberFormat="0" applyAlignment="0" applyProtection="0"/>
    <xf numFmtId="0" fontId="38" fillId="37" borderId="5" applyNumberFormat="0" applyAlignment="0" applyProtection="0"/>
    <xf numFmtId="0" fontId="38" fillId="37" borderId="5" applyNumberFormat="0" applyAlignment="0" applyProtection="0"/>
    <xf numFmtId="0" fontId="38" fillId="37" borderId="5" applyNumberFormat="0" applyAlignment="0" applyProtection="0"/>
    <xf numFmtId="0" fontId="38" fillId="37" borderId="5" applyNumberFormat="0" applyAlignment="0" applyProtection="0"/>
    <xf numFmtId="0" fontId="1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6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2" fillId="0" borderId="0"/>
    <xf numFmtId="164" fontId="2" fillId="0" borderId="0"/>
    <xf numFmtId="43" fontId="1" fillId="0" borderId="0" applyFont="0" applyFill="0" applyBorder="0" applyAlignment="0" applyProtection="0"/>
    <xf numFmtId="0" fontId="1" fillId="0" borderId="0"/>
  </cellStyleXfs>
  <cellXfs count="527">
    <xf numFmtId="0" fontId="0" fillId="0" borderId="0" xfId="0"/>
    <xf numFmtId="0" fontId="3" fillId="0" borderId="10" xfId="2" applyNumberFormat="1" applyFont="1" applyFill="1" applyBorder="1" applyAlignment="1">
      <alignment horizontal="center"/>
    </xf>
    <xf numFmtId="0" fontId="3" fillId="0" borderId="10" xfId="1" applyNumberFormat="1" applyFont="1" applyFill="1" applyBorder="1" applyAlignment="1">
      <alignment horizontal="center"/>
    </xf>
    <xf numFmtId="3" fontId="3" fillId="0" borderId="10" xfId="1" applyNumberFormat="1" applyFont="1" applyFill="1" applyBorder="1" applyAlignment="1">
      <alignment horizontal="center"/>
    </xf>
    <xf numFmtId="0" fontId="3" fillId="0" borderId="0" xfId="1" applyNumberFormat="1" applyFont="1" applyFill="1" applyBorder="1"/>
    <xf numFmtId="0" fontId="3" fillId="0" borderId="10" xfId="2" quotePrefix="1" applyNumberFormat="1" applyFont="1" applyFill="1" applyBorder="1" applyAlignment="1">
      <alignment horizontal="center"/>
    </xf>
    <xf numFmtId="0" fontId="3" fillId="0" borderId="0" xfId="1" applyNumberFormat="1" applyFont="1" applyFill="1" applyBorder="1" applyAlignment="1">
      <alignment horizontal="left"/>
    </xf>
    <xf numFmtId="0" fontId="3" fillId="0" borderId="0" xfId="1" applyNumberFormat="1" applyFont="1" applyFill="1" applyBorder="1" applyAlignment="1">
      <alignment horizontal="center"/>
    </xf>
    <xf numFmtId="0" fontId="3" fillId="0" borderId="0" xfId="2" applyNumberFormat="1" applyFont="1" applyFill="1" applyBorder="1" applyAlignment="1">
      <alignment horizontal="center"/>
    </xf>
    <xf numFmtId="3" fontId="3" fillId="0" borderId="0" xfId="1" applyNumberFormat="1" applyFont="1" applyFill="1" applyBorder="1" applyAlignment="1">
      <alignment horizontal="center"/>
    </xf>
    <xf numFmtId="0" fontId="3" fillId="0" borderId="10" xfId="2" applyNumberFormat="1" applyFont="1" applyFill="1" applyBorder="1" applyAlignment="1">
      <alignment horizontal="left"/>
    </xf>
    <xf numFmtId="2" fontId="3" fillId="0" borderId="10" xfId="1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3" fontId="34" fillId="0" borderId="10" xfId="1569" applyNumberFormat="1" applyFont="1" applyBorder="1" applyAlignment="1">
      <alignment horizontal="center"/>
    </xf>
    <xf numFmtId="166" fontId="34" fillId="0" borderId="10" xfId="1569" applyNumberFormat="1" applyFont="1" applyBorder="1" applyAlignment="1">
      <alignment horizontal="center"/>
    </xf>
    <xf numFmtId="3" fontId="34" fillId="0" borderId="17" xfId="1569" applyNumberFormat="1" applyFont="1" applyBorder="1" applyAlignment="1">
      <alignment horizontal="center"/>
    </xf>
    <xf numFmtId="3" fontId="34" fillId="0" borderId="18" xfId="1569" applyNumberFormat="1" applyFont="1" applyBorder="1" applyAlignment="1">
      <alignment horizontal="center"/>
    </xf>
    <xf numFmtId="10" fontId="34" fillId="0" borderId="18" xfId="1787" applyNumberFormat="1" applyFont="1" applyBorder="1" applyAlignment="1">
      <alignment horizontal="center"/>
    </xf>
    <xf numFmtId="167" fontId="34" fillId="0" borderId="17" xfId="1569" applyNumberFormat="1" applyFont="1" applyBorder="1" applyAlignment="1">
      <alignment horizontal="center"/>
    </xf>
    <xf numFmtId="168" fontId="34" fillId="0" borderId="10" xfId="1787" applyNumberFormat="1" applyFont="1" applyBorder="1" applyAlignment="1">
      <alignment horizontal="center"/>
    </xf>
    <xf numFmtId="168" fontId="34" fillId="0" borderId="19" xfId="1787" applyNumberFormat="1" applyFont="1" applyBorder="1" applyAlignment="1">
      <alignment horizontal="center"/>
    </xf>
    <xf numFmtId="1" fontId="34" fillId="0" borderId="17" xfId="1569" applyNumberFormat="1" applyFont="1" applyBorder="1" applyAlignment="1">
      <alignment horizontal="center"/>
    </xf>
    <xf numFmtId="1" fontId="34" fillId="0" borderId="42" xfId="1569" applyNumberFormat="1" applyFont="1" applyBorder="1" applyAlignment="1">
      <alignment horizontal="center"/>
    </xf>
    <xf numFmtId="4" fontId="3" fillId="0" borderId="10" xfId="1" applyNumberFormat="1" applyFont="1" applyFill="1" applyBorder="1" applyAlignment="1">
      <alignment horizontal="center"/>
    </xf>
    <xf numFmtId="4" fontId="3" fillId="0" borderId="0" xfId="1" applyNumberFormat="1" applyFont="1" applyFill="1" applyBorder="1" applyAlignment="1">
      <alignment horizontal="center"/>
    </xf>
    <xf numFmtId="2" fontId="3" fillId="0" borderId="0" xfId="1" applyNumberFormat="1" applyFont="1" applyFill="1" applyBorder="1" applyAlignment="1">
      <alignment horizontal="center"/>
    </xf>
    <xf numFmtId="0" fontId="4" fillId="0" borderId="0" xfId="0" applyFont="1"/>
    <xf numFmtId="0" fontId="3" fillId="0" borderId="0" xfId="1" applyNumberFormat="1" applyFont="1" applyFill="1" applyBorder="1" applyAlignment="1">
      <alignment horizontal="center" wrapText="1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10" xfId="1" applyNumberFormat="1" applyFont="1" applyFill="1" applyBorder="1" applyAlignment="1">
      <alignment horizontal="center" vertical="center"/>
    </xf>
    <xf numFmtId="0" fontId="34" fillId="0" borderId="10" xfId="1569" applyNumberFormat="1" applyFont="1" applyFill="1" applyBorder="1" applyAlignment="1">
      <alignment horizontal="center" vertical="center"/>
    </xf>
    <xf numFmtId="0" fontId="3" fillId="0" borderId="10" xfId="1" applyNumberFormat="1" applyFont="1" applyFill="1" applyBorder="1" applyAlignment="1">
      <alignment horizontal="left"/>
    </xf>
    <xf numFmtId="9" fontId="3" fillId="0" borderId="10" xfId="2" applyNumberFormat="1" applyFont="1" applyFill="1" applyBorder="1" applyAlignment="1">
      <alignment horizontal="center"/>
    </xf>
    <xf numFmtId="165" fontId="3" fillId="0" borderId="10" xfId="2" applyNumberFormat="1" applyFont="1" applyFill="1" applyBorder="1" applyAlignment="1">
      <alignment horizontal="center"/>
    </xf>
    <xf numFmtId="2" fontId="3" fillId="0" borderId="10" xfId="2" applyNumberFormat="1" applyFont="1" applyFill="1" applyBorder="1" applyAlignment="1">
      <alignment horizontal="center"/>
    </xf>
    <xf numFmtId="10" fontId="3" fillId="0" borderId="10" xfId="1961" applyNumberFormat="1" applyFont="1" applyFill="1" applyBorder="1" applyAlignment="1">
      <alignment horizontal="center"/>
    </xf>
    <xf numFmtId="169" fontId="3" fillId="0" borderId="10" xfId="1961" applyNumberFormat="1" applyFont="1" applyFill="1" applyBorder="1" applyAlignment="1">
      <alignment horizontal="center"/>
    </xf>
    <xf numFmtId="37" fontId="3" fillId="0" borderId="10" xfId="1961" applyNumberFormat="1" applyFont="1" applyFill="1" applyBorder="1" applyAlignment="1">
      <alignment horizontal="center"/>
    </xf>
    <xf numFmtId="39" fontId="3" fillId="0" borderId="10" xfId="1961" applyNumberFormat="1" applyFont="1" applyFill="1" applyBorder="1" applyAlignment="1">
      <alignment horizontal="center"/>
    </xf>
    <xf numFmtId="0" fontId="3" fillId="0" borderId="10" xfId="1" applyNumberFormat="1" applyFont="1" applyFill="1" applyBorder="1"/>
    <xf numFmtId="9" fontId="3" fillId="0" borderId="10" xfId="1" applyNumberFormat="1" applyFont="1" applyFill="1" applyBorder="1" applyAlignment="1">
      <alignment horizontal="center"/>
    </xf>
    <xf numFmtId="9" fontId="3" fillId="0" borderId="10" xfId="1961" applyFont="1" applyFill="1" applyBorder="1" applyAlignment="1">
      <alignment horizontal="center"/>
    </xf>
    <xf numFmtId="1" fontId="3" fillId="0" borderId="0" xfId="1" applyNumberFormat="1" applyFont="1" applyFill="1" applyBorder="1" applyAlignment="1">
      <alignment horizontal="center"/>
    </xf>
    <xf numFmtId="9" fontId="3" fillId="0" borderId="0" xfId="1961" applyNumberFormat="1" applyFont="1" applyFill="1" applyBorder="1" applyAlignment="1">
      <alignment horizontal="center"/>
    </xf>
    <xf numFmtId="3" fontId="3" fillId="0" borderId="0" xfId="1" applyNumberFormat="1" applyFont="1" applyFill="1" applyBorder="1" applyAlignment="1">
      <alignment horizontal="center" vertical="center"/>
    </xf>
    <xf numFmtId="0" fontId="3" fillId="0" borderId="10" xfId="1" applyNumberFormat="1" applyFont="1" applyFill="1" applyBorder="1" applyAlignment="1">
      <alignment horizontal="center" vertical="center" wrapText="1"/>
    </xf>
    <xf numFmtId="1" fontId="3" fillId="0" borderId="0" xfId="1" applyNumberFormat="1" applyFont="1" applyFill="1" applyBorder="1" applyAlignment="1">
      <alignment horizontal="center" vertical="center"/>
    </xf>
    <xf numFmtId="0" fontId="3" fillId="0" borderId="10" xfId="2" applyNumberFormat="1" applyFont="1" applyFill="1" applyBorder="1" applyAlignment="1">
      <alignment horizontal="center" vertical="center" wrapText="1"/>
    </xf>
    <xf numFmtId="3" fontId="3" fillId="53" borderId="10" xfId="1" applyNumberFormat="1" applyFont="1" applyFill="1" applyBorder="1" applyAlignment="1">
      <alignment horizontal="center" vertical="center" wrapText="1"/>
    </xf>
    <xf numFmtId="3" fontId="3" fillId="0" borderId="10" xfId="1" applyNumberFormat="1" applyFont="1" applyFill="1" applyBorder="1" applyAlignment="1">
      <alignment horizontal="center" vertical="center" wrapText="1"/>
    </xf>
    <xf numFmtId="3" fontId="3" fillId="0" borderId="10" xfId="1" applyNumberFormat="1" applyFont="1" applyFill="1" applyBorder="1" applyAlignment="1">
      <alignment horizontal="left" vertical="center" wrapText="1"/>
    </xf>
    <xf numFmtId="0" fontId="3" fillId="53" borderId="10" xfId="1" applyNumberFormat="1" applyFont="1" applyFill="1" applyBorder="1" applyAlignment="1">
      <alignment horizontal="center" vertical="center" wrapText="1"/>
    </xf>
    <xf numFmtId="4" fontId="3" fillId="53" borderId="10" xfId="1" applyNumberFormat="1" applyFont="1" applyFill="1" applyBorder="1" applyAlignment="1">
      <alignment horizontal="center" vertical="center" wrapText="1"/>
    </xf>
    <xf numFmtId="3" fontId="3" fillId="52" borderId="10" xfId="1" applyNumberFormat="1" applyFont="1" applyFill="1" applyBorder="1" applyAlignment="1">
      <alignment horizontal="center" vertical="center" wrapText="1"/>
    </xf>
    <xf numFmtId="0" fontId="3" fillId="52" borderId="10" xfId="1" applyNumberFormat="1" applyFont="1" applyFill="1" applyBorder="1" applyAlignment="1">
      <alignment horizontal="center" vertical="center" wrapText="1"/>
    </xf>
    <xf numFmtId="4" fontId="3" fillId="52" borderId="10" xfId="1" applyNumberFormat="1" applyFont="1" applyFill="1" applyBorder="1" applyAlignment="1">
      <alignment horizontal="center" vertical="center" wrapText="1"/>
    </xf>
    <xf numFmtId="3" fontId="3" fillId="54" borderId="10" xfId="1" applyNumberFormat="1" applyFont="1" applyFill="1" applyBorder="1" applyAlignment="1">
      <alignment horizontal="center" vertical="center" wrapText="1"/>
    </xf>
    <xf numFmtId="0" fontId="3" fillId="55" borderId="10" xfId="1" applyNumberFormat="1" applyFont="1" applyFill="1" applyBorder="1" applyAlignment="1">
      <alignment horizontal="center" vertical="center" wrapText="1"/>
    </xf>
    <xf numFmtId="0" fontId="3" fillId="55" borderId="10" xfId="1" applyNumberFormat="1" applyFont="1" applyFill="1" applyBorder="1" applyAlignment="1">
      <alignment vertical="center" wrapText="1"/>
    </xf>
    <xf numFmtId="0" fontId="3" fillId="0" borderId="10" xfId="1" applyNumberFormat="1" applyFont="1" applyFill="1" applyBorder="1" applyAlignment="1">
      <alignment vertical="center" wrapText="1"/>
    </xf>
    <xf numFmtId="0" fontId="3" fillId="0" borderId="0" xfId="1" applyNumberFormat="1" applyFont="1" applyFill="1" applyBorder="1" applyAlignment="1">
      <alignment vertical="center" wrapText="1"/>
    </xf>
    <xf numFmtId="0" fontId="13" fillId="56" borderId="16" xfId="0" applyFont="1" applyFill="1" applyBorder="1" applyAlignment="1">
      <alignment horizontal="center" vertical="center" wrapText="1"/>
    </xf>
    <xf numFmtId="0" fontId="13" fillId="56" borderId="21" xfId="0" applyFont="1" applyFill="1" applyBorder="1" applyAlignment="1">
      <alignment horizontal="center" vertical="center" wrapText="1"/>
    </xf>
    <xf numFmtId="0" fontId="13" fillId="56" borderId="21" xfId="0" applyFont="1" applyFill="1" applyBorder="1" applyAlignment="1">
      <alignment horizontal="left" vertical="center" wrapText="1" indent="1"/>
    </xf>
    <xf numFmtId="0" fontId="13" fillId="56" borderId="3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indent="1"/>
    </xf>
    <xf numFmtId="3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3" fillId="54" borderId="10" xfId="2" applyNumberFormat="1" applyFont="1" applyFill="1" applyBorder="1" applyAlignment="1">
      <alignment horizontal="center" wrapText="1"/>
    </xf>
    <xf numFmtId="37" fontId="3" fillId="0" borderId="0" xfId="1" applyNumberFormat="1" applyFont="1" applyFill="1" applyBorder="1" applyAlignment="1">
      <alignment horizontal="center"/>
    </xf>
    <xf numFmtId="3" fontId="3" fillId="0" borderId="47" xfId="2" applyNumberFormat="1" applyFont="1" applyFill="1" applyBorder="1" applyAlignment="1">
      <alignment horizontal="center"/>
    </xf>
    <xf numFmtId="0" fontId="3" fillId="0" borderId="0" xfId="1" applyNumberFormat="1" applyFont="1" applyFill="1" applyBorder="1" applyAlignment="1">
      <alignment vertical="top" wrapText="1"/>
    </xf>
    <xf numFmtId="0" fontId="3" fillId="55" borderId="10" xfId="2" applyNumberFormat="1" applyFont="1" applyFill="1" applyBorder="1" applyAlignment="1">
      <alignment horizontal="center" wrapText="1"/>
    </xf>
    <xf numFmtId="0" fontId="3" fillId="55" borderId="19" xfId="2" applyNumberFormat="1" applyFont="1" applyFill="1" applyBorder="1" applyAlignment="1">
      <alignment horizontal="center" wrapText="1"/>
    </xf>
    <xf numFmtId="0" fontId="41" fillId="0" borderId="10" xfId="0" applyFont="1" applyBorder="1" applyAlignment="1">
      <alignment horizontal="center" vertical="center"/>
    </xf>
    <xf numFmtId="168" fontId="3" fillId="0" borderId="0" xfId="1961" applyNumberFormat="1" applyFont="1" applyFill="1" applyBorder="1" applyAlignment="1">
      <alignment horizontal="center"/>
    </xf>
    <xf numFmtId="0" fontId="3" fillId="51" borderId="0" xfId="1" applyNumberFormat="1" applyFont="1" applyFill="1" applyBorder="1" applyAlignment="1">
      <alignment horizontal="center"/>
    </xf>
    <xf numFmtId="1" fontId="3" fillId="51" borderId="0" xfId="1" applyNumberFormat="1" applyFont="1" applyFill="1" applyBorder="1" applyAlignment="1">
      <alignment horizontal="center"/>
    </xf>
    <xf numFmtId="3" fontId="3" fillId="51" borderId="0" xfId="1" applyNumberFormat="1" applyFont="1" applyFill="1" applyBorder="1" applyAlignment="1">
      <alignment horizontal="center"/>
    </xf>
    <xf numFmtId="168" fontId="3" fillId="51" borderId="0" xfId="1961" applyNumberFormat="1" applyFont="1" applyFill="1" applyBorder="1" applyAlignment="1">
      <alignment horizontal="center"/>
    </xf>
    <xf numFmtId="2" fontId="3" fillId="51" borderId="0" xfId="1" applyNumberFormat="1" applyFont="1" applyFill="1" applyBorder="1" applyAlignment="1">
      <alignment horizontal="center"/>
    </xf>
    <xf numFmtId="0" fontId="50" fillId="0" borderId="0" xfId="0" applyFont="1"/>
    <xf numFmtId="0" fontId="50" fillId="0" borderId="0" xfId="0" applyFont="1" applyAlignment="1">
      <alignment horizontal="center"/>
    </xf>
    <xf numFmtId="3" fontId="50" fillId="0" borderId="0" xfId="0" applyNumberFormat="1" applyFont="1" applyAlignment="1">
      <alignment horizontal="center"/>
    </xf>
    <xf numFmtId="0" fontId="50" fillId="57" borderId="0" xfId="0" applyFont="1" applyFill="1"/>
    <xf numFmtId="0" fontId="51" fillId="57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 horizontal="center"/>
    </xf>
    <xf numFmtId="0" fontId="0" fillId="0" borderId="0" xfId="0" applyFill="1"/>
    <xf numFmtId="3" fontId="0" fillId="0" borderId="0" xfId="0" applyNumberFormat="1" applyFill="1" applyAlignment="1">
      <alignment horizontal="left"/>
    </xf>
    <xf numFmtId="43" fontId="0" fillId="0" borderId="0" xfId="1964" applyFont="1" applyFill="1"/>
    <xf numFmtId="43" fontId="0" fillId="0" borderId="0" xfId="0" applyNumberFormat="1" applyFill="1"/>
    <xf numFmtId="0" fontId="2" fillId="0" borderId="0" xfId="1569"/>
    <xf numFmtId="0" fontId="49" fillId="0" borderId="23" xfId="1569" applyFont="1" applyBorder="1" applyAlignment="1">
      <alignment horizontal="center"/>
    </xf>
    <xf numFmtId="0" fontId="49" fillId="0" borderId="24" xfId="1569" applyFont="1" applyBorder="1"/>
    <xf numFmtId="0" fontId="49" fillId="0" borderId="24" xfId="1569" applyFont="1" applyBorder="1" applyAlignment="1">
      <alignment horizontal="center"/>
    </xf>
    <xf numFmtId="0" fontId="49" fillId="0" borderId="25" xfId="1569" applyFont="1" applyBorder="1" applyAlignment="1">
      <alignment horizontal="center"/>
    </xf>
    <xf numFmtId="0" fontId="49" fillId="0" borderId="34" xfId="1569" applyFont="1" applyBorder="1" applyAlignment="1">
      <alignment horizontal="center"/>
    </xf>
    <xf numFmtId="0" fontId="49" fillId="0" borderId="35" xfId="1569" applyFont="1" applyBorder="1" applyAlignment="1">
      <alignment horizontal="left"/>
    </xf>
    <xf numFmtId="0" fontId="49" fillId="0" borderId="36" xfId="1569" applyFont="1" applyBorder="1" applyAlignment="1">
      <alignment horizontal="center"/>
    </xf>
    <xf numFmtId="0" fontId="49" fillId="0" borderId="37" xfId="1569" applyFont="1" applyBorder="1" applyAlignment="1">
      <alignment horizontal="center"/>
    </xf>
    <xf numFmtId="0" fontId="49" fillId="0" borderId="48" xfId="1569" applyFont="1" applyBorder="1" applyAlignment="1">
      <alignment horizontal="center"/>
    </xf>
    <xf numFmtId="0" fontId="49" fillId="0" borderId="49" xfId="1569" applyFont="1" applyBorder="1" applyAlignment="1">
      <alignment horizontal="center"/>
    </xf>
    <xf numFmtId="0" fontId="49" fillId="0" borderId="45" xfId="1569" applyFont="1" applyBorder="1" applyAlignment="1">
      <alignment horizontal="center"/>
    </xf>
    <xf numFmtId="0" fontId="49" fillId="0" borderId="50" xfId="1569" applyFont="1" applyBorder="1" applyAlignment="1">
      <alignment horizontal="center"/>
    </xf>
    <xf numFmtId="0" fontId="49" fillId="0" borderId="51" xfId="1569" applyFont="1" applyBorder="1" applyAlignment="1">
      <alignment horizontal="center"/>
    </xf>
    <xf numFmtId="0" fontId="49" fillId="0" borderId="22" xfId="1569" applyFont="1" applyBorder="1" applyAlignment="1">
      <alignment horizontal="center"/>
    </xf>
    <xf numFmtId="0" fontId="49" fillId="0" borderId="52" xfId="1569" applyFont="1" applyBorder="1" applyAlignment="1">
      <alignment horizontal="center"/>
    </xf>
    <xf numFmtId="0" fontId="49" fillId="0" borderId="38" xfId="1569" applyFont="1" applyBorder="1" applyAlignment="1">
      <alignment horizontal="center"/>
    </xf>
    <xf numFmtId="0" fontId="49" fillId="0" borderId="35" xfId="1569" applyFont="1" applyBorder="1" applyAlignment="1">
      <alignment horizontal="center"/>
    </xf>
    <xf numFmtId="0" fontId="49" fillId="0" borderId="40" xfId="1569" applyFont="1" applyBorder="1" applyAlignment="1">
      <alignment horizontal="center"/>
    </xf>
    <xf numFmtId="0" fontId="49" fillId="0" borderId="53" xfId="1569" quotePrefix="1" applyFont="1" applyBorder="1" applyAlignment="1">
      <alignment horizontal="center"/>
    </xf>
    <xf numFmtId="0" fontId="49" fillId="0" borderId="54" xfId="1569" quotePrefix="1" applyFont="1" applyBorder="1" applyAlignment="1">
      <alignment horizontal="center"/>
    </xf>
    <xf numFmtId="0" fontId="49" fillId="0" borderId="55" xfId="1569" quotePrefix="1" applyFont="1" applyBorder="1" applyAlignment="1">
      <alignment horizontal="center"/>
    </xf>
    <xf numFmtId="0" fontId="49" fillId="0" borderId="56" xfId="1569" quotePrefix="1" applyFont="1" applyBorder="1" applyAlignment="1">
      <alignment horizontal="center"/>
    </xf>
    <xf numFmtId="0" fontId="49" fillId="0" borderId="57" xfId="1569" quotePrefix="1" applyFont="1" applyBorder="1" applyAlignment="1">
      <alignment horizontal="center"/>
    </xf>
    <xf numFmtId="0" fontId="34" fillId="0" borderId="17" xfId="1569" applyFont="1" applyBorder="1" applyAlignment="1">
      <alignment horizontal="center" vertical="center"/>
    </xf>
    <xf numFmtId="0" fontId="34" fillId="0" borderId="10" xfId="1569" applyFont="1" applyBorder="1" applyAlignment="1">
      <alignment horizontal="left" vertical="center"/>
    </xf>
    <xf numFmtId="0" fontId="34" fillId="0" borderId="42" xfId="1569" applyFont="1" applyBorder="1" applyAlignment="1">
      <alignment horizontal="center"/>
    </xf>
    <xf numFmtId="3" fontId="34" fillId="0" borderId="61" xfId="1569" applyNumberFormat="1" applyFont="1" applyBorder="1" applyAlignment="1">
      <alignment horizontal="center"/>
    </xf>
    <xf numFmtId="1" fontId="49" fillId="0" borderId="38" xfId="1569" applyNumberFormat="1" applyFont="1" applyBorder="1" applyAlignment="1">
      <alignment horizontal="center"/>
    </xf>
    <xf numFmtId="1" fontId="49" fillId="0" borderId="63" xfId="1569" applyNumberFormat="1" applyFont="1" applyBorder="1" applyAlignment="1">
      <alignment horizontal="center"/>
    </xf>
    <xf numFmtId="3" fontId="34" fillId="0" borderId="64" xfId="1569" applyNumberFormat="1" applyFont="1" applyBorder="1" applyAlignment="1">
      <alignment horizontal="center"/>
    </xf>
    <xf numFmtId="3" fontId="34" fillId="0" borderId="66" xfId="1569" applyNumberFormat="1" applyFont="1" applyBorder="1" applyAlignment="1">
      <alignment horizontal="center"/>
    </xf>
    <xf numFmtId="3" fontId="34" fillId="0" borderId="67" xfId="1569" applyNumberFormat="1" applyFont="1" applyBorder="1" applyAlignment="1">
      <alignment horizontal="center"/>
    </xf>
    <xf numFmtId="0" fontId="49" fillId="0" borderId="39" xfId="1569" applyFont="1" applyBorder="1" applyAlignment="1">
      <alignment horizontal="center"/>
    </xf>
    <xf numFmtId="10" fontId="3" fillId="0" borderId="10" xfId="1961" applyNumberFormat="1" applyFont="1" applyBorder="1" applyAlignment="1">
      <alignment horizontal="center"/>
    </xf>
    <xf numFmtId="10" fontId="3" fillId="0" borderId="0" xfId="1" applyNumberFormat="1" applyFont="1" applyFill="1" applyBorder="1"/>
    <xf numFmtId="3" fontId="3" fillId="51" borderId="10" xfId="1" applyNumberFormat="1" applyFont="1" applyFill="1" applyBorder="1" applyAlignment="1">
      <alignment horizontal="center" vertical="center" wrapText="1"/>
    </xf>
    <xf numFmtId="3" fontId="3" fillId="0" borderId="10" xfId="1" applyNumberFormat="1" applyFont="1" applyBorder="1" applyAlignment="1">
      <alignment horizontal="center"/>
    </xf>
    <xf numFmtId="3" fontId="34" fillId="0" borderId="10" xfId="1569" applyNumberFormat="1" applyFont="1" applyFill="1" applyBorder="1" applyAlignment="1">
      <alignment horizontal="center"/>
    </xf>
    <xf numFmtId="2" fontId="3" fillId="0" borderId="10" xfId="1" applyNumberFormat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10" xfId="1" applyFont="1" applyBorder="1" applyAlignment="1">
      <alignment horizontal="center" vertical="center"/>
    </xf>
    <xf numFmtId="0" fontId="3" fillId="0" borderId="10" xfId="2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3" fillId="0" borderId="10" xfId="1" applyFont="1" applyFill="1" applyBorder="1" applyAlignment="1">
      <alignment horizontal="center" vertical="center"/>
    </xf>
    <xf numFmtId="3" fontId="34" fillId="0" borderId="59" xfId="1569" applyNumberFormat="1" applyFont="1" applyFill="1" applyBorder="1" applyAlignment="1">
      <alignment horizontal="center"/>
    </xf>
    <xf numFmtId="10" fontId="3" fillId="51" borderId="10" xfId="1" applyNumberFormat="1" applyFont="1" applyFill="1" applyBorder="1" applyAlignment="1">
      <alignment horizontal="center" vertical="center" wrapText="1"/>
    </xf>
    <xf numFmtId="10" fontId="4" fillId="0" borderId="10" xfId="1961" applyNumberFormat="1" applyFont="1" applyFill="1" applyBorder="1" applyAlignment="1">
      <alignment horizontal="center" vertical="center"/>
    </xf>
    <xf numFmtId="0" fontId="4" fillId="0" borderId="0" xfId="0" applyFont="1" applyFill="1"/>
    <xf numFmtId="0" fontId="3" fillId="0" borderId="10" xfId="2" applyFont="1" applyBorder="1" applyAlignment="1">
      <alignment horizontal="center" wrapText="1"/>
    </xf>
    <xf numFmtId="0" fontId="13" fillId="57" borderId="21" xfId="0" applyFont="1" applyFill="1" applyBorder="1" applyAlignment="1">
      <alignment horizontal="center" vertical="center" wrapText="1"/>
    </xf>
    <xf numFmtId="0" fontId="4" fillId="57" borderId="10" xfId="0" applyFont="1" applyFill="1" applyBorder="1" applyAlignment="1">
      <alignment horizontal="center" vertical="center"/>
    </xf>
    <xf numFmtId="0" fontId="4" fillId="57" borderId="0" xfId="0" applyFont="1" applyFill="1"/>
    <xf numFmtId="0" fontId="3" fillId="0" borderId="10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3" fillId="0" borderId="10" xfId="2" applyFont="1" applyFill="1" applyBorder="1" applyAlignment="1">
      <alignment horizontal="center"/>
    </xf>
    <xf numFmtId="0" fontId="49" fillId="0" borderId="26" xfId="1569" applyFont="1" applyBorder="1" applyAlignment="1">
      <alignment horizontal="center"/>
    </xf>
    <xf numFmtId="0" fontId="49" fillId="0" borderId="27" xfId="1569" applyFont="1" applyBorder="1" applyAlignment="1">
      <alignment horizontal="center"/>
    </xf>
    <xf numFmtId="0" fontId="49" fillId="0" borderId="28" xfId="1569" applyFont="1" applyBorder="1" applyAlignment="1">
      <alignment horizontal="center"/>
    </xf>
    <xf numFmtId="3" fontId="2" fillId="0" borderId="10" xfId="1569" applyNumberFormat="1" applyBorder="1" applyAlignment="1">
      <alignment horizontal="center"/>
    </xf>
    <xf numFmtId="0" fontId="2" fillId="0" borderId="0" xfId="1569" applyAlignment="1">
      <alignment horizontal="center" vertical="center"/>
    </xf>
    <xf numFmtId="0" fontId="49" fillId="0" borderId="0" xfId="1569" applyFont="1" applyAlignment="1">
      <alignment horizontal="center"/>
    </xf>
    <xf numFmtId="3" fontId="2" fillId="0" borderId="0" xfId="1569" applyNumberFormat="1" applyAlignment="1">
      <alignment horizontal="center"/>
    </xf>
    <xf numFmtId="0" fontId="3" fillId="0" borderId="10" xfId="2" quotePrefix="1" applyFont="1" applyBorder="1" applyAlignment="1">
      <alignment horizontal="center"/>
    </xf>
    <xf numFmtId="10" fontId="2" fillId="0" borderId="0" xfId="1569" applyNumberFormat="1"/>
    <xf numFmtId="0" fontId="3" fillId="0" borderId="20" xfId="2" applyFont="1" applyBorder="1" applyAlignment="1">
      <alignment horizontal="center"/>
    </xf>
    <xf numFmtId="0" fontId="2" fillId="0" borderId="36" xfId="1569" applyBorder="1"/>
    <xf numFmtId="0" fontId="34" fillId="58" borderId="16" xfId="1569" applyFont="1" applyFill="1" applyBorder="1" applyAlignment="1">
      <alignment horizontal="center" vertical="center"/>
    </xf>
    <xf numFmtId="0" fontId="34" fillId="58" borderId="21" xfId="1569" applyFont="1" applyFill="1" applyBorder="1" applyAlignment="1">
      <alignment horizontal="left" vertical="center"/>
    </xf>
    <xf numFmtId="166" fontId="34" fillId="58" borderId="21" xfId="1569" applyNumberFormat="1" applyFont="1" applyFill="1" applyBorder="1" applyAlignment="1">
      <alignment horizontal="center"/>
    </xf>
    <xf numFmtId="0" fontId="34" fillId="58" borderId="30" xfId="1569" applyFont="1" applyFill="1" applyBorder="1" applyAlignment="1">
      <alignment horizontal="center"/>
    </xf>
    <xf numFmtId="3" fontId="34" fillId="58" borderId="58" xfId="1569" applyNumberFormat="1" applyFont="1" applyFill="1" applyBorder="1" applyAlignment="1">
      <alignment horizontal="center"/>
    </xf>
    <xf numFmtId="3" fontId="34" fillId="58" borderId="59" xfId="1569" applyNumberFormat="1" applyFont="1" applyFill="1" applyBorder="1" applyAlignment="1">
      <alignment horizontal="center"/>
    </xf>
    <xf numFmtId="3" fontId="34" fillId="58" borderId="18" xfId="1569" applyNumberFormat="1" applyFont="1" applyFill="1" applyBorder="1" applyAlignment="1">
      <alignment horizontal="center"/>
    </xf>
    <xf numFmtId="10" fontId="34" fillId="58" borderId="18" xfId="1787" applyNumberFormat="1" applyFont="1" applyFill="1" applyBorder="1" applyAlignment="1">
      <alignment horizontal="center"/>
    </xf>
    <xf numFmtId="167" fontId="34" fillId="58" borderId="16" xfId="1569" applyNumberFormat="1" applyFont="1" applyFill="1" applyBorder="1" applyAlignment="1">
      <alignment horizontal="center"/>
    </xf>
    <xf numFmtId="3" fontId="34" fillId="58" borderId="21" xfId="1569" applyNumberFormat="1" applyFont="1" applyFill="1" applyBorder="1" applyAlignment="1">
      <alignment horizontal="center"/>
    </xf>
    <xf numFmtId="168" fontId="34" fillId="58" borderId="21" xfId="1787" applyNumberFormat="1" applyFont="1" applyFill="1" applyBorder="1" applyAlignment="1">
      <alignment horizontal="center"/>
    </xf>
    <xf numFmtId="168" fontId="34" fillId="58" borderId="41" xfId="1787" applyNumberFormat="1" applyFont="1" applyFill="1" applyBorder="1" applyAlignment="1">
      <alignment horizontal="center"/>
    </xf>
    <xf numFmtId="3" fontId="34" fillId="58" borderId="16" xfId="1569" applyNumberFormat="1" applyFont="1" applyFill="1" applyBorder="1" applyAlignment="1">
      <alignment horizontal="center"/>
    </xf>
    <xf numFmtId="3" fontId="34" fillId="58" borderId="33" xfId="1569" applyNumberFormat="1" applyFont="1" applyFill="1" applyBorder="1" applyAlignment="1">
      <alignment horizontal="center"/>
    </xf>
    <xf numFmtId="3" fontId="34" fillId="58" borderId="31" xfId="1569" applyNumberFormat="1" applyFont="1" applyFill="1" applyBorder="1" applyAlignment="1">
      <alignment horizontal="center"/>
    </xf>
    <xf numFmtId="0" fontId="34" fillId="58" borderId="17" xfId="1569" applyFont="1" applyFill="1" applyBorder="1" applyAlignment="1">
      <alignment horizontal="center" vertical="center"/>
    </xf>
    <xf numFmtId="0" fontId="34" fillId="58" borderId="10" xfId="1569" applyFont="1" applyFill="1" applyBorder="1" applyAlignment="1">
      <alignment horizontal="left" vertical="center"/>
    </xf>
    <xf numFmtId="166" fontId="34" fillId="58" borderId="10" xfId="1569" applyNumberFormat="1" applyFont="1" applyFill="1" applyBorder="1" applyAlignment="1">
      <alignment horizontal="center"/>
    </xf>
    <xf numFmtId="0" fontId="34" fillId="58" borderId="42" xfId="1569" applyFont="1" applyFill="1" applyBorder="1" applyAlignment="1">
      <alignment horizontal="center"/>
    </xf>
    <xf numFmtId="3" fontId="34" fillId="58" borderId="17" xfId="1569" applyNumberFormat="1" applyFont="1" applyFill="1" applyBorder="1" applyAlignment="1">
      <alignment horizontal="center"/>
    </xf>
    <xf numFmtId="3" fontId="34" fillId="58" borderId="10" xfId="1569" applyNumberFormat="1" applyFont="1" applyFill="1" applyBorder="1" applyAlignment="1">
      <alignment horizontal="center"/>
    </xf>
    <xf numFmtId="3" fontId="2" fillId="58" borderId="10" xfId="1569" applyNumberFormat="1" applyFill="1" applyBorder="1" applyAlignment="1">
      <alignment horizontal="center"/>
    </xf>
    <xf numFmtId="3" fontId="34" fillId="58" borderId="70" xfId="1569" applyNumberFormat="1" applyFont="1" applyFill="1" applyBorder="1" applyAlignment="1">
      <alignment horizontal="center"/>
    </xf>
    <xf numFmtId="167" fontId="34" fillId="58" borderId="17" xfId="1569" applyNumberFormat="1" applyFont="1" applyFill="1" applyBorder="1" applyAlignment="1">
      <alignment horizontal="center"/>
    </xf>
    <xf numFmtId="168" fontId="34" fillId="58" borderId="10" xfId="1787" applyNumberFormat="1" applyFont="1" applyFill="1" applyBorder="1" applyAlignment="1">
      <alignment horizontal="center"/>
    </xf>
    <xf numFmtId="168" fontId="34" fillId="58" borderId="19" xfId="1787" applyNumberFormat="1" applyFont="1" applyFill="1" applyBorder="1" applyAlignment="1">
      <alignment horizontal="center"/>
    </xf>
    <xf numFmtId="1" fontId="34" fillId="58" borderId="17" xfId="1569" applyNumberFormat="1" applyFont="1" applyFill="1" applyBorder="1" applyAlignment="1">
      <alignment horizontal="center"/>
    </xf>
    <xf numFmtId="1" fontId="34" fillId="58" borderId="42" xfId="1569" applyNumberFormat="1" applyFont="1" applyFill="1" applyBorder="1" applyAlignment="1">
      <alignment horizontal="center"/>
    </xf>
    <xf numFmtId="3" fontId="34" fillId="58" borderId="61" xfId="1569" applyNumberFormat="1" applyFont="1" applyFill="1" applyBorder="1" applyAlignment="1">
      <alignment horizontal="center"/>
    </xf>
    <xf numFmtId="3" fontId="34" fillId="58" borderId="64" xfId="1569" applyNumberFormat="1" applyFont="1" applyFill="1" applyBorder="1" applyAlignment="1">
      <alignment horizontal="center"/>
    </xf>
    <xf numFmtId="0" fontId="2" fillId="0" borderId="10" xfId="1569" applyNumberFormat="1" applyFont="1" applyFill="1" applyBorder="1" applyAlignment="1">
      <alignment horizontal="center" vertical="center"/>
    </xf>
    <xf numFmtId="3" fontId="34" fillId="0" borderId="0" xfId="1569" applyNumberFormat="1" applyFont="1" applyAlignment="1">
      <alignment horizontal="center"/>
    </xf>
    <xf numFmtId="3" fontId="34" fillId="0" borderId="70" xfId="1569" applyNumberFormat="1" applyFont="1" applyBorder="1" applyAlignment="1">
      <alignment horizontal="center"/>
    </xf>
    <xf numFmtId="3" fontId="34" fillId="0" borderId="59" xfId="1569" applyNumberFormat="1" applyFont="1" applyBorder="1" applyAlignment="1">
      <alignment horizontal="center"/>
    </xf>
    <xf numFmtId="0" fontId="34" fillId="0" borderId="22" xfId="1569" applyFont="1" applyBorder="1" applyAlignment="1">
      <alignment horizontal="left" vertical="center"/>
    </xf>
    <xf numFmtId="0" fontId="2" fillId="58" borderId="0" xfId="1569" applyFill="1"/>
    <xf numFmtId="0" fontId="2" fillId="58" borderId="0" xfId="1569" applyFill="1" applyAlignment="1">
      <alignment horizontal="center" vertical="center"/>
    </xf>
    <xf numFmtId="0" fontId="49" fillId="0" borderId="30" xfId="1569" applyFont="1" applyBorder="1" applyAlignment="1">
      <alignment horizontal="center"/>
    </xf>
    <xf numFmtId="0" fontId="49" fillId="0" borderId="21" xfId="1569" applyFont="1" applyBorder="1" applyAlignment="1">
      <alignment horizontal="center"/>
    </xf>
    <xf numFmtId="0" fontId="49" fillId="0" borderId="29" xfId="1569" applyFont="1" applyBorder="1" applyAlignment="1">
      <alignment horizontal="center"/>
    </xf>
    <xf numFmtId="0" fontId="49" fillId="0" borderId="16" xfId="1569" applyFont="1" applyBorder="1" applyAlignment="1">
      <alignment horizontal="center"/>
    </xf>
    <xf numFmtId="0" fontId="34" fillId="51" borderId="17" xfId="1569" applyFont="1" applyFill="1" applyBorder="1" applyAlignment="1">
      <alignment horizontal="center" vertical="center"/>
    </xf>
    <xf numFmtId="0" fontId="34" fillId="51" borderId="10" xfId="1569" applyFont="1" applyFill="1" applyBorder="1" applyAlignment="1">
      <alignment horizontal="left" vertical="center"/>
    </xf>
    <xf numFmtId="166" fontId="34" fillId="51" borderId="10" xfId="1569" applyNumberFormat="1" applyFont="1" applyFill="1" applyBorder="1" applyAlignment="1">
      <alignment horizontal="center"/>
    </xf>
    <xf numFmtId="0" fontId="34" fillId="51" borderId="42" xfId="1569" applyFont="1" applyFill="1" applyBorder="1" applyAlignment="1">
      <alignment horizontal="center"/>
    </xf>
    <xf numFmtId="3" fontId="34" fillId="51" borderId="17" xfId="1569" applyNumberFormat="1" applyFont="1" applyFill="1" applyBorder="1" applyAlignment="1">
      <alignment horizontal="center"/>
    </xf>
    <xf numFmtId="3" fontId="34" fillId="51" borderId="10" xfId="1569" applyNumberFormat="1" applyFont="1" applyFill="1" applyBorder="1" applyAlignment="1">
      <alignment horizontal="center"/>
    </xf>
    <xf numFmtId="3" fontId="34" fillId="51" borderId="59" xfId="1569" applyNumberFormat="1" applyFont="1" applyFill="1" applyBorder="1" applyAlignment="1">
      <alignment horizontal="center"/>
    </xf>
    <xf numFmtId="3" fontId="34" fillId="51" borderId="18" xfId="1569" applyNumberFormat="1" applyFont="1" applyFill="1" applyBorder="1" applyAlignment="1">
      <alignment horizontal="center"/>
    </xf>
    <xf numFmtId="10" fontId="34" fillId="51" borderId="18" xfId="1787" applyNumberFormat="1" applyFont="1" applyFill="1" applyBorder="1" applyAlignment="1">
      <alignment horizontal="center"/>
    </xf>
    <xf numFmtId="167" fontId="34" fillId="51" borderId="17" xfId="1569" applyNumberFormat="1" applyFont="1" applyFill="1" applyBorder="1" applyAlignment="1">
      <alignment horizontal="center"/>
    </xf>
    <xf numFmtId="168" fontId="34" fillId="51" borderId="10" xfId="1787" applyNumberFormat="1" applyFont="1" applyFill="1" applyBorder="1" applyAlignment="1">
      <alignment horizontal="center"/>
    </xf>
    <xf numFmtId="168" fontId="34" fillId="51" borderId="19" xfId="1787" applyNumberFormat="1" applyFont="1" applyFill="1" applyBorder="1" applyAlignment="1">
      <alignment horizontal="center"/>
    </xf>
    <xf numFmtId="1" fontId="34" fillId="51" borderId="17" xfId="1569" applyNumberFormat="1" applyFont="1" applyFill="1" applyBorder="1" applyAlignment="1">
      <alignment horizontal="center"/>
    </xf>
    <xf numFmtId="1" fontId="34" fillId="51" borderId="42" xfId="1569" applyNumberFormat="1" applyFont="1" applyFill="1" applyBorder="1" applyAlignment="1">
      <alignment horizontal="center"/>
    </xf>
    <xf numFmtId="3" fontId="34" fillId="51" borderId="61" xfId="1569" applyNumberFormat="1" applyFont="1" applyFill="1" applyBorder="1" applyAlignment="1">
      <alignment horizontal="center"/>
    </xf>
    <xf numFmtId="3" fontId="34" fillId="51" borderId="64" xfId="1569" applyNumberFormat="1" applyFont="1" applyFill="1" applyBorder="1" applyAlignment="1">
      <alignment horizontal="center"/>
    </xf>
    <xf numFmtId="0" fontId="2" fillId="51" borderId="0" xfId="1569" applyFill="1" applyAlignment="1">
      <alignment horizontal="center" vertical="center"/>
    </xf>
    <xf numFmtId="0" fontId="34" fillId="0" borderId="17" xfId="1569" applyFont="1" applyFill="1" applyBorder="1" applyAlignment="1">
      <alignment horizontal="center" vertical="center"/>
    </xf>
    <xf numFmtId="0" fontId="34" fillId="0" borderId="10" xfId="1569" applyFont="1" applyFill="1" applyBorder="1" applyAlignment="1">
      <alignment horizontal="left" vertical="center"/>
    </xf>
    <xf numFmtId="166" fontId="34" fillId="0" borderId="10" xfId="1569" applyNumberFormat="1" applyFont="1" applyFill="1" applyBorder="1" applyAlignment="1">
      <alignment horizontal="center"/>
    </xf>
    <xf numFmtId="0" fontId="34" fillId="0" borderId="42" xfId="1569" applyFont="1" applyFill="1" applyBorder="1" applyAlignment="1">
      <alignment horizontal="center"/>
    </xf>
    <xf numFmtId="3" fontId="34" fillId="0" borderId="17" xfId="1569" applyNumberFormat="1" applyFont="1" applyFill="1" applyBorder="1" applyAlignment="1">
      <alignment horizontal="center"/>
    </xf>
    <xf numFmtId="3" fontId="34" fillId="0" borderId="18" xfId="1569" applyNumberFormat="1" applyFont="1" applyFill="1" applyBorder="1" applyAlignment="1">
      <alignment horizontal="center"/>
    </xf>
    <xf numFmtId="10" fontId="34" fillId="0" borderId="18" xfId="1787" applyNumberFormat="1" applyFont="1" applyFill="1" applyBorder="1" applyAlignment="1">
      <alignment horizontal="center"/>
    </xf>
    <xf numFmtId="167" fontId="34" fillId="0" borderId="17" xfId="1569" applyNumberFormat="1" applyFont="1" applyFill="1" applyBorder="1" applyAlignment="1">
      <alignment horizontal="center"/>
    </xf>
    <xf numFmtId="168" fontId="34" fillId="0" borderId="10" xfId="1787" applyNumberFormat="1" applyFont="1" applyFill="1" applyBorder="1" applyAlignment="1">
      <alignment horizontal="center"/>
    </xf>
    <xf numFmtId="168" fontId="34" fillId="0" borderId="19" xfId="1787" applyNumberFormat="1" applyFont="1" applyFill="1" applyBorder="1" applyAlignment="1">
      <alignment horizontal="center"/>
    </xf>
    <xf numFmtId="1" fontId="34" fillId="0" borderId="17" xfId="1569" applyNumberFormat="1" applyFont="1" applyFill="1" applyBorder="1" applyAlignment="1">
      <alignment horizontal="center"/>
    </xf>
    <xf numFmtId="1" fontId="34" fillId="0" borderId="42" xfId="1569" applyNumberFormat="1" applyFont="1" applyFill="1" applyBorder="1" applyAlignment="1">
      <alignment horizontal="center"/>
    </xf>
    <xf numFmtId="3" fontId="34" fillId="0" borderId="61" xfId="1569" applyNumberFormat="1" applyFont="1" applyFill="1" applyBorder="1" applyAlignment="1">
      <alignment horizontal="center"/>
    </xf>
    <xf numFmtId="3" fontId="34" fillId="0" borderId="64" xfId="1569" applyNumberFormat="1" applyFont="1" applyFill="1" applyBorder="1" applyAlignment="1">
      <alignment horizontal="center"/>
    </xf>
    <xf numFmtId="0" fontId="2" fillId="0" borderId="0" xfId="1569" applyFill="1" applyAlignment="1">
      <alignment horizontal="center" vertical="center"/>
    </xf>
    <xf numFmtId="0" fontId="3" fillId="51" borderId="10" xfId="2" applyNumberFormat="1" applyFont="1" applyFill="1" applyBorder="1" applyAlignment="1">
      <alignment horizontal="center"/>
    </xf>
    <xf numFmtId="0" fontId="3" fillId="51" borderId="10" xfId="2" applyFont="1" applyFill="1" applyBorder="1" applyAlignment="1">
      <alignment horizontal="center"/>
    </xf>
    <xf numFmtId="3" fontId="2" fillId="51" borderId="10" xfId="1569" applyNumberFormat="1" applyFill="1" applyBorder="1" applyAlignment="1">
      <alignment horizontal="center"/>
    </xf>
    <xf numFmtId="3" fontId="34" fillId="51" borderId="70" xfId="1569" applyNumberFormat="1" applyFont="1" applyFill="1" applyBorder="1" applyAlignment="1">
      <alignment horizontal="center"/>
    </xf>
    <xf numFmtId="0" fontId="2" fillId="51" borderId="0" xfId="1569" applyFill="1"/>
    <xf numFmtId="0" fontId="3" fillId="51" borderId="10" xfId="2" quotePrefix="1" applyNumberFormat="1" applyFont="1" applyFill="1" applyBorder="1" applyAlignment="1">
      <alignment horizontal="center"/>
    </xf>
    <xf numFmtId="3" fontId="53" fillId="0" borderId="10" xfId="1" applyNumberFormat="1" applyFont="1" applyFill="1" applyBorder="1" applyAlignment="1">
      <alignment horizontal="center"/>
    </xf>
    <xf numFmtId="0" fontId="3" fillId="0" borderId="46" xfId="2" applyFont="1" applyFill="1" applyBorder="1" applyAlignment="1">
      <alignment horizontal="center"/>
    </xf>
    <xf numFmtId="0" fontId="2" fillId="0" borderId="0" xfId="1569" applyFill="1"/>
    <xf numFmtId="3" fontId="2" fillId="0" borderId="0" xfId="1569" applyNumberFormat="1" applyFill="1" applyAlignment="1">
      <alignment horizontal="center"/>
    </xf>
    <xf numFmtId="3" fontId="2" fillId="0" borderId="10" xfId="1569" applyNumberFormat="1" applyFill="1" applyBorder="1" applyAlignment="1">
      <alignment horizontal="center"/>
    </xf>
    <xf numFmtId="3" fontId="34" fillId="0" borderId="70" xfId="1569" applyNumberFormat="1" applyFont="1" applyFill="1" applyBorder="1" applyAlignment="1">
      <alignment horizontal="center"/>
    </xf>
    <xf numFmtId="10" fontId="34" fillId="0" borderId="0" xfId="1787" applyNumberFormat="1" applyFont="1" applyFill="1" applyAlignment="1">
      <alignment horizontal="center"/>
    </xf>
    <xf numFmtId="3" fontId="34" fillId="0" borderId="68" xfId="1569" applyNumberFormat="1" applyFont="1" applyFill="1" applyBorder="1" applyAlignment="1">
      <alignment horizontal="center"/>
    </xf>
    <xf numFmtId="3" fontId="34" fillId="0" borderId="60" xfId="1569" applyNumberFormat="1" applyFont="1" applyFill="1" applyBorder="1" applyAlignment="1">
      <alignment horizontal="center"/>
    </xf>
    <xf numFmtId="0" fontId="45" fillId="0" borderId="10" xfId="2" applyFont="1" applyFill="1" applyBorder="1" applyAlignment="1">
      <alignment horizontal="center"/>
    </xf>
    <xf numFmtId="0" fontId="3" fillId="0" borderId="10" xfId="2" quotePrefix="1" applyFont="1" applyFill="1" applyBorder="1" applyAlignment="1">
      <alignment horizontal="center"/>
    </xf>
    <xf numFmtId="1" fontId="3" fillId="0" borderId="10" xfId="2" applyNumberFormat="1" applyFont="1" applyFill="1" applyBorder="1" applyAlignment="1">
      <alignment horizontal="center"/>
    </xf>
    <xf numFmtId="0" fontId="3" fillId="59" borderId="10" xfId="1" applyFont="1" applyFill="1" applyBorder="1" applyAlignment="1">
      <alignment horizontal="center"/>
    </xf>
    <xf numFmtId="0" fontId="3" fillId="0" borderId="10" xfId="2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indent="1"/>
    </xf>
    <xf numFmtId="0" fontId="54" fillId="50" borderId="72" xfId="1636" applyFont="1" applyBorder="1" applyAlignment="1">
      <alignment horizontal="center"/>
    </xf>
    <xf numFmtId="0" fontId="2" fillId="50" borderId="74" xfId="1636" applyBorder="1"/>
    <xf numFmtId="0" fontId="54" fillId="50" borderId="28" xfId="1636" applyFont="1" applyBorder="1" applyAlignment="1">
      <alignment horizontal="center"/>
    </xf>
    <xf numFmtId="0" fontId="2" fillId="50" borderId="57" xfId="1636" applyBorder="1"/>
    <xf numFmtId="0" fontId="0" fillId="0" borderId="75" xfId="0" applyBorder="1"/>
    <xf numFmtId="0" fontId="34" fillId="51" borderId="16" xfId="1569" applyFont="1" applyFill="1" applyBorder="1" applyAlignment="1">
      <alignment horizontal="right" vertical="center"/>
    </xf>
    <xf numFmtId="0" fontId="34" fillId="51" borderId="17" xfId="1569" applyFont="1" applyFill="1" applyBorder="1" applyAlignment="1">
      <alignment horizontal="right" vertical="center"/>
    </xf>
    <xf numFmtId="0" fontId="34" fillId="51" borderId="43" xfId="1569" applyFont="1" applyFill="1" applyBorder="1" applyAlignment="1">
      <alignment horizontal="right" vertical="center"/>
    </xf>
    <xf numFmtId="0" fontId="0" fillId="51" borderId="0" xfId="0" applyFill="1" applyAlignment="1">
      <alignment horizontal="right"/>
    </xf>
    <xf numFmtId="0" fontId="34" fillId="60" borderId="16" xfId="1569" applyFont="1" applyFill="1" applyBorder="1" applyAlignment="1">
      <alignment horizontal="center" vertical="center"/>
    </xf>
    <xf numFmtId="0" fontId="34" fillId="0" borderId="21" xfId="1569" applyFont="1" applyBorder="1" applyAlignment="1">
      <alignment horizontal="left" vertical="center"/>
    </xf>
    <xf numFmtId="0" fontId="34" fillId="60" borderId="10" xfId="1569" applyFont="1" applyFill="1" applyBorder="1" applyAlignment="1">
      <alignment horizontal="left" vertical="center"/>
    </xf>
    <xf numFmtId="0" fontId="1" fillId="0" borderId="0" xfId="1965"/>
    <xf numFmtId="0" fontId="34" fillId="60" borderId="0" xfId="1569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/>
    </xf>
    <xf numFmtId="0" fontId="34" fillId="58" borderId="10" xfId="1569" applyFont="1" applyFill="1" applyBorder="1" applyAlignment="1">
      <alignment horizontal="center" vertical="center"/>
    </xf>
    <xf numFmtId="0" fontId="34" fillId="0" borderId="10" xfId="1569" applyFont="1" applyBorder="1" applyAlignment="1">
      <alignment horizontal="center" vertical="center"/>
    </xf>
    <xf numFmtId="1" fontId="3" fillId="0" borderId="17" xfId="2" applyNumberFormat="1" applyFont="1" applyFill="1" applyBorder="1" applyAlignment="1">
      <alignment horizontal="center"/>
    </xf>
    <xf numFmtId="0" fontId="34" fillId="51" borderId="10" xfId="1569" applyFont="1" applyFill="1" applyBorder="1" applyAlignment="1">
      <alignment horizontal="center" vertical="center"/>
    </xf>
    <xf numFmtId="0" fontId="45" fillId="0" borderId="17" xfId="2" applyFont="1" applyFill="1" applyBorder="1" applyAlignment="1">
      <alignment horizontal="center"/>
    </xf>
    <xf numFmtId="0" fontId="3" fillId="51" borderId="17" xfId="2" applyFont="1" applyFill="1" applyBorder="1" applyAlignment="1">
      <alignment horizontal="center"/>
    </xf>
    <xf numFmtId="1" fontId="3" fillId="0" borderId="46" xfId="2" applyNumberFormat="1" applyFont="1" applyFill="1" applyBorder="1" applyAlignment="1">
      <alignment horizontal="center"/>
    </xf>
    <xf numFmtId="0" fontId="3" fillId="0" borderId="17" xfId="2" quotePrefix="1" applyFont="1" applyFill="1" applyBorder="1" applyAlignment="1">
      <alignment horizontal="center"/>
    </xf>
    <xf numFmtId="0" fontId="2" fillId="0" borderId="10" xfId="1569" applyFill="1" applyBorder="1"/>
    <xf numFmtId="0" fontId="34" fillId="58" borderId="0" xfId="1569" applyFont="1" applyFill="1" applyBorder="1" applyAlignment="1">
      <alignment horizontal="left" vertical="center"/>
    </xf>
    <xf numFmtId="0" fontId="34" fillId="0" borderId="0" xfId="1569" applyFont="1" applyBorder="1" applyAlignment="1">
      <alignment horizontal="left" vertical="center"/>
    </xf>
    <xf numFmtId="0" fontId="34" fillId="51" borderId="0" xfId="1569" applyFont="1" applyFill="1" applyBorder="1" applyAlignment="1">
      <alignment horizontal="left" vertical="center"/>
    </xf>
    <xf numFmtId="0" fontId="2" fillId="0" borderId="22" xfId="1569" applyFill="1" applyBorder="1"/>
    <xf numFmtId="0" fontId="43" fillId="51" borderId="10" xfId="1569" applyFont="1" applyFill="1" applyBorder="1"/>
    <xf numFmtId="0" fontId="2" fillId="51" borderId="10" xfId="1569" applyFill="1" applyBorder="1"/>
    <xf numFmtId="166" fontId="34" fillId="58" borderId="0" xfId="1569" applyNumberFormat="1" applyFont="1" applyFill="1" applyBorder="1" applyAlignment="1">
      <alignment horizontal="center"/>
    </xf>
    <xf numFmtId="166" fontId="34" fillId="0" borderId="0" xfId="1569" applyNumberFormat="1" applyFont="1" applyBorder="1" applyAlignment="1">
      <alignment horizontal="center"/>
    </xf>
    <xf numFmtId="166" fontId="34" fillId="51" borderId="0" xfId="1569" applyNumberFormat="1" applyFont="1" applyFill="1" applyBorder="1" applyAlignment="1">
      <alignment horizontal="center"/>
    </xf>
    <xf numFmtId="0" fontId="2" fillId="0" borderId="42" xfId="1569" applyFill="1" applyBorder="1"/>
    <xf numFmtId="0" fontId="34" fillId="58" borderId="0" xfId="1569" applyFont="1" applyFill="1" applyBorder="1" applyAlignment="1">
      <alignment horizontal="center"/>
    </xf>
    <xf numFmtId="0" fontId="34" fillId="0" borderId="0" xfId="1569" applyFont="1" applyBorder="1" applyAlignment="1">
      <alignment horizontal="center"/>
    </xf>
    <xf numFmtId="0" fontId="34" fillId="51" borderId="0" xfId="1569" applyFont="1" applyFill="1" applyBorder="1" applyAlignment="1">
      <alignment horizontal="center"/>
    </xf>
    <xf numFmtId="0" fontId="2" fillId="0" borderId="44" xfId="1569" applyFill="1" applyBorder="1"/>
    <xf numFmtId="0" fontId="2" fillId="51" borderId="42" xfId="1569" applyFill="1" applyBorder="1"/>
    <xf numFmtId="3" fontId="2" fillId="0" borderId="17" xfId="1569" applyNumberFormat="1" applyFill="1" applyBorder="1" applyAlignment="1">
      <alignment horizontal="center"/>
    </xf>
    <xf numFmtId="3" fontId="34" fillId="58" borderId="0" xfId="1569" applyNumberFormat="1" applyFont="1" applyFill="1" applyBorder="1" applyAlignment="1">
      <alignment horizontal="center"/>
    </xf>
    <xf numFmtId="3" fontId="34" fillId="0" borderId="0" xfId="1569" applyNumberFormat="1" applyFont="1" applyBorder="1" applyAlignment="1">
      <alignment horizontal="center"/>
    </xf>
    <xf numFmtId="3" fontId="34" fillId="51" borderId="0" xfId="1569" applyNumberFormat="1" applyFont="1" applyFill="1" applyBorder="1" applyAlignment="1">
      <alignment horizontal="center"/>
    </xf>
    <xf numFmtId="3" fontId="2" fillId="0" borderId="43" xfId="1569" applyNumberFormat="1" applyFill="1" applyBorder="1" applyAlignment="1">
      <alignment horizontal="center"/>
    </xf>
    <xf numFmtId="3" fontId="2" fillId="51" borderId="17" xfId="1569" applyNumberFormat="1" applyFill="1" applyBorder="1" applyAlignment="1">
      <alignment horizontal="center"/>
    </xf>
    <xf numFmtId="3" fontId="2" fillId="0" borderId="22" xfId="1569" applyNumberFormat="1" applyFill="1" applyBorder="1" applyAlignment="1">
      <alignment horizontal="center"/>
    </xf>
    <xf numFmtId="3" fontId="2" fillId="58" borderId="59" xfId="1569" applyNumberFormat="1" applyFill="1" applyBorder="1" applyAlignment="1">
      <alignment horizontal="center"/>
    </xf>
    <xf numFmtId="3" fontId="2" fillId="0" borderId="59" xfId="1569" applyNumberFormat="1" applyBorder="1" applyAlignment="1">
      <alignment horizontal="center"/>
    </xf>
    <xf numFmtId="3" fontId="2" fillId="51" borderId="59" xfId="1569" applyNumberFormat="1" applyFill="1" applyBorder="1" applyAlignment="1">
      <alignment horizontal="center"/>
    </xf>
    <xf numFmtId="3" fontId="34" fillId="0" borderId="69" xfId="1569" applyNumberFormat="1" applyFont="1" applyBorder="1" applyAlignment="1">
      <alignment horizontal="center"/>
    </xf>
    <xf numFmtId="3" fontId="34" fillId="0" borderId="22" xfId="1569" applyNumberFormat="1" applyFont="1" applyFill="1" applyBorder="1" applyAlignment="1">
      <alignment horizontal="center"/>
    </xf>
    <xf numFmtId="3" fontId="2" fillId="58" borderId="70" xfId="1569" applyNumberFormat="1" applyFill="1" applyBorder="1" applyAlignment="1">
      <alignment horizontal="center"/>
    </xf>
    <xf numFmtId="3" fontId="2" fillId="0" borderId="70" xfId="1569" applyNumberFormat="1" applyBorder="1" applyAlignment="1">
      <alignment horizontal="center"/>
    </xf>
    <xf numFmtId="3" fontId="34" fillId="0" borderId="36" xfId="1569" applyNumberFormat="1" applyFont="1" applyBorder="1" applyAlignment="1">
      <alignment horizontal="center"/>
    </xf>
    <xf numFmtId="3" fontId="34" fillId="0" borderId="65" xfId="1569" applyNumberFormat="1" applyFont="1" applyFill="1" applyBorder="1" applyAlignment="1">
      <alignment horizontal="center"/>
    </xf>
    <xf numFmtId="10" fontId="34" fillId="58" borderId="0" xfId="1787" applyNumberFormat="1" applyFont="1" applyFill="1" applyBorder="1" applyAlignment="1">
      <alignment horizontal="center"/>
    </xf>
    <xf numFmtId="10" fontId="34" fillId="0" borderId="0" xfId="1787" applyNumberFormat="1" applyFont="1" applyBorder="1" applyAlignment="1">
      <alignment horizontal="center"/>
    </xf>
    <xf numFmtId="10" fontId="34" fillId="51" borderId="0" xfId="1787" applyNumberFormat="1" applyFont="1" applyFill="1" applyBorder="1" applyAlignment="1">
      <alignment horizontal="center"/>
    </xf>
    <xf numFmtId="10" fontId="34" fillId="0" borderId="62" xfId="1787" applyNumberFormat="1" applyFont="1" applyFill="1" applyBorder="1" applyAlignment="1">
      <alignment horizontal="center"/>
    </xf>
    <xf numFmtId="10" fontId="34" fillId="0" borderId="17" xfId="1787" applyNumberFormat="1" applyFont="1" applyFill="1" applyBorder="1" applyAlignment="1">
      <alignment horizontal="center"/>
    </xf>
    <xf numFmtId="167" fontId="34" fillId="58" borderId="0" xfId="1569" applyNumberFormat="1" applyFont="1" applyFill="1" applyBorder="1" applyAlignment="1">
      <alignment horizontal="center"/>
    </xf>
    <xf numFmtId="167" fontId="34" fillId="0" borderId="0" xfId="1569" applyNumberFormat="1" applyFont="1" applyBorder="1" applyAlignment="1">
      <alignment horizontal="center"/>
    </xf>
    <xf numFmtId="167" fontId="34" fillId="51" borderId="0" xfId="1569" applyNumberFormat="1" applyFont="1" applyFill="1" applyBorder="1" applyAlignment="1">
      <alignment horizontal="center"/>
    </xf>
    <xf numFmtId="10" fontId="34" fillId="0" borderId="43" xfId="1787" applyNumberFormat="1" applyFont="1" applyFill="1" applyBorder="1" applyAlignment="1">
      <alignment horizontal="center"/>
    </xf>
    <xf numFmtId="10" fontId="34" fillId="51" borderId="17" xfId="1787" applyNumberFormat="1" applyFont="1" applyFill="1" applyBorder="1" applyAlignment="1">
      <alignment horizontal="center"/>
    </xf>
    <xf numFmtId="168" fontId="34" fillId="58" borderId="0" xfId="1787" applyNumberFormat="1" applyFont="1" applyFill="1" applyBorder="1" applyAlignment="1">
      <alignment horizontal="center"/>
    </xf>
    <xf numFmtId="168" fontId="34" fillId="0" borderId="0" xfId="1787" applyNumberFormat="1" applyFont="1" applyBorder="1" applyAlignment="1">
      <alignment horizontal="center"/>
    </xf>
    <xf numFmtId="168" fontId="34" fillId="51" borderId="0" xfId="1787" applyNumberFormat="1" applyFont="1" applyFill="1" applyBorder="1" applyAlignment="1">
      <alignment horizontal="center"/>
    </xf>
    <xf numFmtId="0" fontId="2" fillId="0" borderId="19" xfId="1569" applyFill="1" applyBorder="1"/>
    <xf numFmtId="0" fontId="2" fillId="0" borderId="45" xfId="1569" applyFill="1" applyBorder="1"/>
    <xf numFmtId="0" fontId="2" fillId="51" borderId="19" xfId="1569" applyFill="1" applyBorder="1"/>
    <xf numFmtId="0" fontId="2" fillId="0" borderId="17" xfId="1569" applyFill="1" applyBorder="1"/>
    <xf numFmtId="0" fontId="2" fillId="0" borderId="43" xfId="1569" applyFill="1" applyBorder="1"/>
    <xf numFmtId="0" fontId="2" fillId="51" borderId="17" xfId="1569" applyFill="1" applyBorder="1"/>
    <xf numFmtId="1" fontId="34" fillId="58" borderId="16" xfId="1569" applyNumberFormat="1" applyFont="1" applyFill="1" applyBorder="1" applyAlignment="1">
      <alignment horizontal="center"/>
    </xf>
    <xf numFmtId="1" fontId="34" fillId="58" borderId="0" xfId="1569" applyNumberFormat="1" applyFont="1" applyFill="1" applyBorder="1" applyAlignment="1">
      <alignment horizontal="center"/>
    </xf>
    <xf numFmtId="1" fontId="34" fillId="0" borderId="0" xfId="1569" applyNumberFormat="1" applyFont="1" applyBorder="1" applyAlignment="1">
      <alignment horizontal="center"/>
    </xf>
    <xf numFmtId="1" fontId="34" fillId="51" borderId="0" xfId="1569" applyNumberFormat="1" applyFont="1" applyFill="1" applyBorder="1" applyAlignment="1">
      <alignment horizontal="center"/>
    </xf>
    <xf numFmtId="1" fontId="34" fillId="58" borderId="30" xfId="1569" applyNumberFormat="1" applyFont="1" applyFill="1" applyBorder="1" applyAlignment="1">
      <alignment horizontal="center"/>
    </xf>
    <xf numFmtId="0" fontId="2" fillId="0" borderId="61" xfId="1569" applyFill="1" applyBorder="1"/>
    <xf numFmtId="0" fontId="2" fillId="0" borderId="62" xfId="1569" applyFill="1" applyBorder="1"/>
    <xf numFmtId="0" fontId="2" fillId="51" borderId="61" xfId="1569" applyFill="1" applyBorder="1"/>
    <xf numFmtId="3" fontId="34" fillId="0" borderId="62" xfId="1569" applyNumberFormat="1" applyFont="1" applyFill="1" applyBorder="1" applyAlignment="1">
      <alignment horizontal="center"/>
    </xf>
    <xf numFmtId="0" fontId="2" fillId="0" borderId="0" xfId="1569" applyAlignment="1">
      <alignment horizontal="center"/>
    </xf>
    <xf numFmtId="0" fontId="34" fillId="60" borderId="22" xfId="1569" applyFont="1" applyFill="1" applyBorder="1" applyAlignment="1">
      <alignment horizontal="left" vertical="center"/>
    </xf>
    <xf numFmtId="0" fontId="2" fillId="0" borderId="0" xfId="1569" applyFill="1" applyBorder="1"/>
    <xf numFmtId="3" fontId="2" fillId="0" borderId="0" xfId="1569" applyNumberFormat="1" applyFill="1" applyBorder="1" applyAlignment="1">
      <alignment horizontal="center"/>
    </xf>
    <xf numFmtId="10" fontId="34" fillId="0" borderId="0" xfId="1787" applyNumberFormat="1" applyFont="1" applyFill="1" applyBorder="1" applyAlignment="1">
      <alignment horizontal="center"/>
    </xf>
    <xf numFmtId="0" fontId="2" fillId="0" borderId="0" xfId="1569" applyBorder="1"/>
    <xf numFmtId="3" fontId="3" fillId="0" borderId="17" xfId="2" applyNumberFormat="1" applyFont="1" applyFill="1" applyBorder="1" applyAlignment="1">
      <alignment horizontal="center"/>
    </xf>
    <xf numFmtId="0" fontId="2" fillId="0" borderId="0" xfId="1569" applyBorder="1" applyAlignment="1">
      <alignment horizontal="center"/>
    </xf>
    <xf numFmtId="0" fontId="3" fillId="0" borderId="43" xfId="2" applyFont="1" applyFill="1" applyBorder="1" applyAlignment="1">
      <alignment horizontal="center"/>
    </xf>
    <xf numFmtId="3" fontId="34" fillId="60" borderId="10" xfId="1569" applyNumberFormat="1" applyFont="1" applyFill="1" applyBorder="1" applyAlignment="1">
      <alignment horizontal="center"/>
    </xf>
    <xf numFmtId="0" fontId="34" fillId="60" borderId="17" xfId="1569" applyFont="1" applyFill="1" applyBorder="1" applyAlignment="1">
      <alignment horizontal="center" vertical="center"/>
    </xf>
    <xf numFmtId="166" fontId="34" fillId="60" borderId="10" xfId="1569" applyNumberFormat="1" applyFont="1" applyFill="1" applyBorder="1" applyAlignment="1">
      <alignment horizontal="center"/>
    </xf>
    <xf numFmtId="0" fontId="34" fillId="60" borderId="42" xfId="1569" applyFont="1" applyFill="1" applyBorder="1" applyAlignment="1">
      <alignment horizontal="center"/>
    </xf>
    <xf numFmtId="167" fontId="34" fillId="60" borderId="17" xfId="1569" applyNumberFormat="1" applyFont="1" applyFill="1" applyBorder="1" applyAlignment="1">
      <alignment horizontal="center"/>
    </xf>
    <xf numFmtId="3" fontId="34" fillId="60" borderId="17" xfId="1569" applyNumberFormat="1" applyFont="1" applyFill="1" applyBorder="1" applyAlignment="1">
      <alignment horizontal="center"/>
    </xf>
    <xf numFmtId="0" fontId="34" fillId="60" borderId="43" xfId="1569" applyFont="1" applyFill="1" applyBorder="1" applyAlignment="1">
      <alignment horizontal="center" vertical="center"/>
    </xf>
    <xf numFmtId="166" fontId="34" fillId="60" borderId="22" xfId="1569" applyNumberFormat="1" applyFont="1" applyFill="1" applyBorder="1" applyAlignment="1">
      <alignment horizontal="center"/>
    </xf>
    <xf numFmtId="0" fontId="34" fillId="60" borderId="44" xfId="1569" applyFont="1" applyFill="1" applyBorder="1" applyAlignment="1">
      <alignment horizontal="center"/>
    </xf>
    <xf numFmtId="167" fontId="34" fillId="60" borderId="43" xfId="1569" applyNumberFormat="1" applyFont="1" applyFill="1" applyBorder="1" applyAlignment="1">
      <alignment horizontal="center"/>
    </xf>
    <xf numFmtId="3" fontId="34" fillId="60" borderId="22" xfId="1569" applyNumberFormat="1" applyFont="1" applyFill="1" applyBorder="1" applyAlignment="1">
      <alignment horizontal="center"/>
    </xf>
    <xf numFmtId="3" fontId="34" fillId="60" borderId="43" xfId="1569" applyNumberFormat="1" applyFont="1" applyFill="1" applyBorder="1" applyAlignment="1">
      <alignment horizontal="center"/>
    </xf>
    <xf numFmtId="0" fontId="49" fillId="0" borderId="76" xfId="1569" applyFont="1" applyBorder="1" applyAlignment="1">
      <alignment horizontal="center"/>
    </xf>
    <xf numFmtId="0" fontId="49" fillId="0" borderId="77" xfId="1569" applyFont="1" applyBorder="1" applyAlignment="1">
      <alignment horizontal="center"/>
    </xf>
    <xf numFmtId="9" fontId="3" fillId="0" borderId="0" xfId="1" applyNumberFormat="1" applyFont="1" applyAlignment="1">
      <alignment horizontal="center"/>
    </xf>
    <xf numFmtId="0" fontId="3" fillId="0" borderId="0" xfId="1964" applyNumberFormat="1" applyFont="1" applyFill="1" applyBorder="1" applyAlignment="1">
      <alignment horizontal="center"/>
    </xf>
    <xf numFmtId="9" fontId="0" fillId="0" borderId="0" xfId="1961" applyFont="1"/>
    <xf numFmtId="0" fontId="3" fillId="51" borderId="10" xfId="2" quotePrefix="1" applyFont="1" applyFill="1" applyBorder="1" applyAlignment="1">
      <alignment horizontal="center"/>
    </xf>
    <xf numFmtId="0" fontId="55" fillId="5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51" borderId="10" xfId="1" applyNumberFormat="1" applyFont="1" applyFill="1" applyBorder="1" applyAlignment="1">
      <alignment horizontal="center"/>
    </xf>
    <xf numFmtId="0" fontId="34" fillId="51" borderId="10" xfId="1569" applyNumberFormat="1" applyFont="1" applyFill="1" applyBorder="1" applyAlignment="1">
      <alignment horizontal="center" vertical="center"/>
    </xf>
    <xf numFmtId="0" fontId="3" fillId="51" borderId="10" xfId="1" applyFont="1" applyFill="1" applyBorder="1" applyAlignment="1">
      <alignment horizontal="center"/>
    </xf>
    <xf numFmtId="2" fontId="3" fillId="51" borderId="10" xfId="1" applyNumberFormat="1" applyFont="1" applyFill="1" applyBorder="1" applyAlignment="1">
      <alignment horizontal="center"/>
    </xf>
    <xf numFmtId="0" fontId="3" fillId="51" borderId="10" xfId="1" applyNumberFormat="1" applyFont="1" applyFill="1" applyBorder="1" applyAlignment="1">
      <alignment horizontal="left"/>
    </xf>
    <xf numFmtId="3" fontId="3" fillId="51" borderId="10" xfId="2" applyNumberFormat="1" applyFont="1" applyFill="1" applyBorder="1" applyAlignment="1">
      <alignment horizontal="center"/>
    </xf>
    <xf numFmtId="9" fontId="3" fillId="51" borderId="10" xfId="2" applyNumberFormat="1" applyFont="1" applyFill="1" applyBorder="1" applyAlignment="1">
      <alignment horizontal="center"/>
    </xf>
    <xf numFmtId="165" fontId="3" fillId="51" borderId="10" xfId="2" applyNumberFormat="1" applyFont="1" applyFill="1" applyBorder="1" applyAlignment="1">
      <alignment horizontal="center"/>
    </xf>
    <xf numFmtId="3" fontId="3" fillId="51" borderId="10" xfId="1" applyNumberFormat="1" applyFont="1" applyFill="1" applyBorder="1" applyAlignment="1">
      <alignment horizontal="center"/>
    </xf>
    <xf numFmtId="4" fontId="3" fillId="51" borderId="10" xfId="1" applyNumberFormat="1" applyFont="1" applyFill="1" applyBorder="1" applyAlignment="1">
      <alignment horizontal="center"/>
    </xf>
    <xf numFmtId="10" fontId="3" fillId="51" borderId="10" xfId="1961" applyNumberFormat="1" applyFont="1" applyFill="1" applyBorder="1" applyAlignment="1">
      <alignment horizontal="center"/>
    </xf>
    <xf numFmtId="169" fontId="3" fillId="51" borderId="10" xfId="1961" applyNumberFormat="1" applyFont="1" applyFill="1" applyBorder="1" applyAlignment="1">
      <alignment horizontal="center"/>
    </xf>
    <xf numFmtId="39" fontId="3" fillId="51" borderId="10" xfId="1961" applyNumberFormat="1" applyFont="1" applyFill="1" applyBorder="1" applyAlignment="1">
      <alignment horizontal="center"/>
    </xf>
    <xf numFmtId="0" fontId="3" fillId="51" borderId="10" xfId="1" applyFont="1" applyFill="1" applyBorder="1" applyAlignment="1">
      <alignment horizontal="center" vertical="center"/>
    </xf>
    <xf numFmtId="0" fontId="3" fillId="51" borderId="10" xfId="1" applyNumberFormat="1" applyFont="1" applyFill="1" applyBorder="1" applyAlignment="1">
      <alignment horizontal="center" vertical="center"/>
    </xf>
    <xf numFmtId="0" fontId="3" fillId="51" borderId="0" xfId="1" applyNumberFormat="1" applyFont="1" applyFill="1" applyBorder="1"/>
    <xf numFmtId="0" fontId="3" fillId="51" borderId="10" xfId="1" applyNumberFormat="1" applyFont="1" applyFill="1" applyBorder="1"/>
    <xf numFmtId="0" fontId="49" fillId="0" borderId="32" xfId="1569" applyFont="1" applyBorder="1" applyAlignment="1">
      <alignment horizontal="center"/>
    </xf>
    <xf numFmtId="0" fontId="0" fillId="0" borderId="0" xfId="0" quotePrefix="1"/>
    <xf numFmtId="0" fontId="0" fillId="57" borderId="0" xfId="0" applyFill="1"/>
    <xf numFmtId="0" fontId="49" fillId="61" borderId="23" xfId="1569" applyFont="1" applyFill="1" applyBorder="1" applyAlignment="1">
      <alignment horizontal="center" vertical="center"/>
    </xf>
    <xf numFmtId="0" fontId="49" fillId="61" borderId="24" xfId="1569" applyFont="1" applyFill="1" applyBorder="1" applyAlignment="1">
      <alignment horizontal="center" vertical="center"/>
    </xf>
    <xf numFmtId="0" fontId="49" fillId="61" borderId="25" xfId="1569" applyFont="1" applyFill="1" applyBorder="1" applyAlignment="1">
      <alignment horizontal="center" vertical="center"/>
    </xf>
    <xf numFmtId="0" fontId="49" fillId="61" borderId="79" xfId="1569" applyFont="1" applyFill="1" applyBorder="1" applyAlignment="1">
      <alignment horizontal="center" vertical="center"/>
    </xf>
    <xf numFmtId="0" fontId="49" fillId="61" borderId="54" xfId="1569" applyFont="1" applyFill="1" applyBorder="1" applyAlignment="1">
      <alignment horizontal="center" vertical="center"/>
    </xf>
    <xf numFmtId="0" fontId="49" fillId="61" borderId="80" xfId="1569" applyFont="1" applyFill="1" applyBorder="1" applyAlignment="1">
      <alignment horizontal="center" vertical="center"/>
    </xf>
    <xf numFmtId="0" fontId="49" fillId="61" borderId="48" xfId="1569" applyFont="1" applyFill="1" applyBorder="1" applyAlignment="1">
      <alignment horizontal="center" vertical="center"/>
    </xf>
    <xf numFmtId="0" fontId="49" fillId="61" borderId="49" xfId="1569" applyFont="1" applyFill="1" applyBorder="1" applyAlignment="1">
      <alignment horizontal="center" vertical="center"/>
    </xf>
    <xf numFmtId="0" fontId="34" fillId="0" borderId="16" xfId="1569" applyFont="1" applyBorder="1" applyAlignment="1">
      <alignment horizontal="center" vertical="center"/>
    </xf>
    <xf numFmtId="0" fontId="34" fillId="0" borderId="21" xfId="1569" applyFont="1" applyBorder="1" applyAlignment="1">
      <alignment horizontal="left" vertical="center" wrapText="1"/>
    </xf>
    <xf numFmtId="166" fontId="34" fillId="0" borderId="21" xfId="1569" applyNumberFormat="1" applyFont="1" applyBorder="1" applyAlignment="1">
      <alignment horizontal="center"/>
    </xf>
    <xf numFmtId="0" fontId="34" fillId="0" borderId="30" xfId="1569" applyFont="1" applyBorder="1" applyAlignment="1">
      <alignment horizontal="center"/>
    </xf>
    <xf numFmtId="0" fontId="34" fillId="0" borderId="32" xfId="1569" applyFont="1" applyBorder="1" applyAlignment="1">
      <alignment horizontal="center"/>
    </xf>
    <xf numFmtId="0" fontId="34" fillId="0" borderId="41" xfId="1569" applyFont="1" applyBorder="1" applyAlignment="1">
      <alignment horizontal="center"/>
    </xf>
    <xf numFmtId="0" fontId="34" fillId="0" borderId="21" xfId="1569" applyFont="1" applyBorder="1" applyAlignment="1">
      <alignment horizontal="center"/>
    </xf>
    <xf numFmtId="0" fontId="34" fillId="0" borderId="29" xfId="1569" applyFont="1" applyBorder="1" applyAlignment="1">
      <alignment horizontal="center"/>
    </xf>
    <xf numFmtId="9" fontId="49" fillId="0" borderId="82" xfId="1961" applyFont="1" applyFill="1" applyBorder="1" applyAlignment="1">
      <alignment horizontal="center"/>
    </xf>
    <xf numFmtId="0" fontId="34" fillId="0" borderId="10" xfId="1569" applyFont="1" applyBorder="1" applyAlignment="1">
      <alignment horizontal="left" vertical="center" wrapText="1"/>
    </xf>
    <xf numFmtId="0" fontId="34" fillId="0" borderId="18" xfId="1569" applyFont="1" applyBorder="1" applyAlignment="1">
      <alignment horizontal="center"/>
    </xf>
    <xf numFmtId="0" fontId="34" fillId="0" borderId="19" xfId="1569" applyFont="1" applyBorder="1" applyAlignment="1">
      <alignment horizontal="center"/>
    </xf>
    <xf numFmtId="0" fontId="34" fillId="0" borderId="10" xfId="1569" applyFont="1" applyBorder="1" applyAlignment="1">
      <alignment horizontal="center"/>
    </xf>
    <xf numFmtId="0" fontId="34" fillId="0" borderId="83" xfId="1569" applyFont="1" applyBorder="1" applyAlignment="1">
      <alignment horizontal="center"/>
    </xf>
    <xf numFmtId="0" fontId="49" fillId="0" borderId="18" xfId="1569" applyFont="1" applyBorder="1" applyAlignment="1">
      <alignment horizontal="center"/>
    </xf>
    <xf numFmtId="9" fontId="49" fillId="0" borderId="84" xfId="1961" applyFont="1" applyFill="1" applyBorder="1" applyAlignment="1">
      <alignment horizontal="center"/>
    </xf>
    <xf numFmtId="0" fontId="34" fillId="0" borderId="43" xfId="1569" applyFont="1" applyBorder="1" applyAlignment="1">
      <alignment horizontal="center" vertical="center"/>
    </xf>
    <xf numFmtId="0" fontId="34" fillId="0" borderId="22" xfId="1569" applyFont="1" applyBorder="1" applyAlignment="1">
      <alignment horizontal="left" vertical="center" wrapText="1"/>
    </xf>
    <xf numFmtId="166" fontId="34" fillId="0" borderId="22" xfId="1569" applyNumberFormat="1" applyFont="1" applyBorder="1" applyAlignment="1">
      <alignment horizontal="center"/>
    </xf>
    <xf numFmtId="0" fontId="34" fillId="0" borderId="44" xfId="1569" applyFont="1" applyBorder="1" applyAlignment="1">
      <alignment horizontal="center"/>
    </xf>
    <xf numFmtId="0" fontId="34" fillId="0" borderId="85" xfId="1569" applyFont="1" applyBorder="1" applyAlignment="1">
      <alignment horizontal="center"/>
    </xf>
    <xf numFmtId="0" fontId="34" fillId="0" borderId="45" xfId="1569" applyFont="1" applyBorder="1" applyAlignment="1">
      <alignment horizontal="center"/>
    </xf>
    <xf numFmtId="0" fontId="34" fillId="0" borderId="22" xfId="1569" applyFont="1" applyBorder="1" applyAlignment="1">
      <alignment horizontal="center"/>
    </xf>
    <xf numFmtId="0" fontId="34" fillId="0" borderId="86" xfId="1569" applyFont="1" applyBorder="1" applyAlignment="1">
      <alignment horizontal="center"/>
    </xf>
    <xf numFmtId="0" fontId="49" fillId="0" borderId="85" xfId="1569" applyFont="1" applyBorder="1" applyAlignment="1">
      <alignment horizontal="center"/>
    </xf>
    <xf numFmtId="9" fontId="49" fillId="0" borderId="87" xfId="1961" applyFont="1" applyFill="1" applyBorder="1" applyAlignment="1">
      <alignment horizontal="center"/>
    </xf>
    <xf numFmtId="0" fontId="34" fillId="0" borderId="58" xfId="1569" applyFont="1" applyBorder="1" applyAlignment="1">
      <alignment horizontal="center" vertical="center"/>
    </xf>
    <xf numFmtId="0" fontId="34" fillId="0" borderId="59" xfId="1569" applyFont="1" applyBorder="1" applyAlignment="1">
      <alignment horizontal="left" vertical="center" wrapText="1"/>
    </xf>
    <xf numFmtId="166" fontId="34" fillId="0" borderId="59" xfId="1569" applyNumberFormat="1" applyFont="1" applyBorder="1" applyAlignment="1">
      <alignment horizontal="center"/>
    </xf>
    <xf numFmtId="0" fontId="34" fillId="0" borderId="88" xfId="1569" applyFont="1" applyBorder="1" applyAlignment="1">
      <alignment horizontal="center"/>
    </xf>
    <xf numFmtId="0" fontId="34" fillId="0" borderId="89" xfId="1569" applyFont="1" applyBorder="1" applyAlignment="1">
      <alignment horizontal="center"/>
    </xf>
    <xf numFmtId="0" fontId="34" fillId="0" borderId="70" xfId="1569" applyFont="1" applyBorder="1" applyAlignment="1">
      <alignment horizontal="center"/>
    </xf>
    <xf numFmtId="0" fontId="34" fillId="0" borderId="59" xfId="1569" applyFont="1" applyBorder="1" applyAlignment="1">
      <alignment horizontal="center"/>
    </xf>
    <xf numFmtId="0" fontId="34" fillId="0" borderId="90" xfId="1569" applyFont="1" applyBorder="1" applyAlignment="1">
      <alignment horizontal="center"/>
    </xf>
    <xf numFmtId="0" fontId="49" fillId="0" borderId="89" xfId="1569" applyFont="1" applyBorder="1" applyAlignment="1">
      <alignment horizontal="center"/>
    </xf>
    <xf numFmtId="9" fontId="49" fillId="0" borderId="91" xfId="1961" applyFont="1" applyFill="1" applyBorder="1" applyAlignment="1">
      <alignment horizontal="center"/>
    </xf>
    <xf numFmtId="0" fontId="34" fillId="0" borderId="17" xfId="1569" applyFont="1" applyBorder="1" applyAlignment="1">
      <alignment horizontal="center" vertical="center" wrapText="1"/>
    </xf>
    <xf numFmtId="166" fontId="34" fillId="0" borderId="10" xfId="1569" applyNumberFormat="1" applyFont="1" applyBorder="1" applyAlignment="1">
      <alignment horizontal="center" vertical="center" wrapText="1"/>
    </xf>
    <xf numFmtId="0" fontId="34" fillId="0" borderId="42" xfId="1569" applyFont="1" applyBorder="1" applyAlignment="1">
      <alignment horizontal="center" vertical="center" wrapText="1"/>
    </xf>
    <xf numFmtId="0" fontId="34" fillId="0" borderId="18" xfId="1569" applyFont="1" applyBorder="1" applyAlignment="1">
      <alignment horizontal="center" vertical="center" wrapText="1"/>
    </xf>
    <xf numFmtId="0" fontId="34" fillId="0" borderId="19" xfId="1569" applyFont="1" applyBorder="1" applyAlignment="1">
      <alignment horizontal="center" vertical="center" wrapText="1"/>
    </xf>
    <xf numFmtId="0" fontId="34" fillId="0" borderId="10" xfId="1569" applyFont="1" applyBorder="1" applyAlignment="1">
      <alignment horizontal="center" vertical="center" wrapText="1"/>
    </xf>
    <xf numFmtId="0" fontId="34" fillId="0" borderId="83" xfId="1569" applyFont="1" applyBorder="1" applyAlignment="1">
      <alignment horizontal="center" vertical="center" wrapText="1"/>
    </xf>
    <xf numFmtId="0" fontId="49" fillId="0" borderId="18" xfId="1569" applyFont="1" applyBorder="1" applyAlignment="1">
      <alignment horizontal="center" vertical="center" wrapText="1"/>
    </xf>
    <xf numFmtId="9" fontId="49" fillId="0" borderId="84" xfId="1961" applyFont="1" applyFill="1" applyBorder="1" applyAlignment="1">
      <alignment horizontal="center" vertical="center" wrapText="1"/>
    </xf>
    <xf numFmtId="0" fontId="49" fillId="61" borderId="16" xfId="1569" applyFont="1" applyFill="1" applyBorder="1" applyAlignment="1">
      <alignment horizontal="centerContinuous" vertical="center"/>
    </xf>
    <xf numFmtId="0" fontId="49" fillId="61" borderId="29" xfId="1569" applyFont="1" applyFill="1" applyBorder="1" applyAlignment="1">
      <alignment horizontal="centerContinuous" vertical="center"/>
    </xf>
    <xf numFmtId="0" fontId="49" fillId="61" borderId="21" xfId="1569" applyFont="1" applyFill="1" applyBorder="1" applyAlignment="1">
      <alignment horizontal="centerContinuous" vertical="center"/>
    </xf>
    <xf numFmtId="0" fontId="49" fillId="61" borderId="32" xfId="1569" applyFont="1" applyFill="1" applyBorder="1" applyAlignment="1">
      <alignment horizontal="centerContinuous" vertical="center"/>
    </xf>
    <xf numFmtId="0" fontId="49" fillId="61" borderId="33" xfId="1569" applyFont="1" applyFill="1" applyBorder="1" applyAlignment="1">
      <alignment horizontal="centerContinuous" vertical="center"/>
    </xf>
    <xf numFmtId="0" fontId="49" fillId="61" borderId="92" xfId="1569" applyFont="1" applyFill="1" applyBorder="1" applyAlignment="1">
      <alignment horizontal="center" vertical="center"/>
    </xf>
    <xf numFmtId="167" fontId="34" fillId="0" borderId="16" xfId="1569" applyNumberFormat="1" applyFont="1" applyBorder="1" applyAlignment="1">
      <alignment horizontal="center"/>
    </xf>
    <xf numFmtId="2" fontId="34" fillId="0" borderId="21" xfId="1569" applyNumberFormat="1" applyFont="1" applyBorder="1" applyAlignment="1">
      <alignment horizontal="center"/>
    </xf>
    <xf numFmtId="2" fontId="34" fillId="0" borderId="30" xfId="1569" applyNumberFormat="1" applyFont="1" applyBorder="1" applyAlignment="1">
      <alignment horizontal="center"/>
    </xf>
    <xf numFmtId="167" fontId="34" fillId="0" borderId="29" xfId="1569" applyNumberFormat="1" applyFont="1" applyBorder="1" applyAlignment="1">
      <alignment horizontal="center"/>
    </xf>
    <xf numFmtId="2" fontId="34" fillId="0" borderId="10" xfId="1569" applyNumberFormat="1" applyFont="1" applyBorder="1" applyAlignment="1">
      <alignment horizontal="center"/>
    </xf>
    <xf numFmtId="2" fontId="34" fillId="0" borderId="42" xfId="1569" applyNumberFormat="1" applyFont="1" applyBorder="1" applyAlignment="1">
      <alignment horizontal="center"/>
    </xf>
    <xf numFmtId="167" fontId="34" fillId="0" borderId="83" xfId="1569" applyNumberFormat="1" applyFont="1" applyBorder="1" applyAlignment="1">
      <alignment horizontal="center"/>
    </xf>
    <xf numFmtId="167" fontId="34" fillId="0" borderId="43" xfId="1569" applyNumberFormat="1" applyFont="1" applyBorder="1" applyAlignment="1">
      <alignment horizontal="center"/>
    </xf>
    <xf numFmtId="2" fontId="34" fillId="0" borderId="22" xfId="1569" applyNumberFormat="1" applyFont="1" applyBorder="1" applyAlignment="1">
      <alignment horizontal="center"/>
    </xf>
    <xf numFmtId="2" fontId="34" fillId="0" borderId="44" xfId="1569" applyNumberFormat="1" applyFont="1" applyBorder="1" applyAlignment="1">
      <alignment horizontal="center"/>
    </xf>
    <xf numFmtId="167" fontId="34" fillId="0" borderId="86" xfId="1569" applyNumberFormat="1" applyFont="1" applyBorder="1" applyAlignment="1">
      <alignment horizontal="center"/>
    </xf>
    <xf numFmtId="167" fontId="34" fillId="0" borderId="58" xfId="1569" applyNumberFormat="1" applyFont="1" applyBorder="1" applyAlignment="1">
      <alignment horizontal="center"/>
    </xf>
    <xf numFmtId="2" fontId="34" fillId="0" borderId="59" xfId="1569" applyNumberFormat="1" applyFont="1" applyBorder="1" applyAlignment="1">
      <alignment horizontal="center"/>
    </xf>
    <xf numFmtId="2" fontId="34" fillId="0" borderId="88" xfId="1569" applyNumberFormat="1" applyFont="1" applyBorder="1" applyAlignment="1">
      <alignment horizontal="center"/>
    </xf>
    <xf numFmtId="167" fontId="34" fillId="0" borderId="90" xfId="1569" applyNumberFormat="1" applyFont="1" applyBorder="1" applyAlignment="1">
      <alignment horizontal="center"/>
    </xf>
    <xf numFmtId="167" fontId="34" fillId="0" borderId="17" xfId="1569" applyNumberFormat="1" applyFont="1" applyBorder="1" applyAlignment="1">
      <alignment horizontal="center" vertical="center" wrapText="1"/>
    </xf>
    <xf numFmtId="2" fontId="34" fillId="0" borderId="10" xfId="1569" applyNumberFormat="1" applyFont="1" applyBorder="1" applyAlignment="1">
      <alignment horizontal="center" vertical="center" wrapText="1"/>
    </xf>
    <xf numFmtId="2" fontId="34" fillId="0" borderId="42" xfId="1569" applyNumberFormat="1" applyFont="1" applyBorder="1" applyAlignment="1">
      <alignment horizontal="center" vertical="center" wrapText="1"/>
    </xf>
    <xf numFmtId="167" fontId="34" fillId="0" borderId="83" xfId="1569" applyNumberFormat="1" applyFont="1" applyBorder="1" applyAlignment="1">
      <alignment horizontal="center" vertical="center" wrapText="1"/>
    </xf>
    <xf numFmtId="0" fontId="49" fillId="0" borderId="93" xfId="1569" applyFont="1" applyBorder="1" applyAlignment="1">
      <alignment horizontal="center"/>
    </xf>
    <xf numFmtId="3" fontId="34" fillId="0" borderId="89" xfId="1569" applyNumberFormat="1" applyFont="1" applyFill="1" applyBorder="1" applyAlignment="1">
      <alignment horizontal="center"/>
    </xf>
    <xf numFmtId="3" fontId="34" fillId="0" borderId="85" xfId="1569" applyNumberFormat="1" applyFont="1" applyFill="1" applyBorder="1" applyAlignment="1">
      <alignment horizontal="center"/>
    </xf>
    <xf numFmtId="3" fontId="34" fillId="0" borderId="47" xfId="1569" applyNumberFormat="1" applyFont="1" applyBorder="1" applyAlignment="1">
      <alignment horizontal="center"/>
    </xf>
    <xf numFmtId="0" fontId="49" fillId="0" borderId="94" xfId="1569" applyFont="1" applyBorder="1" applyAlignment="1">
      <alignment horizontal="center"/>
    </xf>
    <xf numFmtId="3" fontId="34" fillId="0" borderId="95" xfId="1569" applyNumberFormat="1" applyFont="1" applyFill="1" applyBorder="1" applyAlignment="1">
      <alignment horizontal="center"/>
    </xf>
    <xf numFmtId="3" fontId="34" fillId="58" borderId="95" xfId="1569" applyNumberFormat="1" applyFont="1" applyFill="1" applyBorder="1" applyAlignment="1">
      <alignment horizontal="center"/>
    </xf>
    <xf numFmtId="3" fontId="34" fillId="0" borderId="95" xfId="1569" applyNumberFormat="1" applyFont="1" applyBorder="1" applyAlignment="1">
      <alignment horizontal="center"/>
    </xf>
    <xf numFmtId="3" fontId="2" fillId="0" borderId="95" xfId="1569" applyNumberFormat="1" applyBorder="1" applyAlignment="1">
      <alignment horizontal="center"/>
    </xf>
    <xf numFmtId="3" fontId="2" fillId="58" borderId="95" xfId="1569" applyNumberFormat="1" applyFill="1" applyBorder="1" applyAlignment="1">
      <alignment horizontal="center"/>
    </xf>
    <xf numFmtId="3" fontId="34" fillId="0" borderId="96" xfId="1569" applyNumberFormat="1" applyFont="1" applyBorder="1" applyAlignment="1">
      <alignment horizontal="center"/>
    </xf>
    <xf numFmtId="0" fontId="34" fillId="51" borderId="10" xfId="1569" applyFont="1" applyFill="1" applyBorder="1" applyAlignment="1">
      <alignment horizontal="left" vertical="center" wrapText="1"/>
    </xf>
    <xf numFmtId="0" fontId="34" fillId="51" borderId="18" xfId="1569" applyFont="1" applyFill="1" applyBorder="1" applyAlignment="1">
      <alignment horizontal="center"/>
    </xf>
    <xf numFmtId="0" fontId="34" fillId="51" borderId="19" xfId="1569" applyFont="1" applyFill="1" applyBorder="1" applyAlignment="1">
      <alignment horizontal="center"/>
    </xf>
    <xf numFmtId="0" fontId="34" fillId="51" borderId="10" xfId="1569" applyFont="1" applyFill="1" applyBorder="1" applyAlignment="1">
      <alignment horizontal="center"/>
    </xf>
    <xf numFmtId="0" fontId="34" fillId="51" borderId="83" xfId="1569" applyFont="1" applyFill="1" applyBorder="1" applyAlignment="1">
      <alignment horizontal="center"/>
    </xf>
    <xf numFmtId="0" fontId="49" fillId="51" borderId="18" xfId="1569" applyFont="1" applyFill="1" applyBorder="1" applyAlignment="1">
      <alignment horizontal="center"/>
    </xf>
    <xf numFmtId="9" fontId="49" fillId="51" borderId="84" xfId="1961" applyFont="1" applyFill="1" applyBorder="1" applyAlignment="1">
      <alignment horizontal="center"/>
    </xf>
    <xf numFmtId="2" fontId="34" fillId="51" borderId="10" xfId="1569" applyNumberFormat="1" applyFont="1" applyFill="1" applyBorder="1" applyAlignment="1">
      <alignment horizontal="center"/>
    </xf>
    <xf numFmtId="2" fontId="34" fillId="51" borderId="42" xfId="1569" applyNumberFormat="1" applyFont="1" applyFill="1" applyBorder="1" applyAlignment="1">
      <alignment horizontal="center"/>
    </xf>
    <xf numFmtId="167" fontId="34" fillId="51" borderId="83" xfId="1569" applyNumberFormat="1" applyFont="1" applyFill="1" applyBorder="1" applyAlignment="1">
      <alignment horizontal="center"/>
    </xf>
    <xf numFmtId="0" fontId="3" fillId="62" borderId="17" xfId="2" applyFont="1" applyFill="1" applyBorder="1" applyAlignment="1">
      <alignment horizontal="center"/>
    </xf>
    <xf numFmtId="0" fontId="45" fillId="62" borderId="17" xfId="2" applyFont="1" applyFill="1" applyBorder="1" applyAlignment="1">
      <alignment horizontal="center"/>
    </xf>
    <xf numFmtId="0" fontId="3" fillId="63" borderId="17" xfId="2" applyFont="1" applyFill="1" applyBorder="1" applyAlignment="1">
      <alignment horizontal="center"/>
    </xf>
    <xf numFmtId="0" fontId="3" fillId="62" borderId="17" xfId="2" quotePrefix="1" applyFont="1" applyFill="1" applyBorder="1" applyAlignment="1">
      <alignment horizontal="center"/>
    </xf>
    <xf numFmtId="0" fontId="3" fillId="62" borderId="43" xfId="2" applyFont="1" applyFill="1" applyBorder="1" applyAlignment="1">
      <alignment horizontal="center"/>
    </xf>
    <xf numFmtId="3" fontId="34" fillId="63" borderId="59" xfId="1569" applyNumberFormat="1" applyFont="1" applyFill="1" applyBorder="1" applyAlignment="1">
      <alignment horizontal="center"/>
    </xf>
    <xf numFmtId="3" fontId="34" fillId="63" borderId="18" xfId="1569" applyNumberFormat="1" applyFont="1" applyFill="1" applyBorder="1" applyAlignment="1">
      <alignment horizontal="center"/>
    </xf>
    <xf numFmtId="1" fontId="0" fillId="0" borderId="0" xfId="0" applyNumberFormat="1"/>
    <xf numFmtId="4" fontId="0" fillId="0" borderId="0" xfId="0" applyNumberFormat="1"/>
    <xf numFmtId="3" fontId="0" fillId="0" borderId="0" xfId="0" applyNumberFormat="1"/>
    <xf numFmtId="2" fontId="0" fillId="0" borderId="0" xfId="0" applyNumberFormat="1"/>
    <xf numFmtId="0" fontId="0" fillId="0" borderId="0" xfId="0" applyNumberFormat="1"/>
    <xf numFmtId="10" fontId="3" fillId="0" borderId="0" xfId="1" applyNumberFormat="1" applyFont="1" applyAlignment="1">
      <alignment horizontal="center"/>
    </xf>
    <xf numFmtId="0" fontId="48" fillId="0" borderId="0" xfId="1569" applyFont="1" applyAlignment="1">
      <alignment horizontal="center" vertical="center"/>
    </xf>
    <xf numFmtId="0" fontId="49" fillId="0" borderId="26" xfId="1569" applyFont="1" applyBorder="1" applyAlignment="1">
      <alignment horizontal="center"/>
    </xf>
    <xf numFmtId="0" fontId="49" fillId="0" borderId="27" xfId="1569" applyFont="1" applyBorder="1" applyAlignment="1">
      <alignment horizontal="center"/>
    </xf>
    <xf numFmtId="0" fontId="49" fillId="0" borderId="31" xfId="1569" applyFont="1" applyBorder="1" applyAlignment="1">
      <alignment horizontal="center"/>
    </xf>
    <xf numFmtId="0" fontId="49" fillId="0" borderId="32" xfId="1569" applyFont="1" applyBorder="1" applyAlignment="1">
      <alignment horizontal="center"/>
    </xf>
    <xf numFmtId="0" fontId="49" fillId="0" borderId="33" xfId="1569" applyFont="1" applyBorder="1" applyAlignment="1">
      <alignment horizontal="center"/>
    </xf>
    <xf numFmtId="0" fontId="2" fillId="51" borderId="97" xfId="1569" applyFill="1" applyBorder="1" applyAlignment="1">
      <alignment horizontal="center"/>
    </xf>
    <xf numFmtId="0" fontId="49" fillId="61" borderId="24" xfId="1569" applyFont="1" applyFill="1" applyBorder="1" applyAlignment="1">
      <alignment horizontal="center" vertical="center" wrapText="1"/>
    </xf>
    <xf numFmtId="0" fontId="49" fillId="61" borderId="55" xfId="1569" applyFont="1" applyFill="1" applyBorder="1" applyAlignment="1">
      <alignment horizontal="center" vertical="center" wrapText="1"/>
    </xf>
    <xf numFmtId="0" fontId="49" fillId="61" borderId="26" xfId="1569" applyFont="1" applyFill="1" applyBorder="1" applyAlignment="1">
      <alignment horizontal="center" vertical="center"/>
    </xf>
    <xf numFmtId="0" fontId="49" fillId="61" borderId="27" xfId="1569" applyFont="1" applyFill="1" applyBorder="1" applyAlignment="1">
      <alignment horizontal="center" vertical="center"/>
    </xf>
    <xf numFmtId="0" fontId="49" fillId="61" borderId="78" xfId="1569" applyFont="1" applyFill="1" applyBorder="1" applyAlignment="1">
      <alignment horizontal="center" vertical="center" wrapText="1"/>
    </xf>
    <xf numFmtId="0" fontId="49" fillId="61" borderId="81" xfId="1569" applyFont="1" applyFill="1" applyBorder="1" applyAlignment="1">
      <alignment horizontal="center" vertical="center" wrapText="1"/>
    </xf>
    <xf numFmtId="0" fontId="0" fillId="51" borderId="0" xfId="0" applyFill="1" applyAlignment="1">
      <alignment horizontal="center"/>
    </xf>
    <xf numFmtId="0" fontId="3" fillId="0" borderId="0" xfId="1" applyNumberFormat="1" applyFont="1" applyFill="1" applyBorder="1" applyAlignment="1">
      <alignment horizontal="right" vertical="top"/>
    </xf>
    <xf numFmtId="0" fontId="3" fillId="0" borderId="0" xfId="1" applyNumberFormat="1" applyFont="1" applyFill="1" applyBorder="1" applyAlignment="1">
      <alignment horizontal="center" vertical="top" wrapText="1"/>
    </xf>
    <xf numFmtId="0" fontId="54" fillId="51" borderId="71" xfId="1636" quotePrefix="1" applyFont="1" applyFill="1" applyBorder="1" applyAlignment="1">
      <alignment horizontal="right" vertical="center" wrapText="1"/>
    </xf>
    <xf numFmtId="0" fontId="2" fillId="51" borderId="73" xfId="1636" applyFill="1" applyBorder="1" applyAlignment="1">
      <alignment horizontal="right"/>
    </xf>
    <xf numFmtId="0" fontId="54" fillId="50" borderId="72" xfId="1636" quotePrefix="1" applyFont="1" applyBorder="1" applyAlignment="1">
      <alignment horizontal="center" vertical="center" wrapText="1"/>
    </xf>
    <xf numFmtId="0" fontId="2" fillId="50" borderId="74" xfId="1636" applyBorder="1"/>
  </cellXfs>
  <cellStyles count="1966">
    <cellStyle name="20% - Accent1 10" xfId="4" xr:uid="{00000000-0005-0000-0000-000000000000}"/>
    <cellStyle name="20% - Accent1 11" xfId="5" xr:uid="{00000000-0005-0000-0000-000001000000}"/>
    <cellStyle name="20% - Accent1 12" xfId="6" xr:uid="{00000000-0005-0000-0000-000002000000}"/>
    <cellStyle name="20% - Accent1 13" xfId="7" xr:uid="{00000000-0005-0000-0000-000003000000}"/>
    <cellStyle name="20% - Accent1 14" xfId="8" xr:uid="{00000000-0005-0000-0000-000004000000}"/>
    <cellStyle name="20% - Accent1 15" xfId="9" xr:uid="{00000000-0005-0000-0000-000005000000}"/>
    <cellStyle name="20% - Accent1 16" xfId="10" xr:uid="{00000000-0005-0000-0000-000006000000}"/>
    <cellStyle name="20% - Accent1 17" xfId="11" xr:uid="{00000000-0005-0000-0000-000007000000}"/>
    <cellStyle name="20% - Accent1 18" xfId="12" xr:uid="{00000000-0005-0000-0000-000008000000}"/>
    <cellStyle name="20% - Accent1 19" xfId="13" xr:uid="{00000000-0005-0000-0000-000009000000}"/>
    <cellStyle name="20% - Accent1 2" xfId="14" xr:uid="{00000000-0005-0000-0000-00000A000000}"/>
    <cellStyle name="20% - Accent1 2 2" xfId="15" xr:uid="{00000000-0005-0000-0000-00000B000000}"/>
    <cellStyle name="20% - Accent1 20" xfId="16" xr:uid="{00000000-0005-0000-0000-00000C000000}"/>
    <cellStyle name="20% - Accent1 21" xfId="17" xr:uid="{00000000-0005-0000-0000-00000D000000}"/>
    <cellStyle name="20% - Accent1 22" xfId="18" xr:uid="{00000000-0005-0000-0000-00000E000000}"/>
    <cellStyle name="20% - Accent1 23" xfId="19" xr:uid="{00000000-0005-0000-0000-00000F000000}"/>
    <cellStyle name="20% - Accent1 24" xfId="20" xr:uid="{00000000-0005-0000-0000-000010000000}"/>
    <cellStyle name="20% - Accent1 25" xfId="21" xr:uid="{00000000-0005-0000-0000-000011000000}"/>
    <cellStyle name="20% - Accent1 26" xfId="22" xr:uid="{00000000-0005-0000-0000-000012000000}"/>
    <cellStyle name="20% - Accent1 27" xfId="23" xr:uid="{00000000-0005-0000-0000-000013000000}"/>
    <cellStyle name="20% - Accent1 28" xfId="24" xr:uid="{00000000-0005-0000-0000-000014000000}"/>
    <cellStyle name="20% - Accent1 29" xfId="25" xr:uid="{00000000-0005-0000-0000-000015000000}"/>
    <cellStyle name="20% - Accent1 3" xfId="26" xr:uid="{00000000-0005-0000-0000-000016000000}"/>
    <cellStyle name="20% - Accent1 3 2" xfId="27" xr:uid="{00000000-0005-0000-0000-000017000000}"/>
    <cellStyle name="20% - Accent1 3 3" xfId="28" xr:uid="{00000000-0005-0000-0000-000018000000}"/>
    <cellStyle name="20% - Accent1 30" xfId="29" xr:uid="{00000000-0005-0000-0000-000019000000}"/>
    <cellStyle name="20% - Accent1 31" xfId="30" xr:uid="{00000000-0005-0000-0000-00001A000000}"/>
    <cellStyle name="20% - Accent1 32" xfId="31" xr:uid="{00000000-0005-0000-0000-00001B000000}"/>
    <cellStyle name="20% - Accent1 33" xfId="32" xr:uid="{00000000-0005-0000-0000-00001C000000}"/>
    <cellStyle name="20% - Accent1 34" xfId="33" xr:uid="{00000000-0005-0000-0000-00001D000000}"/>
    <cellStyle name="20% - Accent1 35" xfId="34" xr:uid="{00000000-0005-0000-0000-00001E000000}"/>
    <cellStyle name="20% - Accent1 36" xfId="35" xr:uid="{00000000-0005-0000-0000-00001F000000}"/>
    <cellStyle name="20% - Accent1 37" xfId="36" xr:uid="{00000000-0005-0000-0000-000020000000}"/>
    <cellStyle name="20% - Accent1 38" xfId="37" xr:uid="{00000000-0005-0000-0000-000021000000}"/>
    <cellStyle name="20% - Accent1 39" xfId="38" xr:uid="{00000000-0005-0000-0000-000022000000}"/>
    <cellStyle name="20% - Accent1 4" xfId="39" xr:uid="{00000000-0005-0000-0000-000023000000}"/>
    <cellStyle name="20% - Accent1 40" xfId="40" xr:uid="{00000000-0005-0000-0000-000024000000}"/>
    <cellStyle name="20% - Accent1 41" xfId="41" xr:uid="{00000000-0005-0000-0000-000025000000}"/>
    <cellStyle name="20% - Accent1 42" xfId="42" xr:uid="{00000000-0005-0000-0000-000026000000}"/>
    <cellStyle name="20% - Accent1 5" xfId="43" xr:uid="{00000000-0005-0000-0000-000027000000}"/>
    <cellStyle name="20% - Accent1 6" xfId="44" xr:uid="{00000000-0005-0000-0000-000028000000}"/>
    <cellStyle name="20% - Accent1 7" xfId="45" xr:uid="{00000000-0005-0000-0000-000029000000}"/>
    <cellStyle name="20% - Accent1 8" xfId="46" xr:uid="{00000000-0005-0000-0000-00002A000000}"/>
    <cellStyle name="20% - Accent1 9" xfId="47" xr:uid="{00000000-0005-0000-0000-00002B000000}"/>
    <cellStyle name="20% - Accent2 10" xfId="48" xr:uid="{00000000-0005-0000-0000-00002C000000}"/>
    <cellStyle name="20% - Accent2 11" xfId="49" xr:uid="{00000000-0005-0000-0000-00002D000000}"/>
    <cellStyle name="20% - Accent2 12" xfId="50" xr:uid="{00000000-0005-0000-0000-00002E000000}"/>
    <cellStyle name="20% - Accent2 13" xfId="51" xr:uid="{00000000-0005-0000-0000-00002F000000}"/>
    <cellStyle name="20% - Accent2 14" xfId="52" xr:uid="{00000000-0005-0000-0000-000030000000}"/>
    <cellStyle name="20% - Accent2 15" xfId="53" xr:uid="{00000000-0005-0000-0000-000031000000}"/>
    <cellStyle name="20% - Accent2 16" xfId="54" xr:uid="{00000000-0005-0000-0000-000032000000}"/>
    <cellStyle name="20% - Accent2 17" xfId="55" xr:uid="{00000000-0005-0000-0000-000033000000}"/>
    <cellStyle name="20% - Accent2 18" xfId="56" xr:uid="{00000000-0005-0000-0000-000034000000}"/>
    <cellStyle name="20% - Accent2 19" xfId="57" xr:uid="{00000000-0005-0000-0000-000035000000}"/>
    <cellStyle name="20% - Accent2 2" xfId="58" xr:uid="{00000000-0005-0000-0000-000036000000}"/>
    <cellStyle name="20% - Accent2 2 2" xfId="59" xr:uid="{00000000-0005-0000-0000-000037000000}"/>
    <cellStyle name="20% - Accent2 20" xfId="60" xr:uid="{00000000-0005-0000-0000-000038000000}"/>
    <cellStyle name="20% - Accent2 21" xfId="61" xr:uid="{00000000-0005-0000-0000-000039000000}"/>
    <cellStyle name="20% - Accent2 22" xfId="62" xr:uid="{00000000-0005-0000-0000-00003A000000}"/>
    <cellStyle name="20% - Accent2 23" xfId="63" xr:uid="{00000000-0005-0000-0000-00003B000000}"/>
    <cellStyle name="20% - Accent2 24" xfId="64" xr:uid="{00000000-0005-0000-0000-00003C000000}"/>
    <cellStyle name="20% - Accent2 25" xfId="65" xr:uid="{00000000-0005-0000-0000-00003D000000}"/>
    <cellStyle name="20% - Accent2 26" xfId="66" xr:uid="{00000000-0005-0000-0000-00003E000000}"/>
    <cellStyle name="20% - Accent2 27" xfId="67" xr:uid="{00000000-0005-0000-0000-00003F000000}"/>
    <cellStyle name="20% - Accent2 28" xfId="68" xr:uid="{00000000-0005-0000-0000-000040000000}"/>
    <cellStyle name="20% - Accent2 29" xfId="69" xr:uid="{00000000-0005-0000-0000-000041000000}"/>
    <cellStyle name="20% - Accent2 3" xfId="70" xr:uid="{00000000-0005-0000-0000-000042000000}"/>
    <cellStyle name="20% - Accent2 3 2" xfId="71" xr:uid="{00000000-0005-0000-0000-000043000000}"/>
    <cellStyle name="20% - Accent2 3 3" xfId="72" xr:uid="{00000000-0005-0000-0000-000044000000}"/>
    <cellStyle name="20% - Accent2 30" xfId="73" xr:uid="{00000000-0005-0000-0000-000045000000}"/>
    <cellStyle name="20% - Accent2 31" xfId="74" xr:uid="{00000000-0005-0000-0000-000046000000}"/>
    <cellStyle name="20% - Accent2 32" xfId="75" xr:uid="{00000000-0005-0000-0000-000047000000}"/>
    <cellStyle name="20% - Accent2 33" xfId="76" xr:uid="{00000000-0005-0000-0000-000048000000}"/>
    <cellStyle name="20% - Accent2 34" xfId="77" xr:uid="{00000000-0005-0000-0000-000049000000}"/>
    <cellStyle name="20% - Accent2 35" xfId="78" xr:uid="{00000000-0005-0000-0000-00004A000000}"/>
    <cellStyle name="20% - Accent2 36" xfId="79" xr:uid="{00000000-0005-0000-0000-00004B000000}"/>
    <cellStyle name="20% - Accent2 37" xfId="80" xr:uid="{00000000-0005-0000-0000-00004C000000}"/>
    <cellStyle name="20% - Accent2 38" xfId="81" xr:uid="{00000000-0005-0000-0000-00004D000000}"/>
    <cellStyle name="20% - Accent2 39" xfId="82" xr:uid="{00000000-0005-0000-0000-00004E000000}"/>
    <cellStyle name="20% - Accent2 4" xfId="83" xr:uid="{00000000-0005-0000-0000-00004F000000}"/>
    <cellStyle name="20% - Accent2 40" xfId="84" xr:uid="{00000000-0005-0000-0000-000050000000}"/>
    <cellStyle name="20% - Accent2 41" xfId="85" xr:uid="{00000000-0005-0000-0000-000051000000}"/>
    <cellStyle name="20% - Accent2 42" xfId="86" xr:uid="{00000000-0005-0000-0000-000052000000}"/>
    <cellStyle name="20% - Accent2 5" xfId="87" xr:uid="{00000000-0005-0000-0000-000053000000}"/>
    <cellStyle name="20% - Accent2 6" xfId="88" xr:uid="{00000000-0005-0000-0000-000054000000}"/>
    <cellStyle name="20% - Accent2 7" xfId="89" xr:uid="{00000000-0005-0000-0000-000055000000}"/>
    <cellStyle name="20% - Accent2 8" xfId="90" xr:uid="{00000000-0005-0000-0000-000056000000}"/>
    <cellStyle name="20% - Accent2 9" xfId="91" xr:uid="{00000000-0005-0000-0000-000057000000}"/>
    <cellStyle name="20% - Accent3 10" xfId="92" xr:uid="{00000000-0005-0000-0000-000058000000}"/>
    <cellStyle name="20% - Accent3 11" xfId="93" xr:uid="{00000000-0005-0000-0000-000059000000}"/>
    <cellStyle name="20% - Accent3 12" xfId="94" xr:uid="{00000000-0005-0000-0000-00005A000000}"/>
    <cellStyle name="20% - Accent3 13" xfId="95" xr:uid="{00000000-0005-0000-0000-00005B000000}"/>
    <cellStyle name="20% - Accent3 14" xfId="96" xr:uid="{00000000-0005-0000-0000-00005C000000}"/>
    <cellStyle name="20% - Accent3 15" xfId="97" xr:uid="{00000000-0005-0000-0000-00005D000000}"/>
    <cellStyle name="20% - Accent3 16" xfId="98" xr:uid="{00000000-0005-0000-0000-00005E000000}"/>
    <cellStyle name="20% - Accent3 17" xfId="99" xr:uid="{00000000-0005-0000-0000-00005F000000}"/>
    <cellStyle name="20% - Accent3 18" xfId="100" xr:uid="{00000000-0005-0000-0000-000060000000}"/>
    <cellStyle name="20% - Accent3 19" xfId="101" xr:uid="{00000000-0005-0000-0000-000061000000}"/>
    <cellStyle name="20% - Accent3 2" xfId="102" xr:uid="{00000000-0005-0000-0000-000062000000}"/>
    <cellStyle name="20% - Accent3 2 2" xfId="103" xr:uid="{00000000-0005-0000-0000-000063000000}"/>
    <cellStyle name="20% - Accent3 20" xfId="104" xr:uid="{00000000-0005-0000-0000-000064000000}"/>
    <cellStyle name="20% - Accent3 21" xfId="105" xr:uid="{00000000-0005-0000-0000-000065000000}"/>
    <cellStyle name="20% - Accent3 22" xfId="106" xr:uid="{00000000-0005-0000-0000-000066000000}"/>
    <cellStyle name="20% - Accent3 23" xfId="107" xr:uid="{00000000-0005-0000-0000-000067000000}"/>
    <cellStyle name="20% - Accent3 24" xfId="108" xr:uid="{00000000-0005-0000-0000-000068000000}"/>
    <cellStyle name="20% - Accent3 25" xfId="109" xr:uid="{00000000-0005-0000-0000-000069000000}"/>
    <cellStyle name="20% - Accent3 26" xfId="110" xr:uid="{00000000-0005-0000-0000-00006A000000}"/>
    <cellStyle name="20% - Accent3 27" xfId="111" xr:uid="{00000000-0005-0000-0000-00006B000000}"/>
    <cellStyle name="20% - Accent3 28" xfId="112" xr:uid="{00000000-0005-0000-0000-00006C000000}"/>
    <cellStyle name="20% - Accent3 29" xfId="113" xr:uid="{00000000-0005-0000-0000-00006D000000}"/>
    <cellStyle name="20% - Accent3 3" xfId="114" xr:uid="{00000000-0005-0000-0000-00006E000000}"/>
    <cellStyle name="20% - Accent3 3 2" xfId="115" xr:uid="{00000000-0005-0000-0000-00006F000000}"/>
    <cellStyle name="20% - Accent3 3 3" xfId="116" xr:uid="{00000000-0005-0000-0000-000070000000}"/>
    <cellStyle name="20% - Accent3 30" xfId="117" xr:uid="{00000000-0005-0000-0000-000071000000}"/>
    <cellStyle name="20% - Accent3 31" xfId="118" xr:uid="{00000000-0005-0000-0000-000072000000}"/>
    <cellStyle name="20% - Accent3 32" xfId="119" xr:uid="{00000000-0005-0000-0000-000073000000}"/>
    <cellStyle name="20% - Accent3 33" xfId="120" xr:uid="{00000000-0005-0000-0000-000074000000}"/>
    <cellStyle name="20% - Accent3 34" xfId="121" xr:uid="{00000000-0005-0000-0000-000075000000}"/>
    <cellStyle name="20% - Accent3 35" xfId="122" xr:uid="{00000000-0005-0000-0000-000076000000}"/>
    <cellStyle name="20% - Accent3 36" xfId="123" xr:uid="{00000000-0005-0000-0000-000077000000}"/>
    <cellStyle name="20% - Accent3 37" xfId="124" xr:uid="{00000000-0005-0000-0000-000078000000}"/>
    <cellStyle name="20% - Accent3 38" xfId="125" xr:uid="{00000000-0005-0000-0000-000079000000}"/>
    <cellStyle name="20% - Accent3 39" xfId="126" xr:uid="{00000000-0005-0000-0000-00007A000000}"/>
    <cellStyle name="20% - Accent3 4" xfId="127" xr:uid="{00000000-0005-0000-0000-00007B000000}"/>
    <cellStyle name="20% - Accent3 40" xfId="128" xr:uid="{00000000-0005-0000-0000-00007C000000}"/>
    <cellStyle name="20% - Accent3 41" xfId="129" xr:uid="{00000000-0005-0000-0000-00007D000000}"/>
    <cellStyle name="20% - Accent3 42" xfId="130" xr:uid="{00000000-0005-0000-0000-00007E000000}"/>
    <cellStyle name="20% - Accent3 5" xfId="131" xr:uid="{00000000-0005-0000-0000-00007F000000}"/>
    <cellStyle name="20% - Accent3 6" xfId="132" xr:uid="{00000000-0005-0000-0000-000080000000}"/>
    <cellStyle name="20% - Accent3 7" xfId="133" xr:uid="{00000000-0005-0000-0000-000081000000}"/>
    <cellStyle name="20% - Accent3 8" xfId="134" xr:uid="{00000000-0005-0000-0000-000082000000}"/>
    <cellStyle name="20% - Accent3 9" xfId="135" xr:uid="{00000000-0005-0000-0000-000083000000}"/>
    <cellStyle name="20% - Accent4 10" xfId="136" xr:uid="{00000000-0005-0000-0000-000084000000}"/>
    <cellStyle name="20% - Accent4 11" xfId="137" xr:uid="{00000000-0005-0000-0000-000085000000}"/>
    <cellStyle name="20% - Accent4 12" xfId="138" xr:uid="{00000000-0005-0000-0000-000086000000}"/>
    <cellStyle name="20% - Accent4 13" xfId="139" xr:uid="{00000000-0005-0000-0000-000087000000}"/>
    <cellStyle name="20% - Accent4 14" xfId="140" xr:uid="{00000000-0005-0000-0000-000088000000}"/>
    <cellStyle name="20% - Accent4 15" xfId="141" xr:uid="{00000000-0005-0000-0000-000089000000}"/>
    <cellStyle name="20% - Accent4 16" xfId="142" xr:uid="{00000000-0005-0000-0000-00008A000000}"/>
    <cellStyle name="20% - Accent4 17" xfId="143" xr:uid="{00000000-0005-0000-0000-00008B000000}"/>
    <cellStyle name="20% - Accent4 18" xfId="144" xr:uid="{00000000-0005-0000-0000-00008C000000}"/>
    <cellStyle name="20% - Accent4 19" xfId="145" xr:uid="{00000000-0005-0000-0000-00008D000000}"/>
    <cellStyle name="20% - Accent4 2" xfId="146" xr:uid="{00000000-0005-0000-0000-00008E000000}"/>
    <cellStyle name="20% - Accent4 2 2" xfId="147" xr:uid="{00000000-0005-0000-0000-00008F000000}"/>
    <cellStyle name="20% - Accent4 20" xfId="148" xr:uid="{00000000-0005-0000-0000-000090000000}"/>
    <cellStyle name="20% - Accent4 21" xfId="149" xr:uid="{00000000-0005-0000-0000-000091000000}"/>
    <cellStyle name="20% - Accent4 22" xfId="150" xr:uid="{00000000-0005-0000-0000-000092000000}"/>
    <cellStyle name="20% - Accent4 23" xfId="151" xr:uid="{00000000-0005-0000-0000-000093000000}"/>
    <cellStyle name="20% - Accent4 24" xfId="152" xr:uid="{00000000-0005-0000-0000-000094000000}"/>
    <cellStyle name="20% - Accent4 25" xfId="153" xr:uid="{00000000-0005-0000-0000-000095000000}"/>
    <cellStyle name="20% - Accent4 26" xfId="154" xr:uid="{00000000-0005-0000-0000-000096000000}"/>
    <cellStyle name="20% - Accent4 27" xfId="155" xr:uid="{00000000-0005-0000-0000-000097000000}"/>
    <cellStyle name="20% - Accent4 28" xfId="156" xr:uid="{00000000-0005-0000-0000-000098000000}"/>
    <cellStyle name="20% - Accent4 29" xfId="157" xr:uid="{00000000-0005-0000-0000-000099000000}"/>
    <cellStyle name="20% - Accent4 3" xfId="158" xr:uid="{00000000-0005-0000-0000-00009A000000}"/>
    <cellStyle name="20% - Accent4 3 2" xfId="159" xr:uid="{00000000-0005-0000-0000-00009B000000}"/>
    <cellStyle name="20% - Accent4 3 3" xfId="160" xr:uid="{00000000-0005-0000-0000-00009C000000}"/>
    <cellStyle name="20% - Accent4 30" xfId="161" xr:uid="{00000000-0005-0000-0000-00009D000000}"/>
    <cellStyle name="20% - Accent4 31" xfId="162" xr:uid="{00000000-0005-0000-0000-00009E000000}"/>
    <cellStyle name="20% - Accent4 32" xfId="163" xr:uid="{00000000-0005-0000-0000-00009F000000}"/>
    <cellStyle name="20% - Accent4 33" xfId="164" xr:uid="{00000000-0005-0000-0000-0000A0000000}"/>
    <cellStyle name="20% - Accent4 34" xfId="165" xr:uid="{00000000-0005-0000-0000-0000A1000000}"/>
    <cellStyle name="20% - Accent4 35" xfId="166" xr:uid="{00000000-0005-0000-0000-0000A2000000}"/>
    <cellStyle name="20% - Accent4 36" xfId="167" xr:uid="{00000000-0005-0000-0000-0000A3000000}"/>
    <cellStyle name="20% - Accent4 37" xfId="168" xr:uid="{00000000-0005-0000-0000-0000A4000000}"/>
    <cellStyle name="20% - Accent4 38" xfId="169" xr:uid="{00000000-0005-0000-0000-0000A5000000}"/>
    <cellStyle name="20% - Accent4 39" xfId="170" xr:uid="{00000000-0005-0000-0000-0000A6000000}"/>
    <cellStyle name="20% - Accent4 4" xfId="171" xr:uid="{00000000-0005-0000-0000-0000A7000000}"/>
    <cellStyle name="20% - Accent4 40" xfId="172" xr:uid="{00000000-0005-0000-0000-0000A8000000}"/>
    <cellStyle name="20% - Accent4 41" xfId="173" xr:uid="{00000000-0005-0000-0000-0000A9000000}"/>
    <cellStyle name="20% - Accent4 42" xfId="174" xr:uid="{00000000-0005-0000-0000-0000AA000000}"/>
    <cellStyle name="20% - Accent4 5" xfId="175" xr:uid="{00000000-0005-0000-0000-0000AB000000}"/>
    <cellStyle name="20% - Accent4 6" xfId="176" xr:uid="{00000000-0005-0000-0000-0000AC000000}"/>
    <cellStyle name="20% - Accent4 7" xfId="177" xr:uid="{00000000-0005-0000-0000-0000AD000000}"/>
    <cellStyle name="20% - Accent4 8" xfId="178" xr:uid="{00000000-0005-0000-0000-0000AE000000}"/>
    <cellStyle name="20% - Accent4 9" xfId="179" xr:uid="{00000000-0005-0000-0000-0000AF000000}"/>
    <cellStyle name="20% - Accent5 10" xfId="180" xr:uid="{00000000-0005-0000-0000-0000B0000000}"/>
    <cellStyle name="20% - Accent5 11" xfId="181" xr:uid="{00000000-0005-0000-0000-0000B1000000}"/>
    <cellStyle name="20% - Accent5 12" xfId="182" xr:uid="{00000000-0005-0000-0000-0000B2000000}"/>
    <cellStyle name="20% - Accent5 13" xfId="183" xr:uid="{00000000-0005-0000-0000-0000B3000000}"/>
    <cellStyle name="20% - Accent5 14" xfId="184" xr:uid="{00000000-0005-0000-0000-0000B4000000}"/>
    <cellStyle name="20% - Accent5 15" xfId="185" xr:uid="{00000000-0005-0000-0000-0000B5000000}"/>
    <cellStyle name="20% - Accent5 16" xfId="186" xr:uid="{00000000-0005-0000-0000-0000B6000000}"/>
    <cellStyle name="20% - Accent5 17" xfId="187" xr:uid="{00000000-0005-0000-0000-0000B7000000}"/>
    <cellStyle name="20% - Accent5 18" xfId="188" xr:uid="{00000000-0005-0000-0000-0000B8000000}"/>
    <cellStyle name="20% - Accent5 19" xfId="189" xr:uid="{00000000-0005-0000-0000-0000B9000000}"/>
    <cellStyle name="20% - Accent5 2" xfId="190" xr:uid="{00000000-0005-0000-0000-0000BA000000}"/>
    <cellStyle name="20% - Accent5 20" xfId="191" xr:uid="{00000000-0005-0000-0000-0000BB000000}"/>
    <cellStyle name="20% - Accent5 21" xfId="192" xr:uid="{00000000-0005-0000-0000-0000BC000000}"/>
    <cellStyle name="20% - Accent5 22" xfId="193" xr:uid="{00000000-0005-0000-0000-0000BD000000}"/>
    <cellStyle name="20% - Accent5 23" xfId="194" xr:uid="{00000000-0005-0000-0000-0000BE000000}"/>
    <cellStyle name="20% - Accent5 24" xfId="195" xr:uid="{00000000-0005-0000-0000-0000BF000000}"/>
    <cellStyle name="20% - Accent5 25" xfId="196" xr:uid="{00000000-0005-0000-0000-0000C0000000}"/>
    <cellStyle name="20% - Accent5 26" xfId="197" xr:uid="{00000000-0005-0000-0000-0000C1000000}"/>
    <cellStyle name="20% - Accent5 27" xfId="198" xr:uid="{00000000-0005-0000-0000-0000C2000000}"/>
    <cellStyle name="20% - Accent5 28" xfId="199" xr:uid="{00000000-0005-0000-0000-0000C3000000}"/>
    <cellStyle name="20% - Accent5 29" xfId="200" xr:uid="{00000000-0005-0000-0000-0000C4000000}"/>
    <cellStyle name="20% - Accent5 3" xfId="201" xr:uid="{00000000-0005-0000-0000-0000C5000000}"/>
    <cellStyle name="20% - Accent5 3 2" xfId="202" xr:uid="{00000000-0005-0000-0000-0000C6000000}"/>
    <cellStyle name="20% - Accent5 3 3" xfId="203" xr:uid="{00000000-0005-0000-0000-0000C7000000}"/>
    <cellStyle name="20% - Accent5 30" xfId="204" xr:uid="{00000000-0005-0000-0000-0000C8000000}"/>
    <cellStyle name="20% - Accent5 31" xfId="205" xr:uid="{00000000-0005-0000-0000-0000C9000000}"/>
    <cellStyle name="20% - Accent5 32" xfId="206" xr:uid="{00000000-0005-0000-0000-0000CA000000}"/>
    <cellStyle name="20% - Accent5 33" xfId="207" xr:uid="{00000000-0005-0000-0000-0000CB000000}"/>
    <cellStyle name="20% - Accent5 34" xfId="208" xr:uid="{00000000-0005-0000-0000-0000CC000000}"/>
    <cellStyle name="20% - Accent5 35" xfId="209" xr:uid="{00000000-0005-0000-0000-0000CD000000}"/>
    <cellStyle name="20% - Accent5 36" xfId="210" xr:uid="{00000000-0005-0000-0000-0000CE000000}"/>
    <cellStyle name="20% - Accent5 37" xfId="211" xr:uid="{00000000-0005-0000-0000-0000CF000000}"/>
    <cellStyle name="20% - Accent5 38" xfId="212" xr:uid="{00000000-0005-0000-0000-0000D0000000}"/>
    <cellStyle name="20% - Accent5 39" xfId="213" xr:uid="{00000000-0005-0000-0000-0000D1000000}"/>
    <cellStyle name="20% - Accent5 4" xfId="214" xr:uid="{00000000-0005-0000-0000-0000D2000000}"/>
    <cellStyle name="20% - Accent5 40" xfId="215" xr:uid="{00000000-0005-0000-0000-0000D3000000}"/>
    <cellStyle name="20% - Accent5 41" xfId="216" xr:uid="{00000000-0005-0000-0000-0000D4000000}"/>
    <cellStyle name="20% - Accent5 42" xfId="217" xr:uid="{00000000-0005-0000-0000-0000D5000000}"/>
    <cellStyle name="20% - Accent5 5" xfId="218" xr:uid="{00000000-0005-0000-0000-0000D6000000}"/>
    <cellStyle name="20% - Accent5 6" xfId="219" xr:uid="{00000000-0005-0000-0000-0000D7000000}"/>
    <cellStyle name="20% - Accent5 7" xfId="220" xr:uid="{00000000-0005-0000-0000-0000D8000000}"/>
    <cellStyle name="20% - Accent5 8" xfId="221" xr:uid="{00000000-0005-0000-0000-0000D9000000}"/>
    <cellStyle name="20% - Accent5 9" xfId="222" xr:uid="{00000000-0005-0000-0000-0000DA000000}"/>
    <cellStyle name="20% - Accent6 10" xfId="223" xr:uid="{00000000-0005-0000-0000-0000DB000000}"/>
    <cellStyle name="20% - Accent6 11" xfId="224" xr:uid="{00000000-0005-0000-0000-0000DC000000}"/>
    <cellStyle name="20% - Accent6 12" xfId="225" xr:uid="{00000000-0005-0000-0000-0000DD000000}"/>
    <cellStyle name="20% - Accent6 13" xfId="226" xr:uid="{00000000-0005-0000-0000-0000DE000000}"/>
    <cellStyle name="20% - Accent6 14" xfId="227" xr:uid="{00000000-0005-0000-0000-0000DF000000}"/>
    <cellStyle name="20% - Accent6 15" xfId="228" xr:uid="{00000000-0005-0000-0000-0000E0000000}"/>
    <cellStyle name="20% - Accent6 16" xfId="229" xr:uid="{00000000-0005-0000-0000-0000E1000000}"/>
    <cellStyle name="20% - Accent6 17" xfId="230" xr:uid="{00000000-0005-0000-0000-0000E2000000}"/>
    <cellStyle name="20% - Accent6 18" xfId="231" xr:uid="{00000000-0005-0000-0000-0000E3000000}"/>
    <cellStyle name="20% - Accent6 19" xfId="232" xr:uid="{00000000-0005-0000-0000-0000E4000000}"/>
    <cellStyle name="20% - Accent6 2" xfId="233" xr:uid="{00000000-0005-0000-0000-0000E5000000}"/>
    <cellStyle name="20% - Accent6 2 2" xfId="234" xr:uid="{00000000-0005-0000-0000-0000E6000000}"/>
    <cellStyle name="20% - Accent6 20" xfId="235" xr:uid="{00000000-0005-0000-0000-0000E7000000}"/>
    <cellStyle name="20% - Accent6 21" xfId="236" xr:uid="{00000000-0005-0000-0000-0000E8000000}"/>
    <cellStyle name="20% - Accent6 22" xfId="237" xr:uid="{00000000-0005-0000-0000-0000E9000000}"/>
    <cellStyle name="20% - Accent6 23" xfId="238" xr:uid="{00000000-0005-0000-0000-0000EA000000}"/>
    <cellStyle name="20% - Accent6 24" xfId="239" xr:uid="{00000000-0005-0000-0000-0000EB000000}"/>
    <cellStyle name="20% - Accent6 25" xfId="240" xr:uid="{00000000-0005-0000-0000-0000EC000000}"/>
    <cellStyle name="20% - Accent6 26" xfId="241" xr:uid="{00000000-0005-0000-0000-0000ED000000}"/>
    <cellStyle name="20% - Accent6 27" xfId="242" xr:uid="{00000000-0005-0000-0000-0000EE000000}"/>
    <cellStyle name="20% - Accent6 28" xfId="243" xr:uid="{00000000-0005-0000-0000-0000EF000000}"/>
    <cellStyle name="20% - Accent6 29" xfId="244" xr:uid="{00000000-0005-0000-0000-0000F0000000}"/>
    <cellStyle name="20% - Accent6 3" xfId="245" xr:uid="{00000000-0005-0000-0000-0000F1000000}"/>
    <cellStyle name="20% - Accent6 3 2" xfId="246" xr:uid="{00000000-0005-0000-0000-0000F2000000}"/>
    <cellStyle name="20% - Accent6 3 3" xfId="247" xr:uid="{00000000-0005-0000-0000-0000F3000000}"/>
    <cellStyle name="20% - Accent6 30" xfId="248" xr:uid="{00000000-0005-0000-0000-0000F4000000}"/>
    <cellStyle name="20% - Accent6 31" xfId="249" xr:uid="{00000000-0005-0000-0000-0000F5000000}"/>
    <cellStyle name="20% - Accent6 32" xfId="250" xr:uid="{00000000-0005-0000-0000-0000F6000000}"/>
    <cellStyle name="20% - Accent6 33" xfId="251" xr:uid="{00000000-0005-0000-0000-0000F7000000}"/>
    <cellStyle name="20% - Accent6 34" xfId="252" xr:uid="{00000000-0005-0000-0000-0000F8000000}"/>
    <cellStyle name="20% - Accent6 35" xfId="253" xr:uid="{00000000-0005-0000-0000-0000F9000000}"/>
    <cellStyle name="20% - Accent6 36" xfId="254" xr:uid="{00000000-0005-0000-0000-0000FA000000}"/>
    <cellStyle name="20% - Accent6 37" xfId="255" xr:uid="{00000000-0005-0000-0000-0000FB000000}"/>
    <cellStyle name="20% - Accent6 38" xfId="256" xr:uid="{00000000-0005-0000-0000-0000FC000000}"/>
    <cellStyle name="20% - Accent6 39" xfId="257" xr:uid="{00000000-0005-0000-0000-0000FD000000}"/>
    <cellStyle name="20% - Accent6 4" xfId="258" xr:uid="{00000000-0005-0000-0000-0000FE000000}"/>
    <cellStyle name="20% - Accent6 40" xfId="259" xr:uid="{00000000-0005-0000-0000-0000FF000000}"/>
    <cellStyle name="20% - Accent6 41" xfId="260" xr:uid="{00000000-0005-0000-0000-000000010000}"/>
    <cellStyle name="20% - Accent6 42" xfId="261" xr:uid="{00000000-0005-0000-0000-000001010000}"/>
    <cellStyle name="20% - Accent6 5" xfId="262" xr:uid="{00000000-0005-0000-0000-000002010000}"/>
    <cellStyle name="20% - Accent6 6" xfId="263" xr:uid="{00000000-0005-0000-0000-000003010000}"/>
    <cellStyle name="20% - Accent6 7" xfId="264" xr:uid="{00000000-0005-0000-0000-000004010000}"/>
    <cellStyle name="20% - Accent6 8" xfId="265" xr:uid="{00000000-0005-0000-0000-000005010000}"/>
    <cellStyle name="20% - Accent6 9" xfId="266" xr:uid="{00000000-0005-0000-0000-000006010000}"/>
    <cellStyle name="3" xfId="267" xr:uid="{00000000-0005-0000-0000-000007010000}"/>
    <cellStyle name="40% - Accent1 10" xfId="268" xr:uid="{00000000-0005-0000-0000-000008010000}"/>
    <cellStyle name="40% - Accent1 11" xfId="269" xr:uid="{00000000-0005-0000-0000-000009010000}"/>
    <cellStyle name="40% - Accent1 12" xfId="270" xr:uid="{00000000-0005-0000-0000-00000A010000}"/>
    <cellStyle name="40% - Accent1 13" xfId="271" xr:uid="{00000000-0005-0000-0000-00000B010000}"/>
    <cellStyle name="40% - Accent1 14" xfId="272" xr:uid="{00000000-0005-0000-0000-00000C010000}"/>
    <cellStyle name="40% - Accent1 15" xfId="273" xr:uid="{00000000-0005-0000-0000-00000D010000}"/>
    <cellStyle name="40% - Accent1 16" xfId="274" xr:uid="{00000000-0005-0000-0000-00000E010000}"/>
    <cellStyle name="40% - Accent1 17" xfId="275" xr:uid="{00000000-0005-0000-0000-00000F010000}"/>
    <cellStyle name="40% - Accent1 18" xfId="276" xr:uid="{00000000-0005-0000-0000-000010010000}"/>
    <cellStyle name="40% - Accent1 19" xfId="277" xr:uid="{00000000-0005-0000-0000-000011010000}"/>
    <cellStyle name="40% - Accent1 2" xfId="278" xr:uid="{00000000-0005-0000-0000-000012010000}"/>
    <cellStyle name="40% - Accent1 2 2" xfId="279" xr:uid="{00000000-0005-0000-0000-000013010000}"/>
    <cellStyle name="40% - Accent1 20" xfId="280" xr:uid="{00000000-0005-0000-0000-000014010000}"/>
    <cellStyle name="40% - Accent1 21" xfId="281" xr:uid="{00000000-0005-0000-0000-000015010000}"/>
    <cellStyle name="40% - Accent1 22" xfId="282" xr:uid="{00000000-0005-0000-0000-000016010000}"/>
    <cellStyle name="40% - Accent1 23" xfId="283" xr:uid="{00000000-0005-0000-0000-000017010000}"/>
    <cellStyle name="40% - Accent1 24" xfId="284" xr:uid="{00000000-0005-0000-0000-000018010000}"/>
    <cellStyle name="40% - Accent1 25" xfId="285" xr:uid="{00000000-0005-0000-0000-000019010000}"/>
    <cellStyle name="40% - Accent1 26" xfId="286" xr:uid="{00000000-0005-0000-0000-00001A010000}"/>
    <cellStyle name="40% - Accent1 27" xfId="287" xr:uid="{00000000-0005-0000-0000-00001B010000}"/>
    <cellStyle name="40% - Accent1 28" xfId="288" xr:uid="{00000000-0005-0000-0000-00001C010000}"/>
    <cellStyle name="40% - Accent1 29" xfId="289" xr:uid="{00000000-0005-0000-0000-00001D010000}"/>
    <cellStyle name="40% - Accent1 3" xfId="290" xr:uid="{00000000-0005-0000-0000-00001E010000}"/>
    <cellStyle name="40% - Accent1 3 2" xfId="291" xr:uid="{00000000-0005-0000-0000-00001F010000}"/>
    <cellStyle name="40% - Accent1 3 3" xfId="292" xr:uid="{00000000-0005-0000-0000-000020010000}"/>
    <cellStyle name="40% - Accent1 30" xfId="293" xr:uid="{00000000-0005-0000-0000-000021010000}"/>
    <cellStyle name="40% - Accent1 31" xfId="294" xr:uid="{00000000-0005-0000-0000-000022010000}"/>
    <cellStyle name="40% - Accent1 32" xfId="295" xr:uid="{00000000-0005-0000-0000-000023010000}"/>
    <cellStyle name="40% - Accent1 33" xfId="296" xr:uid="{00000000-0005-0000-0000-000024010000}"/>
    <cellStyle name="40% - Accent1 34" xfId="297" xr:uid="{00000000-0005-0000-0000-000025010000}"/>
    <cellStyle name="40% - Accent1 35" xfId="298" xr:uid="{00000000-0005-0000-0000-000026010000}"/>
    <cellStyle name="40% - Accent1 36" xfId="299" xr:uid="{00000000-0005-0000-0000-000027010000}"/>
    <cellStyle name="40% - Accent1 37" xfId="300" xr:uid="{00000000-0005-0000-0000-000028010000}"/>
    <cellStyle name="40% - Accent1 38" xfId="301" xr:uid="{00000000-0005-0000-0000-000029010000}"/>
    <cellStyle name="40% - Accent1 39" xfId="302" xr:uid="{00000000-0005-0000-0000-00002A010000}"/>
    <cellStyle name="40% - Accent1 4" xfId="303" xr:uid="{00000000-0005-0000-0000-00002B010000}"/>
    <cellStyle name="40% - Accent1 40" xfId="304" xr:uid="{00000000-0005-0000-0000-00002C010000}"/>
    <cellStyle name="40% - Accent1 41" xfId="305" xr:uid="{00000000-0005-0000-0000-00002D010000}"/>
    <cellStyle name="40% - Accent1 42" xfId="306" xr:uid="{00000000-0005-0000-0000-00002E010000}"/>
    <cellStyle name="40% - Accent1 5" xfId="307" xr:uid="{00000000-0005-0000-0000-00002F010000}"/>
    <cellStyle name="40% - Accent1 6" xfId="308" xr:uid="{00000000-0005-0000-0000-000030010000}"/>
    <cellStyle name="40% - Accent1 7" xfId="309" xr:uid="{00000000-0005-0000-0000-000031010000}"/>
    <cellStyle name="40% - Accent1 8" xfId="310" xr:uid="{00000000-0005-0000-0000-000032010000}"/>
    <cellStyle name="40% - Accent1 9" xfId="311" xr:uid="{00000000-0005-0000-0000-000033010000}"/>
    <cellStyle name="40% - Accent2 10" xfId="312" xr:uid="{00000000-0005-0000-0000-000034010000}"/>
    <cellStyle name="40% - Accent2 11" xfId="313" xr:uid="{00000000-0005-0000-0000-000035010000}"/>
    <cellStyle name="40% - Accent2 12" xfId="314" xr:uid="{00000000-0005-0000-0000-000036010000}"/>
    <cellStyle name="40% - Accent2 13" xfId="315" xr:uid="{00000000-0005-0000-0000-000037010000}"/>
    <cellStyle name="40% - Accent2 14" xfId="316" xr:uid="{00000000-0005-0000-0000-000038010000}"/>
    <cellStyle name="40% - Accent2 15" xfId="317" xr:uid="{00000000-0005-0000-0000-000039010000}"/>
    <cellStyle name="40% - Accent2 16" xfId="318" xr:uid="{00000000-0005-0000-0000-00003A010000}"/>
    <cellStyle name="40% - Accent2 17" xfId="319" xr:uid="{00000000-0005-0000-0000-00003B010000}"/>
    <cellStyle name="40% - Accent2 18" xfId="320" xr:uid="{00000000-0005-0000-0000-00003C010000}"/>
    <cellStyle name="40% - Accent2 19" xfId="321" xr:uid="{00000000-0005-0000-0000-00003D010000}"/>
    <cellStyle name="40% - Accent2 2" xfId="322" xr:uid="{00000000-0005-0000-0000-00003E010000}"/>
    <cellStyle name="40% - Accent2 20" xfId="323" xr:uid="{00000000-0005-0000-0000-00003F010000}"/>
    <cellStyle name="40% - Accent2 21" xfId="324" xr:uid="{00000000-0005-0000-0000-000040010000}"/>
    <cellStyle name="40% - Accent2 22" xfId="325" xr:uid="{00000000-0005-0000-0000-000041010000}"/>
    <cellStyle name="40% - Accent2 23" xfId="326" xr:uid="{00000000-0005-0000-0000-000042010000}"/>
    <cellStyle name="40% - Accent2 24" xfId="327" xr:uid="{00000000-0005-0000-0000-000043010000}"/>
    <cellStyle name="40% - Accent2 25" xfId="328" xr:uid="{00000000-0005-0000-0000-000044010000}"/>
    <cellStyle name="40% - Accent2 26" xfId="329" xr:uid="{00000000-0005-0000-0000-000045010000}"/>
    <cellStyle name="40% - Accent2 27" xfId="330" xr:uid="{00000000-0005-0000-0000-000046010000}"/>
    <cellStyle name="40% - Accent2 28" xfId="331" xr:uid="{00000000-0005-0000-0000-000047010000}"/>
    <cellStyle name="40% - Accent2 29" xfId="332" xr:uid="{00000000-0005-0000-0000-000048010000}"/>
    <cellStyle name="40% - Accent2 3" xfId="333" xr:uid="{00000000-0005-0000-0000-000049010000}"/>
    <cellStyle name="40% - Accent2 3 2" xfId="334" xr:uid="{00000000-0005-0000-0000-00004A010000}"/>
    <cellStyle name="40% - Accent2 3 3" xfId="335" xr:uid="{00000000-0005-0000-0000-00004B010000}"/>
    <cellStyle name="40% - Accent2 30" xfId="336" xr:uid="{00000000-0005-0000-0000-00004C010000}"/>
    <cellStyle name="40% - Accent2 31" xfId="337" xr:uid="{00000000-0005-0000-0000-00004D010000}"/>
    <cellStyle name="40% - Accent2 32" xfId="338" xr:uid="{00000000-0005-0000-0000-00004E010000}"/>
    <cellStyle name="40% - Accent2 33" xfId="339" xr:uid="{00000000-0005-0000-0000-00004F010000}"/>
    <cellStyle name="40% - Accent2 34" xfId="340" xr:uid="{00000000-0005-0000-0000-000050010000}"/>
    <cellStyle name="40% - Accent2 35" xfId="341" xr:uid="{00000000-0005-0000-0000-000051010000}"/>
    <cellStyle name="40% - Accent2 36" xfId="342" xr:uid="{00000000-0005-0000-0000-000052010000}"/>
    <cellStyle name="40% - Accent2 37" xfId="343" xr:uid="{00000000-0005-0000-0000-000053010000}"/>
    <cellStyle name="40% - Accent2 38" xfId="344" xr:uid="{00000000-0005-0000-0000-000054010000}"/>
    <cellStyle name="40% - Accent2 39" xfId="345" xr:uid="{00000000-0005-0000-0000-000055010000}"/>
    <cellStyle name="40% - Accent2 4" xfId="346" xr:uid="{00000000-0005-0000-0000-000056010000}"/>
    <cellStyle name="40% - Accent2 40" xfId="347" xr:uid="{00000000-0005-0000-0000-000057010000}"/>
    <cellStyle name="40% - Accent2 41" xfId="348" xr:uid="{00000000-0005-0000-0000-000058010000}"/>
    <cellStyle name="40% - Accent2 42" xfId="349" xr:uid="{00000000-0005-0000-0000-000059010000}"/>
    <cellStyle name="40% - Accent2 5" xfId="350" xr:uid="{00000000-0005-0000-0000-00005A010000}"/>
    <cellStyle name="40% - Accent2 6" xfId="351" xr:uid="{00000000-0005-0000-0000-00005B010000}"/>
    <cellStyle name="40% - Accent2 7" xfId="352" xr:uid="{00000000-0005-0000-0000-00005C010000}"/>
    <cellStyle name="40% - Accent2 8" xfId="353" xr:uid="{00000000-0005-0000-0000-00005D010000}"/>
    <cellStyle name="40% - Accent2 9" xfId="354" xr:uid="{00000000-0005-0000-0000-00005E010000}"/>
    <cellStyle name="40% - Accent3 10" xfId="355" xr:uid="{00000000-0005-0000-0000-00005F010000}"/>
    <cellStyle name="40% - Accent3 11" xfId="356" xr:uid="{00000000-0005-0000-0000-000060010000}"/>
    <cellStyle name="40% - Accent3 12" xfId="357" xr:uid="{00000000-0005-0000-0000-000061010000}"/>
    <cellStyle name="40% - Accent3 13" xfId="358" xr:uid="{00000000-0005-0000-0000-000062010000}"/>
    <cellStyle name="40% - Accent3 14" xfId="359" xr:uid="{00000000-0005-0000-0000-000063010000}"/>
    <cellStyle name="40% - Accent3 15" xfId="360" xr:uid="{00000000-0005-0000-0000-000064010000}"/>
    <cellStyle name="40% - Accent3 16" xfId="361" xr:uid="{00000000-0005-0000-0000-000065010000}"/>
    <cellStyle name="40% - Accent3 17" xfId="362" xr:uid="{00000000-0005-0000-0000-000066010000}"/>
    <cellStyle name="40% - Accent3 18" xfId="363" xr:uid="{00000000-0005-0000-0000-000067010000}"/>
    <cellStyle name="40% - Accent3 19" xfId="364" xr:uid="{00000000-0005-0000-0000-000068010000}"/>
    <cellStyle name="40% - Accent3 2" xfId="365" xr:uid="{00000000-0005-0000-0000-000069010000}"/>
    <cellStyle name="40% - Accent3 2 2" xfId="366" xr:uid="{00000000-0005-0000-0000-00006A010000}"/>
    <cellStyle name="40% - Accent3 20" xfId="367" xr:uid="{00000000-0005-0000-0000-00006B010000}"/>
    <cellStyle name="40% - Accent3 21" xfId="368" xr:uid="{00000000-0005-0000-0000-00006C010000}"/>
    <cellStyle name="40% - Accent3 22" xfId="369" xr:uid="{00000000-0005-0000-0000-00006D010000}"/>
    <cellStyle name="40% - Accent3 23" xfId="370" xr:uid="{00000000-0005-0000-0000-00006E010000}"/>
    <cellStyle name="40% - Accent3 24" xfId="371" xr:uid="{00000000-0005-0000-0000-00006F010000}"/>
    <cellStyle name="40% - Accent3 25" xfId="372" xr:uid="{00000000-0005-0000-0000-000070010000}"/>
    <cellStyle name="40% - Accent3 26" xfId="373" xr:uid="{00000000-0005-0000-0000-000071010000}"/>
    <cellStyle name="40% - Accent3 27" xfId="374" xr:uid="{00000000-0005-0000-0000-000072010000}"/>
    <cellStyle name="40% - Accent3 28" xfId="375" xr:uid="{00000000-0005-0000-0000-000073010000}"/>
    <cellStyle name="40% - Accent3 29" xfId="376" xr:uid="{00000000-0005-0000-0000-000074010000}"/>
    <cellStyle name="40% - Accent3 3" xfId="377" xr:uid="{00000000-0005-0000-0000-000075010000}"/>
    <cellStyle name="40% - Accent3 3 2" xfId="378" xr:uid="{00000000-0005-0000-0000-000076010000}"/>
    <cellStyle name="40% - Accent3 3 3" xfId="379" xr:uid="{00000000-0005-0000-0000-000077010000}"/>
    <cellStyle name="40% - Accent3 30" xfId="380" xr:uid="{00000000-0005-0000-0000-000078010000}"/>
    <cellStyle name="40% - Accent3 31" xfId="381" xr:uid="{00000000-0005-0000-0000-000079010000}"/>
    <cellStyle name="40% - Accent3 32" xfId="382" xr:uid="{00000000-0005-0000-0000-00007A010000}"/>
    <cellStyle name="40% - Accent3 33" xfId="383" xr:uid="{00000000-0005-0000-0000-00007B010000}"/>
    <cellStyle name="40% - Accent3 34" xfId="384" xr:uid="{00000000-0005-0000-0000-00007C010000}"/>
    <cellStyle name="40% - Accent3 35" xfId="385" xr:uid="{00000000-0005-0000-0000-00007D010000}"/>
    <cellStyle name="40% - Accent3 36" xfId="386" xr:uid="{00000000-0005-0000-0000-00007E010000}"/>
    <cellStyle name="40% - Accent3 37" xfId="387" xr:uid="{00000000-0005-0000-0000-00007F010000}"/>
    <cellStyle name="40% - Accent3 38" xfId="388" xr:uid="{00000000-0005-0000-0000-000080010000}"/>
    <cellStyle name="40% - Accent3 39" xfId="389" xr:uid="{00000000-0005-0000-0000-000081010000}"/>
    <cellStyle name="40% - Accent3 4" xfId="390" xr:uid="{00000000-0005-0000-0000-000082010000}"/>
    <cellStyle name="40% - Accent3 40" xfId="391" xr:uid="{00000000-0005-0000-0000-000083010000}"/>
    <cellStyle name="40% - Accent3 41" xfId="392" xr:uid="{00000000-0005-0000-0000-000084010000}"/>
    <cellStyle name="40% - Accent3 42" xfId="393" xr:uid="{00000000-0005-0000-0000-000085010000}"/>
    <cellStyle name="40% - Accent3 5" xfId="394" xr:uid="{00000000-0005-0000-0000-000086010000}"/>
    <cellStyle name="40% - Accent3 6" xfId="395" xr:uid="{00000000-0005-0000-0000-000087010000}"/>
    <cellStyle name="40% - Accent3 7" xfId="396" xr:uid="{00000000-0005-0000-0000-000088010000}"/>
    <cellStyle name="40% - Accent3 8" xfId="397" xr:uid="{00000000-0005-0000-0000-000089010000}"/>
    <cellStyle name="40% - Accent3 9" xfId="398" xr:uid="{00000000-0005-0000-0000-00008A010000}"/>
    <cellStyle name="40% - Accent4 10" xfId="399" xr:uid="{00000000-0005-0000-0000-00008B010000}"/>
    <cellStyle name="40% - Accent4 11" xfId="400" xr:uid="{00000000-0005-0000-0000-00008C010000}"/>
    <cellStyle name="40% - Accent4 12" xfId="401" xr:uid="{00000000-0005-0000-0000-00008D010000}"/>
    <cellStyle name="40% - Accent4 13" xfId="402" xr:uid="{00000000-0005-0000-0000-00008E010000}"/>
    <cellStyle name="40% - Accent4 14" xfId="403" xr:uid="{00000000-0005-0000-0000-00008F010000}"/>
    <cellStyle name="40% - Accent4 15" xfId="404" xr:uid="{00000000-0005-0000-0000-000090010000}"/>
    <cellStyle name="40% - Accent4 16" xfId="405" xr:uid="{00000000-0005-0000-0000-000091010000}"/>
    <cellStyle name="40% - Accent4 17" xfId="406" xr:uid="{00000000-0005-0000-0000-000092010000}"/>
    <cellStyle name="40% - Accent4 18" xfId="407" xr:uid="{00000000-0005-0000-0000-000093010000}"/>
    <cellStyle name="40% - Accent4 19" xfId="408" xr:uid="{00000000-0005-0000-0000-000094010000}"/>
    <cellStyle name="40% - Accent4 2" xfId="409" xr:uid="{00000000-0005-0000-0000-000095010000}"/>
    <cellStyle name="40% - Accent4 2 2" xfId="410" xr:uid="{00000000-0005-0000-0000-000096010000}"/>
    <cellStyle name="40% - Accent4 20" xfId="411" xr:uid="{00000000-0005-0000-0000-000097010000}"/>
    <cellStyle name="40% - Accent4 21" xfId="412" xr:uid="{00000000-0005-0000-0000-000098010000}"/>
    <cellStyle name="40% - Accent4 22" xfId="413" xr:uid="{00000000-0005-0000-0000-000099010000}"/>
    <cellStyle name="40% - Accent4 23" xfId="414" xr:uid="{00000000-0005-0000-0000-00009A010000}"/>
    <cellStyle name="40% - Accent4 24" xfId="415" xr:uid="{00000000-0005-0000-0000-00009B010000}"/>
    <cellStyle name="40% - Accent4 25" xfId="416" xr:uid="{00000000-0005-0000-0000-00009C010000}"/>
    <cellStyle name="40% - Accent4 26" xfId="417" xr:uid="{00000000-0005-0000-0000-00009D010000}"/>
    <cellStyle name="40% - Accent4 27" xfId="418" xr:uid="{00000000-0005-0000-0000-00009E010000}"/>
    <cellStyle name="40% - Accent4 28" xfId="419" xr:uid="{00000000-0005-0000-0000-00009F010000}"/>
    <cellStyle name="40% - Accent4 29" xfId="420" xr:uid="{00000000-0005-0000-0000-0000A0010000}"/>
    <cellStyle name="40% - Accent4 3" xfId="421" xr:uid="{00000000-0005-0000-0000-0000A1010000}"/>
    <cellStyle name="40% - Accent4 3 2" xfId="422" xr:uid="{00000000-0005-0000-0000-0000A2010000}"/>
    <cellStyle name="40% - Accent4 3 3" xfId="423" xr:uid="{00000000-0005-0000-0000-0000A3010000}"/>
    <cellStyle name="40% - Accent4 30" xfId="424" xr:uid="{00000000-0005-0000-0000-0000A4010000}"/>
    <cellStyle name="40% - Accent4 31" xfId="425" xr:uid="{00000000-0005-0000-0000-0000A5010000}"/>
    <cellStyle name="40% - Accent4 32" xfId="426" xr:uid="{00000000-0005-0000-0000-0000A6010000}"/>
    <cellStyle name="40% - Accent4 33" xfId="427" xr:uid="{00000000-0005-0000-0000-0000A7010000}"/>
    <cellStyle name="40% - Accent4 34" xfId="428" xr:uid="{00000000-0005-0000-0000-0000A8010000}"/>
    <cellStyle name="40% - Accent4 35" xfId="429" xr:uid="{00000000-0005-0000-0000-0000A9010000}"/>
    <cellStyle name="40% - Accent4 36" xfId="430" xr:uid="{00000000-0005-0000-0000-0000AA010000}"/>
    <cellStyle name="40% - Accent4 37" xfId="431" xr:uid="{00000000-0005-0000-0000-0000AB010000}"/>
    <cellStyle name="40% - Accent4 38" xfId="432" xr:uid="{00000000-0005-0000-0000-0000AC010000}"/>
    <cellStyle name="40% - Accent4 39" xfId="433" xr:uid="{00000000-0005-0000-0000-0000AD010000}"/>
    <cellStyle name="40% - Accent4 4" xfId="434" xr:uid="{00000000-0005-0000-0000-0000AE010000}"/>
    <cellStyle name="40% - Accent4 40" xfId="435" xr:uid="{00000000-0005-0000-0000-0000AF010000}"/>
    <cellStyle name="40% - Accent4 41" xfId="436" xr:uid="{00000000-0005-0000-0000-0000B0010000}"/>
    <cellStyle name="40% - Accent4 42" xfId="437" xr:uid="{00000000-0005-0000-0000-0000B1010000}"/>
    <cellStyle name="40% - Accent4 5" xfId="438" xr:uid="{00000000-0005-0000-0000-0000B2010000}"/>
    <cellStyle name="40% - Accent4 6" xfId="439" xr:uid="{00000000-0005-0000-0000-0000B3010000}"/>
    <cellStyle name="40% - Accent4 7" xfId="440" xr:uid="{00000000-0005-0000-0000-0000B4010000}"/>
    <cellStyle name="40% - Accent4 8" xfId="441" xr:uid="{00000000-0005-0000-0000-0000B5010000}"/>
    <cellStyle name="40% - Accent4 9" xfId="442" xr:uid="{00000000-0005-0000-0000-0000B6010000}"/>
    <cellStyle name="40% - Accent5 10" xfId="443" xr:uid="{00000000-0005-0000-0000-0000B7010000}"/>
    <cellStyle name="40% - Accent5 11" xfId="444" xr:uid="{00000000-0005-0000-0000-0000B8010000}"/>
    <cellStyle name="40% - Accent5 12" xfId="445" xr:uid="{00000000-0005-0000-0000-0000B9010000}"/>
    <cellStyle name="40% - Accent5 13" xfId="446" xr:uid="{00000000-0005-0000-0000-0000BA010000}"/>
    <cellStyle name="40% - Accent5 14" xfId="447" xr:uid="{00000000-0005-0000-0000-0000BB010000}"/>
    <cellStyle name="40% - Accent5 15" xfId="448" xr:uid="{00000000-0005-0000-0000-0000BC010000}"/>
    <cellStyle name="40% - Accent5 16" xfId="449" xr:uid="{00000000-0005-0000-0000-0000BD010000}"/>
    <cellStyle name="40% - Accent5 17" xfId="450" xr:uid="{00000000-0005-0000-0000-0000BE010000}"/>
    <cellStyle name="40% - Accent5 18" xfId="451" xr:uid="{00000000-0005-0000-0000-0000BF010000}"/>
    <cellStyle name="40% - Accent5 19" xfId="452" xr:uid="{00000000-0005-0000-0000-0000C0010000}"/>
    <cellStyle name="40% - Accent5 2" xfId="453" xr:uid="{00000000-0005-0000-0000-0000C1010000}"/>
    <cellStyle name="40% - Accent5 2 2" xfId="454" xr:uid="{00000000-0005-0000-0000-0000C2010000}"/>
    <cellStyle name="40% - Accent5 20" xfId="455" xr:uid="{00000000-0005-0000-0000-0000C3010000}"/>
    <cellStyle name="40% - Accent5 21" xfId="456" xr:uid="{00000000-0005-0000-0000-0000C4010000}"/>
    <cellStyle name="40% - Accent5 22" xfId="457" xr:uid="{00000000-0005-0000-0000-0000C5010000}"/>
    <cellStyle name="40% - Accent5 23" xfId="458" xr:uid="{00000000-0005-0000-0000-0000C6010000}"/>
    <cellStyle name="40% - Accent5 24" xfId="459" xr:uid="{00000000-0005-0000-0000-0000C7010000}"/>
    <cellStyle name="40% - Accent5 25" xfId="460" xr:uid="{00000000-0005-0000-0000-0000C8010000}"/>
    <cellStyle name="40% - Accent5 26" xfId="461" xr:uid="{00000000-0005-0000-0000-0000C9010000}"/>
    <cellStyle name="40% - Accent5 27" xfId="462" xr:uid="{00000000-0005-0000-0000-0000CA010000}"/>
    <cellStyle name="40% - Accent5 28" xfId="463" xr:uid="{00000000-0005-0000-0000-0000CB010000}"/>
    <cellStyle name="40% - Accent5 29" xfId="464" xr:uid="{00000000-0005-0000-0000-0000CC010000}"/>
    <cellStyle name="40% - Accent5 3" xfId="465" xr:uid="{00000000-0005-0000-0000-0000CD010000}"/>
    <cellStyle name="40% - Accent5 3 2" xfId="466" xr:uid="{00000000-0005-0000-0000-0000CE010000}"/>
    <cellStyle name="40% - Accent5 3 3" xfId="467" xr:uid="{00000000-0005-0000-0000-0000CF010000}"/>
    <cellStyle name="40% - Accent5 30" xfId="468" xr:uid="{00000000-0005-0000-0000-0000D0010000}"/>
    <cellStyle name="40% - Accent5 31" xfId="469" xr:uid="{00000000-0005-0000-0000-0000D1010000}"/>
    <cellStyle name="40% - Accent5 32" xfId="470" xr:uid="{00000000-0005-0000-0000-0000D2010000}"/>
    <cellStyle name="40% - Accent5 33" xfId="471" xr:uid="{00000000-0005-0000-0000-0000D3010000}"/>
    <cellStyle name="40% - Accent5 34" xfId="472" xr:uid="{00000000-0005-0000-0000-0000D4010000}"/>
    <cellStyle name="40% - Accent5 35" xfId="473" xr:uid="{00000000-0005-0000-0000-0000D5010000}"/>
    <cellStyle name="40% - Accent5 36" xfId="474" xr:uid="{00000000-0005-0000-0000-0000D6010000}"/>
    <cellStyle name="40% - Accent5 37" xfId="475" xr:uid="{00000000-0005-0000-0000-0000D7010000}"/>
    <cellStyle name="40% - Accent5 38" xfId="476" xr:uid="{00000000-0005-0000-0000-0000D8010000}"/>
    <cellStyle name="40% - Accent5 39" xfId="477" xr:uid="{00000000-0005-0000-0000-0000D9010000}"/>
    <cellStyle name="40% - Accent5 4" xfId="478" xr:uid="{00000000-0005-0000-0000-0000DA010000}"/>
    <cellStyle name="40% - Accent5 40" xfId="479" xr:uid="{00000000-0005-0000-0000-0000DB010000}"/>
    <cellStyle name="40% - Accent5 41" xfId="480" xr:uid="{00000000-0005-0000-0000-0000DC010000}"/>
    <cellStyle name="40% - Accent5 42" xfId="481" xr:uid="{00000000-0005-0000-0000-0000DD010000}"/>
    <cellStyle name="40% - Accent5 5" xfId="482" xr:uid="{00000000-0005-0000-0000-0000DE010000}"/>
    <cellStyle name="40% - Accent5 6" xfId="483" xr:uid="{00000000-0005-0000-0000-0000DF010000}"/>
    <cellStyle name="40% - Accent5 7" xfId="484" xr:uid="{00000000-0005-0000-0000-0000E0010000}"/>
    <cellStyle name="40% - Accent5 8" xfId="485" xr:uid="{00000000-0005-0000-0000-0000E1010000}"/>
    <cellStyle name="40% - Accent5 9" xfId="486" xr:uid="{00000000-0005-0000-0000-0000E2010000}"/>
    <cellStyle name="40% - Accent6 10" xfId="487" xr:uid="{00000000-0005-0000-0000-0000E3010000}"/>
    <cellStyle name="40% - Accent6 11" xfId="488" xr:uid="{00000000-0005-0000-0000-0000E4010000}"/>
    <cellStyle name="40% - Accent6 12" xfId="489" xr:uid="{00000000-0005-0000-0000-0000E5010000}"/>
    <cellStyle name="40% - Accent6 13" xfId="490" xr:uid="{00000000-0005-0000-0000-0000E6010000}"/>
    <cellStyle name="40% - Accent6 14" xfId="491" xr:uid="{00000000-0005-0000-0000-0000E7010000}"/>
    <cellStyle name="40% - Accent6 15" xfId="492" xr:uid="{00000000-0005-0000-0000-0000E8010000}"/>
    <cellStyle name="40% - Accent6 16" xfId="493" xr:uid="{00000000-0005-0000-0000-0000E9010000}"/>
    <cellStyle name="40% - Accent6 17" xfId="494" xr:uid="{00000000-0005-0000-0000-0000EA010000}"/>
    <cellStyle name="40% - Accent6 18" xfId="495" xr:uid="{00000000-0005-0000-0000-0000EB010000}"/>
    <cellStyle name="40% - Accent6 19" xfId="496" xr:uid="{00000000-0005-0000-0000-0000EC010000}"/>
    <cellStyle name="40% - Accent6 2" xfId="497" xr:uid="{00000000-0005-0000-0000-0000ED010000}"/>
    <cellStyle name="40% - Accent6 2 2" xfId="498" xr:uid="{00000000-0005-0000-0000-0000EE010000}"/>
    <cellStyle name="40% - Accent6 20" xfId="499" xr:uid="{00000000-0005-0000-0000-0000EF010000}"/>
    <cellStyle name="40% - Accent6 21" xfId="500" xr:uid="{00000000-0005-0000-0000-0000F0010000}"/>
    <cellStyle name="40% - Accent6 22" xfId="501" xr:uid="{00000000-0005-0000-0000-0000F1010000}"/>
    <cellStyle name="40% - Accent6 23" xfId="502" xr:uid="{00000000-0005-0000-0000-0000F2010000}"/>
    <cellStyle name="40% - Accent6 24" xfId="503" xr:uid="{00000000-0005-0000-0000-0000F3010000}"/>
    <cellStyle name="40% - Accent6 25" xfId="504" xr:uid="{00000000-0005-0000-0000-0000F4010000}"/>
    <cellStyle name="40% - Accent6 26" xfId="505" xr:uid="{00000000-0005-0000-0000-0000F5010000}"/>
    <cellStyle name="40% - Accent6 27" xfId="506" xr:uid="{00000000-0005-0000-0000-0000F6010000}"/>
    <cellStyle name="40% - Accent6 28" xfId="507" xr:uid="{00000000-0005-0000-0000-0000F7010000}"/>
    <cellStyle name="40% - Accent6 29" xfId="508" xr:uid="{00000000-0005-0000-0000-0000F8010000}"/>
    <cellStyle name="40% - Accent6 3" xfId="509" xr:uid="{00000000-0005-0000-0000-0000F9010000}"/>
    <cellStyle name="40% - Accent6 3 2" xfId="510" xr:uid="{00000000-0005-0000-0000-0000FA010000}"/>
    <cellStyle name="40% - Accent6 3 3" xfId="511" xr:uid="{00000000-0005-0000-0000-0000FB010000}"/>
    <cellStyle name="40% - Accent6 30" xfId="512" xr:uid="{00000000-0005-0000-0000-0000FC010000}"/>
    <cellStyle name="40% - Accent6 31" xfId="513" xr:uid="{00000000-0005-0000-0000-0000FD010000}"/>
    <cellStyle name="40% - Accent6 32" xfId="514" xr:uid="{00000000-0005-0000-0000-0000FE010000}"/>
    <cellStyle name="40% - Accent6 33" xfId="515" xr:uid="{00000000-0005-0000-0000-0000FF010000}"/>
    <cellStyle name="40% - Accent6 34" xfId="516" xr:uid="{00000000-0005-0000-0000-000000020000}"/>
    <cellStyle name="40% - Accent6 35" xfId="517" xr:uid="{00000000-0005-0000-0000-000001020000}"/>
    <cellStyle name="40% - Accent6 36" xfId="518" xr:uid="{00000000-0005-0000-0000-000002020000}"/>
    <cellStyle name="40% - Accent6 37" xfId="519" xr:uid="{00000000-0005-0000-0000-000003020000}"/>
    <cellStyle name="40% - Accent6 38" xfId="520" xr:uid="{00000000-0005-0000-0000-000004020000}"/>
    <cellStyle name="40% - Accent6 39" xfId="521" xr:uid="{00000000-0005-0000-0000-000005020000}"/>
    <cellStyle name="40% - Accent6 4" xfId="522" xr:uid="{00000000-0005-0000-0000-000006020000}"/>
    <cellStyle name="40% - Accent6 40" xfId="523" xr:uid="{00000000-0005-0000-0000-000007020000}"/>
    <cellStyle name="40% - Accent6 41" xfId="524" xr:uid="{00000000-0005-0000-0000-000008020000}"/>
    <cellStyle name="40% - Accent6 42" xfId="525" xr:uid="{00000000-0005-0000-0000-000009020000}"/>
    <cellStyle name="40% - Accent6 5" xfId="526" xr:uid="{00000000-0005-0000-0000-00000A020000}"/>
    <cellStyle name="40% - Accent6 6" xfId="527" xr:uid="{00000000-0005-0000-0000-00000B020000}"/>
    <cellStyle name="40% - Accent6 7" xfId="528" xr:uid="{00000000-0005-0000-0000-00000C020000}"/>
    <cellStyle name="40% - Accent6 8" xfId="529" xr:uid="{00000000-0005-0000-0000-00000D020000}"/>
    <cellStyle name="40% - Accent6 9" xfId="530" xr:uid="{00000000-0005-0000-0000-00000E020000}"/>
    <cellStyle name="60% - Accent1 10" xfId="531" xr:uid="{00000000-0005-0000-0000-00000F020000}"/>
    <cellStyle name="60% - Accent1 11" xfId="532" xr:uid="{00000000-0005-0000-0000-000010020000}"/>
    <cellStyle name="60% - Accent1 12" xfId="533" xr:uid="{00000000-0005-0000-0000-000011020000}"/>
    <cellStyle name="60% - Accent1 13" xfId="534" xr:uid="{00000000-0005-0000-0000-000012020000}"/>
    <cellStyle name="60% - Accent1 14" xfId="535" xr:uid="{00000000-0005-0000-0000-000013020000}"/>
    <cellStyle name="60% - Accent1 15" xfId="536" xr:uid="{00000000-0005-0000-0000-000014020000}"/>
    <cellStyle name="60% - Accent1 16" xfId="537" xr:uid="{00000000-0005-0000-0000-000015020000}"/>
    <cellStyle name="60% - Accent1 17" xfId="538" xr:uid="{00000000-0005-0000-0000-000016020000}"/>
    <cellStyle name="60% - Accent1 18" xfId="539" xr:uid="{00000000-0005-0000-0000-000017020000}"/>
    <cellStyle name="60% - Accent1 19" xfId="540" xr:uid="{00000000-0005-0000-0000-000018020000}"/>
    <cellStyle name="60% - Accent1 2" xfId="541" xr:uid="{00000000-0005-0000-0000-000019020000}"/>
    <cellStyle name="60% - Accent1 2 2" xfId="542" xr:uid="{00000000-0005-0000-0000-00001A020000}"/>
    <cellStyle name="60% - Accent1 20" xfId="543" xr:uid="{00000000-0005-0000-0000-00001B020000}"/>
    <cellStyle name="60% - Accent1 21" xfId="544" xr:uid="{00000000-0005-0000-0000-00001C020000}"/>
    <cellStyle name="60% - Accent1 22" xfId="545" xr:uid="{00000000-0005-0000-0000-00001D020000}"/>
    <cellStyle name="60% - Accent1 23" xfId="546" xr:uid="{00000000-0005-0000-0000-00001E020000}"/>
    <cellStyle name="60% - Accent1 24" xfId="547" xr:uid="{00000000-0005-0000-0000-00001F020000}"/>
    <cellStyle name="60% - Accent1 25" xfId="548" xr:uid="{00000000-0005-0000-0000-000020020000}"/>
    <cellStyle name="60% - Accent1 26" xfId="549" xr:uid="{00000000-0005-0000-0000-000021020000}"/>
    <cellStyle name="60% - Accent1 27" xfId="550" xr:uid="{00000000-0005-0000-0000-000022020000}"/>
    <cellStyle name="60% - Accent1 28" xfId="551" xr:uid="{00000000-0005-0000-0000-000023020000}"/>
    <cellStyle name="60% - Accent1 29" xfId="552" xr:uid="{00000000-0005-0000-0000-000024020000}"/>
    <cellStyle name="60% - Accent1 3" xfId="553" xr:uid="{00000000-0005-0000-0000-000025020000}"/>
    <cellStyle name="60% - Accent1 30" xfId="554" xr:uid="{00000000-0005-0000-0000-000026020000}"/>
    <cellStyle name="60% - Accent1 31" xfId="555" xr:uid="{00000000-0005-0000-0000-000027020000}"/>
    <cellStyle name="60% - Accent1 32" xfId="556" xr:uid="{00000000-0005-0000-0000-000028020000}"/>
    <cellStyle name="60% - Accent1 33" xfId="557" xr:uid="{00000000-0005-0000-0000-000029020000}"/>
    <cellStyle name="60% - Accent1 34" xfId="558" xr:uid="{00000000-0005-0000-0000-00002A020000}"/>
    <cellStyle name="60% - Accent1 35" xfId="559" xr:uid="{00000000-0005-0000-0000-00002B020000}"/>
    <cellStyle name="60% - Accent1 36" xfId="560" xr:uid="{00000000-0005-0000-0000-00002C020000}"/>
    <cellStyle name="60% - Accent1 37" xfId="561" xr:uid="{00000000-0005-0000-0000-00002D020000}"/>
    <cellStyle name="60% - Accent1 38" xfId="562" xr:uid="{00000000-0005-0000-0000-00002E020000}"/>
    <cellStyle name="60% - Accent1 39" xfId="563" xr:uid="{00000000-0005-0000-0000-00002F020000}"/>
    <cellStyle name="60% - Accent1 4" xfId="564" xr:uid="{00000000-0005-0000-0000-000030020000}"/>
    <cellStyle name="60% - Accent1 40" xfId="565" xr:uid="{00000000-0005-0000-0000-000031020000}"/>
    <cellStyle name="60% - Accent1 41" xfId="566" xr:uid="{00000000-0005-0000-0000-000032020000}"/>
    <cellStyle name="60% - Accent1 42" xfId="567" xr:uid="{00000000-0005-0000-0000-000033020000}"/>
    <cellStyle name="60% - Accent1 5" xfId="568" xr:uid="{00000000-0005-0000-0000-000034020000}"/>
    <cellStyle name="60% - Accent1 6" xfId="569" xr:uid="{00000000-0005-0000-0000-000035020000}"/>
    <cellStyle name="60% - Accent1 7" xfId="570" xr:uid="{00000000-0005-0000-0000-000036020000}"/>
    <cellStyle name="60% - Accent1 8" xfId="571" xr:uid="{00000000-0005-0000-0000-000037020000}"/>
    <cellStyle name="60% - Accent1 9" xfId="572" xr:uid="{00000000-0005-0000-0000-000038020000}"/>
    <cellStyle name="60% - Accent2 10" xfId="573" xr:uid="{00000000-0005-0000-0000-000039020000}"/>
    <cellStyle name="60% - Accent2 11" xfId="574" xr:uid="{00000000-0005-0000-0000-00003A020000}"/>
    <cellStyle name="60% - Accent2 12" xfId="575" xr:uid="{00000000-0005-0000-0000-00003B020000}"/>
    <cellStyle name="60% - Accent2 13" xfId="576" xr:uid="{00000000-0005-0000-0000-00003C020000}"/>
    <cellStyle name="60% - Accent2 14" xfId="577" xr:uid="{00000000-0005-0000-0000-00003D020000}"/>
    <cellStyle name="60% - Accent2 15" xfId="578" xr:uid="{00000000-0005-0000-0000-00003E020000}"/>
    <cellStyle name="60% - Accent2 16" xfId="579" xr:uid="{00000000-0005-0000-0000-00003F020000}"/>
    <cellStyle name="60% - Accent2 17" xfId="580" xr:uid="{00000000-0005-0000-0000-000040020000}"/>
    <cellStyle name="60% - Accent2 18" xfId="581" xr:uid="{00000000-0005-0000-0000-000041020000}"/>
    <cellStyle name="60% - Accent2 19" xfId="582" xr:uid="{00000000-0005-0000-0000-000042020000}"/>
    <cellStyle name="60% - Accent2 2" xfId="583" xr:uid="{00000000-0005-0000-0000-000043020000}"/>
    <cellStyle name="60% - Accent2 2 2" xfId="584" xr:uid="{00000000-0005-0000-0000-000044020000}"/>
    <cellStyle name="60% - Accent2 20" xfId="585" xr:uid="{00000000-0005-0000-0000-000045020000}"/>
    <cellStyle name="60% - Accent2 21" xfId="586" xr:uid="{00000000-0005-0000-0000-000046020000}"/>
    <cellStyle name="60% - Accent2 22" xfId="587" xr:uid="{00000000-0005-0000-0000-000047020000}"/>
    <cellStyle name="60% - Accent2 23" xfId="588" xr:uid="{00000000-0005-0000-0000-000048020000}"/>
    <cellStyle name="60% - Accent2 24" xfId="589" xr:uid="{00000000-0005-0000-0000-000049020000}"/>
    <cellStyle name="60% - Accent2 25" xfId="590" xr:uid="{00000000-0005-0000-0000-00004A020000}"/>
    <cellStyle name="60% - Accent2 26" xfId="591" xr:uid="{00000000-0005-0000-0000-00004B020000}"/>
    <cellStyle name="60% - Accent2 27" xfId="592" xr:uid="{00000000-0005-0000-0000-00004C020000}"/>
    <cellStyle name="60% - Accent2 28" xfId="593" xr:uid="{00000000-0005-0000-0000-00004D020000}"/>
    <cellStyle name="60% - Accent2 29" xfId="594" xr:uid="{00000000-0005-0000-0000-00004E020000}"/>
    <cellStyle name="60% - Accent2 3" xfId="595" xr:uid="{00000000-0005-0000-0000-00004F020000}"/>
    <cellStyle name="60% - Accent2 30" xfId="596" xr:uid="{00000000-0005-0000-0000-000050020000}"/>
    <cellStyle name="60% - Accent2 31" xfId="597" xr:uid="{00000000-0005-0000-0000-000051020000}"/>
    <cellStyle name="60% - Accent2 32" xfId="598" xr:uid="{00000000-0005-0000-0000-000052020000}"/>
    <cellStyle name="60% - Accent2 33" xfId="599" xr:uid="{00000000-0005-0000-0000-000053020000}"/>
    <cellStyle name="60% - Accent2 34" xfId="600" xr:uid="{00000000-0005-0000-0000-000054020000}"/>
    <cellStyle name="60% - Accent2 35" xfId="601" xr:uid="{00000000-0005-0000-0000-000055020000}"/>
    <cellStyle name="60% - Accent2 36" xfId="602" xr:uid="{00000000-0005-0000-0000-000056020000}"/>
    <cellStyle name="60% - Accent2 37" xfId="603" xr:uid="{00000000-0005-0000-0000-000057020000}"/>
    <cellStyle name="60% - Accent2 38" xfId="604" xr:uid="{00000000-0005-0000-0000-000058020000}"/>
    <cellStyle name="60% - Accent2 39" xfId="605" xr:uid="{00000000-0005-0000-0000-000059020000}"/>
    <cellStyle name="60% - Accent2 4" xfId="606" xr:uid="{00000000-0005-0000-0000-00005A020000}"/>
    <cellStyle name="60% - Accent2 40" xfId="607" xr:uid="{00000000-0005-0000-0000-00005B020000}"/>
    <cellStyle name="60% - Accent2 41" xfId="608" xr:uid="{00000000-0005-0000-0000-00005C020000}"/>
    <cellStyle name="60% - Accent2 42" xfId="609" xr:uid="{00000000-0005-0000-0000-00005D020000}"/>
    <cellStyle name="60% - Accent2 5" xfId="610" xr:uid="{00000000-0005-0000-0000-00005E020000}"/>
    <cellStyle name="60% - Accent2 6" xfId="611" xr:uid="{00000000-0005-0000-0000-00005F020000}"/>
    <cellStyle name="60% - Accent2 7" xfId="612" xr:uid="{00000000-0005-0000-0000-000060020000}"/>
    <cellStyle name="60% - Accent2 8" xfId="613" xr:uid="{00000000-0005-0000-0000-000061020000}"/>
    <cellStyle name="60% - Accent2 9" xfId="614" xr:uid="{00000000-0005-0000-0000-000062020000}"/>
    <cellStyle name="60% - Accent3 10" xfId="615" xr:uid="{00000000-0005-0000-0000-000063020000}"/>
    <cellStyle name="60% - Accent3 11" xfId="616" xr:uid="{00000000-0005-0000-0000-000064020000}"/>
    <cellStyle name="60% - Accent3 12" xfId="617" xr:uid="{00000000-0005-0000-0000-000065020000}"/>
    <cellStyle name="60% - Accent3 13" xfId="618" xr:uid="{00000000-0005-0000-0000-000066020000}"/>
    <cellStyle name="60% - Accent3 14" xfId="619" xr:uid="{00000000-0005-0000-0000-000067020000}"/>
    <cellStyle name="60% - Accent3 15" xfId="620" xr:uid="{00000000-0005-0000-0000-000068020000}"/>
    <cellStyle name="60% - Accent3 16" xfId="621" xr:uid="{00000000-0005-0000-0000-000069020000}"/>
    <cellStyle name="60% - Accent3 17" xfId="622" xr:uid="{00000000-0005-0000-0000-00006A020000}"/>
    <cellStyle name="60% - Accent3 18" xfId="623" xr:uid="{00000000-0005-0000-0000-00006B020000}"/>
    <cellStyle name="60% - Accent3 19" xfId="624" xr:uid="{00000000-0005-0000-0000-00006C020000}"/>
    <cellStyle name="60% - Accent3 2" xfId="625" xr:uid="{00000000-0005-0000-0000-00006D020000}"/>
    <cellStyle name="60% - Accent3 2 2" xfId="626" xr:uid="{00000000-0005-0000-0000-00006E020000}"/>
    <cellStyle name="60% - Accent3 20" xfId="627" xr:uid="{00000000-0005-0000-0000-00006F020000}"/>
    <cellStyle name="60% - Accent3 21" xfId="628" xr:uid="{00000000-0005-0000-0000-000070020000}"/>
    <cellStyle name="60% - Accent3 22" xfId="629" xr:uid="{00000000-0005-0000-0000-000071020000}"/>
    <cellStyle name="60% - Accent3 23" xfId="630" xr:uid="{00000000-0005-0000-0000-000072020000}"/>
    <cellStyle name="60% - Accent3 24" xfId="631" xr:uid="{00000000-0005-0000-0000-000073020000}"/>
    <cellStyle name="60% - Accent3 25" xfId="632" xr:uid="{00000000-0005-0000-0000-000074020000}"/>
    <cellStyle name="60% - Accent3 26" xfId="633" xr:uid="{00000000-0005-0000-0000-000075020000}"/>
    <cellStyle name="60% - Accent3 27" xfId="634" xr:uid="{00000000-0005-0000-0000-000076020000}"/>
    <cellStyle name="60% - Accent3 28" xfId="635" xr:uid="{00000000-0005-0000-0000-000077020000}"/>
    <cellStyle name="60% - Accent3 29" xfId="636" xr:uid="{00000000-0005-0000-0000-000078020000}"/>
    <cellStyle name="60% - Accent3 3" xfId="637" xr:uid="{00000000-0005-0000-0000-000079020000}"/>
    <cellStyle name="60% - Accent3 30" xfId="638" xr:uid="{00000000-0005-0000-0000-00007A020000}"/>
    <cellStyle name="60% - Accent3 31" xfId="639" xr:uid="{00000000-0005-0000-0000-00007B020000}"/>
    <cellStyle name="60% - Accent3 32" xfId="640" xr:uid="{00000000-0005-0000-0000-00007C020000}"/>
    <cellStyle name="60% - Accent3 33" xfId="641" xr:uid="{00000000-0005-0000-0000-00007D020000}"/>
    <cellStyle name="60% - Accent3 34" xfId="642" xr:uid="{00000000-0005-0000-0000-00007E020000}"/>
    <cellStyle name="60% - Accent3 35" xfId="643" xr:uid="{00000000-0005-0000-0000-00007F020000}"/>
    <cellStyle name="60% - Accent3 36" xfId="644" xr:uid="{00000000-0005-0000-0000-000080020000}"/>
    <cellStyle name="60% - Accent3 37" xfId="645" xr:uid="{00000000-0005-0000-0000-000081020000}"/>
    <cellStyle name="60% - Accent3 38" xfId="646" xr:uid="{00000000-0005-0000-0000-000082020000}"/>
    <cellStyle name="60% - Accent3 39" xfId="647" xr:uid="{00000000-0005-0000-0000-000083020000}"/>
    <cellStyle name="60% - Accent3 4" xfId="648" xr:uid="{00000000-0005-0000-0000-000084020000}"/>
    <cellStyle name="60% - Accent3 40" xfId="649" xr:uid="{00000000-0005-0000-0000-000085020000}"/>
    <cellStyle name="60% - Accent3 41" xfId="650" xr:uid="{00000000-0005-0000-0000-000086020000}"/>
    <cellStyle name="60% - Accent3 42" xfId="651" xr:uid="{00000000-0005-0000-0000-000087020000}"/>
    <cellStyle name="60% - Accent3 5" xfId="652" xr:uid="{00000000-0005-0000-0000-000088020000}"/>
    <cellStyle name="60% - Accent3 6" xfId="653" xr:uid="{00000000-0005-0000-0000-000089020000}"/>
    <cellStyle name="60% - Accent3 7" xfId="654" xr:uid="{00000000-0005-0000-0000-00008A020000}"/>
    <cellStyle name="60% - Accent3 8" xfId="655" xr:uid="{00000000-0005-0000-0000-00008B020000}"/>
    <cellStyle name="60% - Accent3 9" xfId="656" xr:uid="{00000000-0005-0000-0000-00008C020000}"/>
    <cellStyle name="60% - Accent4 10" xfId="657" xr:uid="{00000000-0005-0000-0000-00008D020000}"/>
    <cellStyle name="60% - Accent4 11" xfId="658" xr:uid="{00000000-0005-0000-0000-00008E020000}"/>
    <cellStyle name="60% - Accent4 12" xfId="659" xr:uid="{00000000-0005-0000-0000-00008F020000}"/>
    <cellStyle name="60% - Accent4 13" xfId="660" xr:uid="{00000000-0005-0000-0000-000090020000}"/>
    <cellStyle name="60% - Accent4 14" xfId="661" xr:uid="{00000000-0005-0000-0000-000091020000}"/>
    <cellStyle name="60% - Accent4 15" xfId="662" xr:uid="{00000000-0005-0000-0000-000092020000}"/>
    <cellStyle name="60% - Accent4 16" xfId="663" xr:uid="{00000000-0005-0000-0000-000093020000}"/>
    <cellStyle name="60% - Accent4 17" xfId="664" xr:uid="{00000000-0005-0000-0000-000094020000}"/>
    <cellStyle name="60% - Accent4 18" xfId="665" xr:uid="{00000000-0005-0000-0000-000095020000}"/>
    <cellStyle name="60% - Accent4 19" xfId="666" xr:uid="{00000000-0005-0000-0000-000096020000}"/>
    <cellStyle name="60% - Accent4 2" xfId="667" xr:uid="{00000000-0005-0000-0000-000097020000}"/>
    <cellStyle name="60% - Accent4 2 2" xfId="668" xr:uid="{00000000-0005-0000-0000-000098020000}"/>
    <cellStyle name="60% - Accent4 20" xfId="669" xr:uid="{00000000-0005-0000-0000-000099020000}"/>
    <cellStyle name="60% - Accent4 21" xfId="670" xr:uid="{00000000-0005-0000-0000-00009A020000}"/>
    <cellStyle name="60% - Accent4 22" xfId="671" xr:uid="{00000000-0005-0000-0000-00009B020000}"/>
    <cellStyle name="60% - Accent4 23" xfId="672" xr:uid="{00000000-0005-0000-0000-00009C020000}"/>
    <cellStyle name="60% - Accent4 24" xfId="673" xr:uid="{00000000-0005-0000-0000-00009D020000}"/>
    <cellStyle name="60% - Accent4 25" xfId="674" xr:uid="{00000000-0005-0000-0000-00009E020000}"/>
    <cellStyle name="60% - Accent4 26" xfId="675" xr:uid="{00000000-0005-0000-0000-00009F020000}"/>
    <cellStyle name="60% - Accent4 27" xfId="676" xr:uid="{00000000-0005-0000-0000-0000A0020000}"/>
    <cellStyle name="60% - Accent4 28" xfId="677" xr:uid="{00000000-0005-0000-0000-0000A1020000}"/>
    <cellStyle name="60% - Accent4 29" xfId="678" xr:uid="{00000000-0005-0000-0000-0000A2020000}"/>
    <cellStyle name="60% - Accent4 3" xfId="679" xr:uid="{00000000-0005-0000-0000-0000A3020000}"/>
    <cellStyle name="60% - Accent4 30" xfId="680" xr:uid="{00000000-0005-0000-0000-0000A4020000}"/>
    <cellStyle name="60% - Accent4 31" xfId="681" xr:uid="{00000000-0005-0000-0000-0000A5020000}"/>
    <cellStyle name="60% - Accent4 32" xfId="682" xr:uid="{00000000-0005-0000-0000-0000A6020000}"/>
    <cellStyle name="60% - Accent4 33" xfId="683" xr:uid="{00000000-0005-0000-0000-0000A7020000}"/>
    <cellStyle name="60% - Accent4 34" xfId="684" xr:uid="{00000000-0005-0000-0000-0000A8020000}"/>
    <cellStyle name="60% - Accent4 35" xfId="685" xr:uid="{00000000-0005-0000-0000-0000A9020000}"/>
    <cellStyle name="60% - Accent4 36" xfId="686" xr:uid="{00000000-0005-0000-0000-0000AA020000}"/>
    <cellStyle name="60% - Accent4 37" xfId="687" xr:uid="{00000000-0005-0000-0000-0000AB020000}"/>
    <cellStyle name="60% - Accent4 38" xfId="688" xr:uid="{00000000-0005-0000-0000-0000AC020000}"/>
    <cellStyle name="60% - Accent4 39" xfId="689" xr:uid="{00000000-0005-0000-0000-0000AD020000}"/>
    <cellStyle name="60% - Accent4 4" xfId="690" xr:uid="{00000000-0005-0000-0000-0000AE020000}"/>
    <cellStyle name="60% - Accent4 40" xfId="691" xr:uid="{00000000-0005-0000-0000-0000AF020000}"/>
    <cellStyle name="60% - Accent4 41" xfId="692" xr:uid="{00000000-0005-0000-0000-0000B0020000}"/>
    <cellStyle name="60% - Accent4 42" xfId="693" xr:uid="{00000000-0005-0000-0000-0000B1020000}"/>
    <cellStyle name="60% - Accent4 5" xfId="694" xr:uid="{00000000-0005-0000-0000-0000B2020000}"/>
    <cellStyle name="60% - Accent4 6" xfId="695" xr:uid="{00000000-0005-0000-0000-0000B3020000}"/>
    <cellStyle name="60% - Accent4 7" xfId="696" xr:uid="{00000000-0005-0000-0000-0000B4020000}"/>
    <cellStyle name="60% - Accent4 8" xfId="697" xr:uid="{00000000-0005-0000-0000-0000B5020000}"/>
    <cellStyle name="60% - Accent4 9" xfId="698" xr:uid="{00000000-0005-0000-0000-0000B6020000}"/>
    <cellStyle name="60% - Accent5 10" xfId="699" xr:uid="{00000000-0005-0000-0000-0000B7020000}"/>
    <cellStyle name="60% - Accent5 11" xfId="700" xr:uid="{00000000-0005-0000-0000-0000B8020000}"/>
    <cellStyle name="60% - Accent5 12" xfId="701" xr:uid="{00000000-0005-0000-0000-0000B9020000}"/>
    <cellStyle name="60% - Accent5 13" xfId="702" xr:uid="{00000000-0005-0000-0000-0000BA020000}"/>
    <cellStyle name="60% - Accent5 14" xfId="703" xr:uid="{00000000-0005-0000-0000-0000BB020000}"/>
    <cellStyle name="60% - Accent5 15" xfId="704" xr:uid="{00000000-0005-0000-0000-0000BC020000}"/>
    <cellStyle name="60% - Accent5 16" xfId="705" xr:uid="{00000000-0005-0000-0000-0000BD020000}"/>
    <cellStyle name="60% - Accent5 17" xfId="706" xr:uid="{00000000-0005-0000-0000-0000BE020000}"/>
    <cellStyle name="60% - Accent5 18" xfId="707" xr:uid="{00000000-0005-0000-0000-0000BF020000}"/>
    <cellStyle name="60% - Accent5 19" xfId="708" xr:uid="{00000000-0005-0000-0000-0000C0020000}"/>
    <cellStyle name="60% - Accent5 2" xfId="709" xr:uid="{00000000-0005-0000-0000-0000C1020000}"/>
    <cellStyle name="60% - Accent5 2 2" xfId="710" xr:uid="{00000000-0005-0000-0000-0000C2020000}"/>
    <cellStyle name="60% - Accent5 20" xfId="711" xr:uid="{00000000-0005-0000-0000-0000C3020000}"/>
    <cellStyle name="60% - Accent5 21" xfId="712" xr:uid="{00000000-0005-0000-0000-0000C4020000}"/>
    <cellStyle name="60% - Accent5 22" xfId="713" xr:uid="{00000000-0005-0000-0000-0000C5020000}"/>
    <cellStyle name="60% - Accent5 23" xfId="714" xr:uid="{00000000-0005-0000-0000-0000C6020000}"/>
    <cellStyle name="60% - Accent5 24" xfId="715" xr:uid="{00000000-0005-0000-0000-0000C7020000}"/>
    <cellStyle name="60% - Accent5 25" xfId="716" xr:uid="{00000000-0005-0000-0000-0000C8020000}"/>
    <cellStyle name="60% - Accent5 26" xfId="717" xr:uid="{00000000-0005-0000-0000-0000C9020000}"/>
    <cellStyle name="60% - Accent5 27" xfId="718" xr:uid="{00000000-0005-0000-0000-0000CA020000}"/>
    <cellStyle name="60% - Accent5 28" xfId="719" xr:uid="{00000000-0005-0000-0000-0000CB020000}"/>
    <cellStyle name="60% - Accent5 29" xfId="720" xr:uid="{00000000-0005-0000-0000-0000CC020000}"/>
    <cellStyle name="60% - Accent5 3" xfId="721" xr:uid="{00000000-0005-0000-0000-0000CD020000}"/>
    <cellStyle name="60% - Accent5 30" xfId="722" xr:uid="{00000000-0005-0000-0000-0000CE020000}"/>
    <cellStyle name="60% - Accent5 31" xfId="723" xr:uid="{00000000-0005-0000-0000-0000CF020000}"/>
    <cellStyle name="60% - Accent5 32" xfId="724" xr:uid="{00000000-0005-0000-0000-0000D0020000}"/>
    <cellStyle name="60% - Accent5 33" xfId="725" xr:uid="{00000000-0005-0000-0000-0000D1020000}"/>
    <cellStyle name="60% - Accent5 34" xfId="726" xr:uid="{00000000-0005-0000-0000-0000D2020000}"/>
    <cellStyle name="60% - Accent5 35" xfId="727" xr:uid="{00000000-0005-0000-0000-0000D3020000}"/>
    <cellStyle name="60% - Accent5 36" xfId="728" xr:uid="{00000000-0005-0000-0000-0000D4020000}"/>
    <cellStyle name="60% - Accent5 37" xfId="729" xr:uid="{00000000-0005-0000-0000-0000D5020000}"/>
    <cellStyle name="60% - Accent5 38" xfId="730" xr:uid="{00000000-0005-0000-0000-0000D6020000}"/>
    <cellStyle name="60% - Accent5 39" xfId="731" xr:uid="{00000000-0005-0000-0000-0000D7020000}"/>
    <cellStyle name="60% - Accent5 4" xfId="732" xr:uid="{00000000-0005-0000-0000-0000D8020000}"/>
    <cellStyle name="60% - Accent5 40" xfId="733" xr:uid="{00000000-0005-0000-0000-0000D9020000}"/>
    <cellStyle name="60% - Accent5 41" xfId="734" xr:uid="{00000000-0005-0000-0000-0000DA020000}"/>
    <cellStyle name="60% - Accent5 42" xfId="735" xr:uid="{00000000-0005-0000-0000-0000DB020000}"/>
    <cellStyle name="60% - Accent5 5" xfId="736" xr:uid="{00000000-0005-0000-0000-0000DC020000}"/>
    <cellStyle name="60% - Accent5 6" xfId="737" xr:uid="{00000000-0005-0000-0000-0000DD020000}"/>
    <cellStyle name="60% - Accent5 7" xfId="738" xr:uid="{00000000-0005-0000-0000-0000DE020000}"/>
    <cellStyle name="60% - Accent5 8" xfId="739" xr:uid="{00000000-0005-0000-0000-0000DF020000}"/>
    <cellStyle name="60% - Accent5 9" xfId="740" xr:uid="{00000000-0005-0000-0000-0000E0020000}"/>
    <cellStyle name="60% - Accent6 10" xfId="741" xr:uid="{00000000-0005-0000-0000-0000E1020000}"/>
    <cellStyle name="60% - Accent6 11" xfId="742" xr:uid="{00000000-0005-0000-0000-0000E2020000}"/>
    <cellStyle name="60% - Accent6 12" xfId="743" xr:uid="{00000000-0005-0000-0000-0000E3020000}"/>
    <cellStyle name="60% - Accent6 13" xfId="744" xr:uid="{00000000-0005-0000-0000-0000E4020000}"/>
    <cellStyle name="60% - Accent6 14" xfId="745" xr:uid="{00000000-0005-0000-0000-0000E5020000}"/>
    <cellStyle name="60% - Accent6 15" xfId="746" xr:uid="{00000000-0005-0000-0000-0000E6020000}"/>
    <cellStyle name="60% - Accent6 16" xfId="747" xr:uid="{00000000-0005-0000-0000-0000E7020000}"/>
    <cellStyle name="60% - Accent6 17" xfId="748" xr:uid="{00000000-0005-0000-0000-0000E8020000}"/>
    <cellStyle name="60% - Accent6 18" xfId="749" xr:uid="{00000000-0005-0000-0000-0000E9020000}"/>
    <cellStyle name="60% - Accent6 19" xfId="750" xr:uid="{00000000-0005-0000-0000-0000EA020000}"/>
    <cellStyle name="60% - Accent6 2" xfId="751" xr:uid="{00000000-0005-0000-0000-0000EB020000}"/>
    <cellStyle name="60% - Accent6 2 2" xfId="752" xr:uid="{00000000-0005-0000-0000-0000EC020000}"/>
    <cellStyle name="60% - Accent6 20" xfId="753" xr:uid="{00000000-0005-0000-0000-0000ED020000}"/>
    <cellStyle name="60% - Accent6 21" xfId="754" xr:uid="{00000000-0005-0000-0000-0000EE020000}"/>
    <cellStyle name="60% - Accent6 22" xfId="755" xr:uid="{00000000-0005-0000-0000-0000EF020000}"/>
    <cellStyle name="60% - Accent6 23" xfId="756" xr:uid="{00000000-0005-0000-0000-0000F0020000}"/>
    <cellStyle name="60% - Accent6 24" xfId="757" xr:uid="{00000000-0005-0000-0000-0000F1020000}"/>
    <cellStyle name="60% - Accent6 25" xfId="758" xr:uid="{00000000-0005-0000-0000-0000F2020000}"/>
    <cellStyle name="60% - Accent6 26" xfId="759" xr:uid="{00000000-0005-0000-0000-0000F3020000}"/>
    <cellStyle name="60% - Accent6 27" xfId="760" xr:uid="{00000000-0005-0000-0000-0000F4020000}"/>
    <cellStyle name="60% - Accent6 28" xfId="761" xr:uid="{00000000-0005-0000-0000-0000F5020000}"/>
    <cellStyle name="60% - Accent6 29" xfId="762" xr:uid="{00000000-0005-0000-0000-0000F6020000}"/>
    <cellStyle name="60% - Accent6 3" xfId="763" xr:uid="{00000000-0005-0000-0000-0000F7020000}"/>
    <cellStyle name="60% - Accent6 30" xfId="764" xr:uid="{00000000-0005-0000-0000-0000F8020000}"/>
    <cellStyle name="60% - Accent6 31" xfId="765" xr:uid="{00000000-0005-0000-0000-0000F9020000}"/>
    <cellStyle name="60% - Accent6 32" xfId="766" xr:uid="{00000000-0005-0000-0000-0000FA020000}"/>
    <cellStyle name="60% - Accent6 33" xfId="767" xr:uid="{00000000-0005-0000-0000-0000FB020000}"/>
    <cellStyle name="60% - Accent6 34" xfId="768" xr:uid="{00000000-0005-0000-0000-0000FC020000}"/>
    <cellStyle name="60% - Accent6 35" xfId="769" xr:uid="{00000000-0005-0000-0000-0000FD020000}"/>
    <cellStyle name="60% - Accent6 36" xfId="770" xr:uid="{00000000-0005-0000-0000-0000FE020000}"/>
    <cellStyle name="60% - Accent6 37" xfId="771" xr:uid="{00000000-0005-0000-0000-0000FF020000}"/>
    <cellStyle name="60% - Accent6 38" xfId="772" xr:uid="{00000000-0005-0000-0000-000000030000}"/>
    <cellStyle name="60% - Accent6 39" xfId="773" xr:uid="{00000000-0005-0000-0000-000001030000}"/>
    <cellStyle name="60% - Accent6 4" xfId="774" xr:uid="{00000000-0005-0000-0000-000002030000}"/>
    <cellStyle name="60% - Accent6 40" xfId="775" xr:uid="{00000000-0005-0000-0000-000003030000}"/>
    <cellStyle name="60% - Accent6 41" xfId="776" xr:uid="{00000000-0005-0000-0000-000004030000}"/>
    <cellStyle name="60% - Accent6 42" xfId="777" xr:uid="{00000000-0005-0000-0000-000005030000}"/>
    <cellStyle name="60% - Accent6 5" xfId="778" xr:uid="{00000000-0005-0000-0000-000006030000}"/>
    <cellStyle name="60% - Accent6 6" xfId="779" xr:uid="{00000000-0005-0000-0000-000007030000}"/>
    <cellStyle name="60% - Accent6 7" xfId="780" xr:uid="{00000000-0005-0000-0000-000008030000}"/>
    <cellStyle name="60% - Accent6 8" xfId="781" xr:uid="{00000000-0005-0000-0000-000009030000}"/>
    <cellStyle name="60% - Accent6 9" xfId="782" xr:uid="{00000000-0005-0000-0000-00000A030000}"/>
    <cellStyle name="Accent1 10" xfId="783" xr:uid="{00000000-0005-0000-0000-00000B030000}"/>
    <cellStyle name="Accent1 11" xfId="784" xr:uid="{00000000-0005-0000-0000-00000C030000}"/>
    <cellStyle name="Accent1 12" xfId="785" xr:uid="{00000000-0005-0000-0000-00000D030000}"/>
    <cellStyle name="Accent1 13" xfId="786" xr:uid="{00000000-0005-0000-0000-00000E030000}"/>
    <cellStyle name="Accent1 14" xfId="787" xr:uid="{00000000-0005-0000-0000-00000F030000}"/>
    <cellStyle name="Accent1 15" xfId="788" xr:uid="{00000000-0005-0000-0000-000010030000}"/>
    <cellStyle name="Accent1 16" xfId="789" xr:uid="{00000000-0005-0000-0000-000011030000}"/>
    <cellStyle name="Accent1 17" xfId="790" xr:uid="{00000000-0005-0000-0000-000012030000}"/>
    <cellStyle name="Accent1 18" xfId="791" xr:uid="{00000000-0005-0000-0000-000013030000}"/>
    <cellStyle name="Accent1 19" xfId="792" xr:uid="{00000000-0005-0000-0000-000014030000}"/>
    <cellStyle name="Accent1 2" xfId="793" xr:uid="{00000000-0005-0000-0000-000015030000}"/>
    <cellStyle name="Accent1 2 2" xfId="794" xr:uid="{00000000-0005-0000-0000-000016030000}"/>
    <cellStyle name="Accent1 20" xfId="795" xr:uid="{00000000-0005-0000-0000-000017030000}"/>
    <cellStyle name="Accent1 21" xfId="796" xr:uid="{00000000-0005-0000-0000-000018030000}"/>
    <cellStyle name="Accent1 22" xfId="797" xr:uid="{00000000-0005-0000-0000-000019030000}"/>
    <cellStyle name="Accent1 23" xfId="798" xr:uid="{00000000-0005-0000-0000-00001A030000}"/>
    <cellStyle name="Accent1 24" xfId="799" xr:uid="{00000000-0005-0000-0000-00001B030000}"/>
    <cellStyle name="Accent1 25" xfId="800" xr:uid="{00000000-0005-0000-0000-00001C030000}"/>
    <cellStyle name="Accent1 26" xfId="801" xr:uid="{00000000-0005-0000-0000-00001D030000}"/>
    <cellStyle name="Accent1 27" xfId="802" xr:uid="{00000000-0005-0000-0000-00001E030000}"/>
    <cellStyle name="Accent1 28" xfId="803" xr:uid="{00000000-0005-0000-0000-00001F030000}"/>
    <cellStyle name="Accent1 29" xfId="804" xr:uid="{00000000-0005-0000-0000-000020030000}"/>
    <cellStyle name="Accent1 3" xfId="805" xr:uid="{00000000-0005-0000-0000-000021030000}"/>
    <cellStyle name="Accent1 30" xfId="806" xr:uid="{00000000-0005-0000-0000-000022030000}"/>
    <cellStyle name="Accent1 31" xfId="807" xr:uid="{00000000-0005-0000-0000-000023030000}"/>
    <cellStyle name="Accent1 32" xfId="808" xr:uid="{00000000-0005-0000-0000-000024030000}"/>
    <cellStyle name="Accent1 33" xfId="809" xr:uid="{00000000-0005-0000-0000-000025030000}"/>
    <cellStyle name="Accent1 34" xfId="810" xr:uid="{00000000-0005-0000-0000-000026030000}"/>
    <cellStyle name="Accent1 35" xfId="811" xr:uid="{00000000-0005-0000-0000-000027030000}"/>
    <cellStyle name="Accent1 36" xfId="812" xr:uid="{00000000-0005-0000-0000-000028030000}"/>
    <cellStyle name="Accent1 37" xfId="813" xr:uid="{00000000-0005-0000-0000-000029030000}"/>
    <cellStyle name="Accent1 38" xfId="814" xr:uid="{00000000-0005-0000-0000-00002A030000}"/>
    <cellStyle name="Accent1 39" xfId="815" xr:uid="{00000000-0005-0000-0000-00002B030000}"/>
    <cellStyle name="Accent1 4" xfId="816" xr:uid="{00000000-0005-0000-0000-00002C030000}"/>
    <cellStyle name="Accent1 40" xfId="817" xr:uid="{00000000-0005-0000-0000-00002D030000}"/>
    <cellStyle name="Accent1 41" xfId="818" xr:uid="{00000000-0005-0000-0000-00002E030000}"/>
    <cellStyle name="Accent1 42" xfId="819" xr:uid="{00000000-0005-0000-0000-00002F030000}"/>
    <cellStyle name="Accent1 5" xfId="820" xr:uid="{00000000-0005-0000-0000-000030030000}"/>
    <cellStyle name="Accent1 6" xfId="821" xr:uid="{00000000-0005-0000-0000-000031030000}"/>
    <cellStyle name="Accent1 7" xfId="822" xr:uid="{00000000-0005-0000-0000-000032030000}"/>
    <cellStyle name="Accent1 8" xfId="823" xr:uid="{00000000-0005-0000-0000-000033030000}"/>
    <cellStyle name="Accent1 9" xfId="824" xr:uid="{00000000-0005-0000-0000-000034030000}"/>
    <cellStyle name="Accent2 10" xfId="825" xr:uid="{00000000-0005-0000-0000-000035030000}"/>
    <cellStyle name="Accent2 11" xfId="826" xr:uid="{00000000-0005-0000-0000-000036030000}"/>
    <cellStyle name="Accent2 12" xfId="827" xr:uid="{00000000-0005-0000-0000-000037030000}"/>
    <cellStyle name="Accent2 13" xfId="828" xr:uid="{00000000-0005-0000-0000-000038030000}"/>
    <cellStyle name="Accent2 14" xfId="829" xr:uid="{00000000-0005-0000-0000-000039030000}"/>
    <cellStyle name="Accent2 15" xfId="830" xr:uid="{00000000-0005-0000-0000-00003A030000}"/>
    <cellStyle name="Accent2 16" xfId="831" xr:uid="{00000000-0005-0000-0000-00003B030000}"/>
    <cellStyle name="Accent2 17" xfId="832" xr:uid="{00000000-0005-0000-0000-00003C030000}"/>
    <cellStyle name="Accent2 18" xfId="833" xr:uid="{00000000-0005-0000-0000-00003D030000}"/>
    <cellStyle name="Accent2 19" xfId="834" xr:uid="{00000000-0005-0000-0000-00003E030000}"/>
    <cellStyle name="Accent2 2" xfId="835" xr:uid="{00000000-0005-0000-0000-00003F030000}"/>
    <cellStyle name="Accent2 2 2" xfId="836" xr:uid="{00000000-0005-0000-0000-000040030000}"/>
    <cellStyle name="Accent2 20" xfId="837" xr:uid="{00000000-0005-0000-0000-000041030000}"/>
    <cellStyle name="Accent2 21" xfId="838" xr:uid="{00000000-0005-0000-0000-000042030000}"/>
    <cellStyle name="Accent2 22" xfId="839" xr:uid="{00000000-0005-0000-0000-000043030000}"/>
    <cellStyle name="Accent2 23" xfId="840" xr:uid="{00000000-0005-0000-0000-000044030000}"/>
    <cellStyle name="Accent2 24" xfId="841" xr:uid="{00000000-0005-0000-0000-000045030000}"/>
    <cellStyle name="Accent2 25" xfId="842" xr:uid="{00000000-0005-0000-0000-000046030000}"/>
    <cellStyle name="Accent2 26" xfId="843" xr:uid="{00000000-0005-0000-0000-000047030000}"/>
    <cellStyle name="Accent2 27" xfId="844" xr:uid="{00000000-0005-0000-0000-000048030000}"/>
    <cellStyle name="Accent2 28" xfId="845" xr:uid="{00000000-0005-0000-0000-000049030000}"/>
    <cellStyle name="Accent2 29" xfId="846" xr:uid="{00000000-0005-0000-0000-00004A030000}"/>
    <cellStyle name="Accent2 3" xfId="847" xr:uid="{00000000-0005-0000-0000-00004B030000}"/>
    <cellStyle name="Accent2 30" xfId="848" xr:uid="{00000000-0005-0000-0000-00004C030000}"/>
    <cellStyle name="Accent2 31" xfId="849" xr:uid="{00000000-0005-0000-0000-00004D030000}"/>
    <cellStyle name="Accent2 32" xfId="850" xr:uid="{00000000-0005-0000-0000-00004E030000}"/>
    <cellStyle name="Accent2 33" xfId="851" xr:uid="{00000000-0005-0000-0000-00004F030000}"/>
    <cellStyle name="Accent2 34" xfId="852" xr:uid="{00000000-0005-0000-0000-000050030000}"/>
    <cellStyle name="Accent2 35" xfId="853" xr:uid="{00000000-0005-0000-0000-000051030000}"/>
    <cellStyle name="Accent2 36" xfId="854" xr:uid="{00000000-0005-0000-0000-000052030000}"/>
    <cellStyle name="Accent2 37" xfId="855" xr:uid="{00000000-0005-0000-0000-000053030000}"/>
    <cellStyle name="Accent2 38" xfId="856" xr:uid="{00000000-0005-0000-0000-000054030000}"/>
    <cellStyle name="Accent2 39" xfId="857" xr:uid="{00000000-0005-0000-0000-000055030000}"/>
    <cellStyle name="Accent2 4" xfId="858" xr:uid="{00000000-0005-0000-0000-000056030000}"/>
    <cellStyle name="Accent2 40" xfId="859" xr:uid="{00000000-0005-0000-0000-000057030000}"/>
    <cellStyle name="Accent2 41" xfId="860" xr:uid="{00000000-0005-0000-0000-000058030000}"/>
    <cellStyle name="Accent2 42" xfId="861" xr:uid="{00000000-0005-0000-0000-000059030000}"/>
    <cellStyle name="Accent2 5" xfId="862" xr:uid="{00000000-0005-0000-0000-00005A030000}"/>
    <cellStyle name="Accent2 6" xfId="863" xr:uid="{00000000-0005-0000-0000-00005B030000}"/>
    <cellStyle name="Accent2 7" xfId="864" xr:uid="{00000000-0005-0000-0000-00005C030000}"/>
    <cellStyle name="Accent2 8" xfId="865" xr:uid="{00000000-0005-0000-0000-00005D030000}"/>
    <cellStyle name="Accent2 9" xfId="866" xr:uid="{00000000-0005-0000-0000-00005E030000}"/>
    <cellStyle name="Accent3 10" xfId="867" xr:uid="{00000000-0005-0000-0000-00005F030000}"/>
    <cellStyle name="Accent3 11" xfId="868" xr:uid="{00000000-0005-0000-0000-000060030000}"/>
    <cellStyle name="Accent3 12" xfId="869" xr:uid="{00000000-0005-0000-0000-000061030000}"/>
    <cellStyle name="Accent3 13" xfId="870" xr:uid="{00000000-0005-0000-0000-000062030000}"/>
    <cellStyle name="Accent3 14" xfId="871" xr:uid="{00000000-0005-0000-0000-000063030000}"/>
    <cellStyle name="Accent3 15" xfId="872" xr:uid="{00000000-0005-0000-0000-000064030000}"/>
    <cellStyle name="Accent3 16" xfId="873" xr:uid="{00000000-0005-0000-0000-000065030000}"/>
    <cellStyle name="Accent3 17" xfId="874" xr:uid="{00000000-0005-0000-0000-000066030000}"/>
    <cellStyle name="Accent3 18" xfId="875" xr:uid="{00000000-0005-0000-0000-000067030000}"/>
    <cellStyle name="Accent3 19" xfId="876" xr:uid="{00000000-0005-0000-0000-000068030000}"/>
    <cellStyle name="Accent3 2" xfId="877" xr:uid="{00000000-0005-0000-0000-000069030000}"/>
    <cellStyle name="Accent3 2 2" xfId="878" xr:uid="{00000000-0005-0000-0000-00006A030000}"/>
    <cellStyle name="Accent3 20" xfId="879" xr:uid="{00000000-0005-0000-0000-00006B030000}"/>
    <cellStyle name="Accent3 21" xfId="880" xr:uid="{00000000-0005-0000-0000-00006C030000}"/>
    <cellStyle name="Accent3 22" xfId="881" xr:uid="{00000000-0005-0000-0000-00006D030000}"/>
    <cellStyle name="Accent3 23" xfId="882" xr:uid="{00000000-0005-0000-0000-00006E030000}"/>
    <cellStyle name="Accent3 24" xfId="883" xr:uid="{00000000-0005-0000-0000-00006F030000}"/>
    <cellStyle name="Accent3 25" xfId="884" xr:uid="{00000000-0005-0000-0000-000070030000}"/>
    <cellStyle name="Accent3 26" xfId="885" xr:uid="{00000000-0005-0000-0000-000071030000}"/>
    <cellStyle name="Accent3 27" xfId="886" xr:uid="{00000000-0005-0000-0000-000072030000}"/>
    <cellStyle name="Accent3 28" xfId="887" xr:uid="{00000000-0005-0000-0000-000073030000}"/>
    <cellStyle name="Accent3 29" xfId="888" xr:uid="{00000000-0005-0000-0000-000074030000}"/>
    <cellStyle name="Accent3 3" xfId="889" xr:uid="{00000000-0005-0000-0000-000075030000}"/>
    <cellStyle name="Accent3 30" xfId="890" xr:uid="{00000000-0005-0000-0000-000076030000}"/>
    <cellStyle name="Accent3 31" xfId="891" xr:uid="{00000000-0005-0000-0000-000077030000}"/>
    <cellStyle name="Accent3 32" xfId="892" xr:uid="{00000000-0005-0000-0000-000078030000}"/>
    <cellStyle name="Accent3 33" xfId="893" xr:uid="{00000000-0005-0000-0000-000079030000}"/>
    <cellStyle name="Accent3 34" xfId="894" xr:uid="{00000000-0005-0000-0000-00007A030000}"/>
    <cellStyle name="Accent3 35" xfId="895" xr:uid="{00000000-0005-0000-0000-00007B030000}"/>
    <cellStyle name="Accent3 36" xfId="896" xr:uid="{00000000-0005-0000-0000-00007C030000}"/>
    <cellStyle name="Accent3 37" xfId="897" xr:uid="{00000000-0005-0000-0000-00007D030000}"/>
    <cellStyle name="Accent3 38" xfId="898" xr:uid="{00000000-0005-0000-0000-00007E030000}"/>
    <cellStyle name="Accent3 39" xfId="899" xr:uid="{00000000-0005-0000-0000-00007F030000}"/>
    <cellStyle name="Accent3 4" xfId="900" xr:uid="{00000000-0005-0000-0000-000080030000}"/>
    <cellStyle name="Accent3 40" xfId="901" xr:uid="{00000000-0005-0000-0000-000081030000}"/>
    <cellStyle name="Accent3 41" xfId="902" xr:uid="{00000000-0005-0000-0000-000082030000}"/>
    <cellStyle name="Accent3 42" xfId="903" xr:uid="{00000000-0005-0000-0000-000083030000}"/>
    <cellStyle name="Accent3 5" xfId="904" xr:uid="{00000000-0005-0000-0000-000084030000}"/>
    <cellStyle name="Accent3 6" xfId="905" xr:uid="{00000000-0005-0000-0000-000085030000}"/>
    <cellStyle name="Accent3 7" xfId="906" xr:uid="{00000000-0005-0000-0000-000086030000}"/>
    <cellStyle name="Accent3 8" xfId="907" xr:uid="{00000000-0005-0000-0000-000087030000}"/>
    <cellStyle name="Accent3 9" xfId="908" xr:uid="{00000000-0005-0000-0000-000088030000}"/>
    <cellStyle name="Accent4 10" xfId="909" xr:uid="{00000000-0005-0000-0000-000089030000}"/>
    <cellStyle name="Accent4 11" xfId="910" xr:uid="{00000000-0005-0000-0000-00008A030000}"/>
    <cellStyle name="Accent4 12" xfId="911" xr:uid="{00000000-0005-0000-0000-00008B030000}"/>
    <cellStyle name="Accent4 13" xfId="912" xr:uid="{00000000-0005-0000-0000-00008C030000}"/>
    <cellStyle name="Accent4 14" xfId="913" xr:uid="{00000000-0005-0000-0000-00008D030000}"/>
    <cellStyle name="Accent4 15" xfId="914" xr:uid="{00000000-0005-0000-0000-00008E030000}"/>
    <cellStyle name="Accent4 16" xfId="915" xr:uid="{00000000-0005-0000-0000-00008F030000}"/>
    <cellStyle name="Accent4 17" xfId="916" xr:uid="{00000000-0005-0000-0000-000090030000}"/>
    <cellStyle name="Accent4 18" xfId="917" xr:uid="{00000000-0005-0000-0000-000091030000}"/>
    <cellStyle name="Accent4 19" xfId="918" xr:uid="{00000000-0005-0000-0000-000092030000}"/>
    <cellStyle name="Accent4 2" xfId="919" xr:uid="{00000000-0005-0000-0000-000093030000}"/>
    <cellStyle name="Accent4 2 2" xfId="920" xr:uid="{00000000-0005-0000-0000-000094030000}"/>
    <cellStyle name="Accent4 20" xfId="921" xr:uid="{00000000-0005-0000-0000-000095030000}"/>
    <cellStyle name="Accent4 21" xfId="922" xr:uid="{00000000-0005-0000-0000-000096030000}"/>
    <cellStyle name="Accent4 22" xfId="923" xr:uid="{00000000-0005-0000-0000-000097030000}"/>
    <cellStyle name="Accent4 23" xfId="924" xr:uid="{00000000-0005-0000-0000-000098030000}"/>
    <cellStyle name="Accent4 24" xfId="925" xr:uid="{00000000-0005-0000-0000-000099030000}"/>
    <cellStyle name="Accent4 25" xfId="926" xr:uid="{00000000-0005-0000-0000-00009A030000}"/>
    <cellStyle name="Accent4 26" xfId="927" xr:uid="{00000000-0005-0000-0000-00009B030000}"/>
    <cellStyle name="Accent4 27" xfId="928" xr:uid="{00000000-0005-0000-0000-00009C030000}"/>
    <cellStyle name="Accent4 28" xfId="929" xr:uid="{00000000-0005-0000-0000-00009D030000}"/>
    <cellStyle name="Accent4 29" xfId="930" xr:uid="{00000000-0005-0000-0000-00009E030000}"/>
    <cellStyle name="Accent4 3" xfId="931" xr:uid="{00000000-0005-0000-0000-00009F030000}"/>
    <cellStyle name="Accent4 30" xfId="932" xr:uid="{00000000-0005-0000-0000-0000A0030000}"/>
    <cellStyle name="Accent4 31" xfId="933" xr:uid="{00000000-0005-0000-0000-0000A1030000}"/>
    <cellStyle name="Accent4 32" xfId="934" xr:uid="{00000000-0005-0000-0000-0000A2030000}"/>
    <cellStyle name="Accent4 33" xfId="935" xr:uid="{00000000-0005-0000-0000-0000A3030000}"/>
    <cellStyle name="Accent4 34" xfId="936" xr:uid="{00000000-0005-0000-0000-0000A4030000}"/>
    <cellStyle name="Accent4 35" xfId="937" xr:uid="{00000000-0005-0000-0000-0000A5030000}"/>
    <cellStyle name="Accent4 36" xfId="938" xr:uid="{00000000-0005-0000-0000-0000A6030000}"/>
    <cellStyle name="Accent4 37" xfId="939" xr:uid="{00000000-0005-0000-0000-0000A7030000}"/>
    <cellStyle name="Accent4 38" xfId="940" xr:uid="{00000000-0005-0000-0000-0000A8030000}"/>
    <cellStyle name="Accent4 39" xfId="941" xr:uid="{00000000-0005-0000-0000-0000A9030000}"/>
    <cellStyle name="Accent4 4" xfId="942" xr:uid="{00000000-0005-0000-0000-0000AA030000}"/>
    <cellStyle name="Accent4 40" xfId="943" xr:uid="{00000000-0005-0000-0000-0000AB030000}"/>
    <cellStyle name="Accent4 41" xfId="944" xr:uid="{00000000-0005-0000-0000-0000AC030000}"/>
    <cellStyle name="Accent4 42" xfId="945" xr:uid="{00000000-0005-0000-0000-0000AD030000}"/>
    <cellStyle name="Accent4 5" xfId="946" xr:uid="{00000000-0005-0000-0000-0000AE030000}"/>
    <cellStyle name="Accent4 6" xfId="947" xr:uid="{00000000-0005-0000-0000-0000AF030000}"/>
    <cellStyle name="Accent4 7" xfId="948" xr:uid="{00000000-0005-0000-0000-0000B0030000}"/>
    <cellStyle name="Accent4 8" xfId="949" xr:uid="{00000000-0005-0000-0000-0000B1030000}"/>
    <cellStyle name="Accent4 9" xfId="950" xr:uid="{00000000-0005-0000-0000-0000B2030000}"/>
    <cellStyle name="Accent5 10" xfId="951" xr:uid="{00000000-0005-0000-0000-0000B3030000}"/>
    <cellStyle name="Accent5 11" xfId="952" xr:uid="{00000000-0005-0000-0000-0000B4030000}"/>
    <cellStyle name="Accent5 12" xfId="953" xr:uid="{00000000-0005-0000-0000-0000B5030000}"/>
    <cellStyle name="Accent5 13" xfId="954" xr:uid="{00000000-0005-0000-0000-0000B6030000}"/>
    <cellStyle name="Accent5 14" xfId="955" xr:uid="{00000000-0005-0000-0000-0000B7030000}"/>
    <cellStyle name="Accent5 15" xfId="956" xr:uid="{00000000-0005-0000-0000-0000B8030000}"/>
    <cellStyle name="Accent5 16" xfId="957" xr:uid="{00000000-0005-0000-0000-0000B9030000}"/>
    <cellStyle name="Accent5 17" xfId="958" xr:uid="{00000000-0005-0000-0000-0000BA030000}"/>
    <cellStyle name="Accent5 18" xfId="959" xr:uid="{00000000-0005-0000-0000-0000BB030000}"/>
    <cellStyle name="Accent5 19" xfId="960" xr:uid="{00000000-0005-0000-0000-0000BC030000}"/>
    <cellStyle name="Accent5 2" xfId="961" xr:uid="{00000000-0005-0000-0000-0000BD030000}"/>
    <cellStyle name="Accent5 2 2" xfId="962" xr:uid="{00000000-0005-0000-0000-0000BE030000}"/>
    <cellStyle name="Accent5 20" xfId="963" xr:uid="{00000000-0005-0000-0000-0000BF030000}"/>
    <cellStyle name="Accent5 21" xfId="964" xr:uid="{00000000-0005-0000-0000-0000C0030000}"/>
    <cellStyle name="Accent5 22" xfId="965" xr:uid="{00000000-0005-0000-0000-0000C1030000}"/>
    <cellStyle name="Accent5 23" xfId="966" xr:uid="{00000000-0005-0000-0000-0000C2030000}"/>
    <cellStyle name="Accent5 24" xfId="967" xr:uid="{00000000-0005-0000-0000-0000C3030000}"/>
    <cellStyle name="Accent5 25" xfId="968" xr:uid="{00000000-0005-0000-0000-0000C4030000}"/>
    <cellStyle name="Accent5 26" xfId="969" xr:uid="{00000000-0005-0000-0000-0000C5030000}"/>
    <cellStyle name="Accent5 27" xfId="970" xr:uid="{00000000-0005-0000-0000-0000C6030000}"/>
    <cellStyle name="Accent5 28" xfId="971" xr:uid="{00000000-0005-0000-0000-0000C7030000}"/>
    <cellStyle name="Accent5 29" xfId="972" xr:uid="{00000000-0005-0000-0000-0000C8030000}"/>
    <cellStyle name="Accent5 3" xfId="973" xr:uid="{00000000-0005-0000-0000-0000C9030000}"/>
    <cellStyle name="Accent5 30" xfId="974" xr:uid="{00000000-0005-0000-0000-0000CA030000}"/>
    <cellStyle name="Accent5 31" xfId="975" xr:uid="{00000000-0005-0000-0000-0000CB030000}"/>
    <cellStyle name="Accent5 32" xfId="976" xr:uid="{00000000-0005-0000-0000-0000CC030000}"/>
    <cellStyle name="Accent5 33" xfId="977" xr:uid="{00000000-0005-0000-0000-0000CD030000}"/>
    <cellStyle name="Accent5 34" xfId="978" xr:uid="{00000000-0005-0000-0000-0000CE030000}"/>
    <cellStyle name="Accent5 35" xfId="979" xr:uid="{00000000-0005-0000-0000-0000CF030000}"/>
    <cellStyle name="Accent5 36" xfId="980" xr:uid="{00000000-0005-0000-0000-0000D0030000}"/>
    <cellStyle name="Accent5 37" xfId="981" xr:uid="{00000000-0005-0000-0000-0000D1030000}"/>
    <cellStyle name="Accent5 38" xfId="982" xr:uid="{00000000-0005-0000-0000-0000D2030000}"/>
    <cellStyle name="Accent5 39" xfId="983" xr:uid="{00000000-0005-0000-0000-0000D3030000}"/>
    <cellStyle name="Accent5 4" xfId="984" xr:uid="{00000000-0005-0000-0000-0000D4030000}"/>
    <cellStyle name="Accent5 40" xfId="985" xr:uid="{00000000-0005-0000-0000-0000D5030000}"/>
    <cellStyle name="Accent5 41" xfId="986" xr:uid="{00000000-0005-0000-0000-0000D6030000}"/>
    <cellStyle name="Accent5 42" xfId="987" xr:uid="{00000000-0005-0000-0000-0000D7030000}"/>
    <cellStyle name="Accent5 5" xfId="988" xr:uid="{00000000-0005-0000-0000-0000D8030000}"/>
    <cellStyle name="Accent5 6" xfId="989" xr:uid="{00000000-0005-0000-0000-0000D9030000}"/>
    <cellStyle name="Accent5 7" xfId="990" xr:uid="{00000000-0005-0000-0000-0000DA030000}"/>
    <cellStyle name="Accent5 8" xfId="991" xr:uid="{00000000-0005-0000-0000-0000DB030000}"/>
    <cellStyle name="Accent5 9" xfId="992" xr:uid="{00000000-0005-0000-0000-0000DC030000}"/>
    <cellStyle name="Accent6 10" xfId="993" xr:uid="{00000000-0005-0000-0000-0000DD030000}"/>
    <cellStyle name="Accent6 11" xfId="994" xr:uid="{00000000-0005-0000-0000-0000DE030000}"/>
    <cellStyle name="Accent6 12" xfId="995" xr:uid="{00000000-0005-0000-0000-0000DF030000}"/>
    <cellStyle name="Accent6 13" xfId="996" xr:uid="{00000000-0005-0000-0000-0000E0030000}"/>
    <cellStyle name="Accent6 14" xfId="997" xr:uid="{00000000-0005-0000-0000-0000E1030000}"/>
    <cellStyle name="Accent6 15" xfId="998" xr:uid="{00000000-0005-0000-0000-0000E2030000}"/>
    <cellStyle name="Accent6 16" xfId="999" xr:uid="{00000000-0005-0000-0000-0000E3030000}"/>
    <cellStyle name="Accent6 17" xfId="1000" xr:uid="{00000000-0005-0000-0000-0000E4030000}"/>
    <cellStyle name="Accent6 18" xfId="1001" xr:uid="{00000000-0005-0000-0000-0000E5030000}"/>
    <cellStyle name="Accent6 19" xfId="1002" xr:uid="{00000000-0005-0000-0000-0000E6030000}"/>
    <cellStyle name="Accent6 2" xfId="1003" xr:uid="{00000000-0005-0000-0000-0000E7030000}"/>
    <cellStyle name="Accent6 2 2" xfId="1004" xr:uid="{00000000-0005-0000-0000-0000E8030000}"/>
    <cellStyle name="Accent6 20" xfId="1005" xr:uid="{00000000-0005-0000-0000-0000E9030000}"/>
    <cellStyle name="Accent6 21" xfId="1006" xr:uid="{00000000-0005-0000-0000-0000EA030000}"/>
    <cellStyle name="Accent6 22" xfId="1007" xr:uid="{00000000-0005-0000-0000-0000EB030000}"/>
    <cellStyle name="Accent6 23" xfId="1008" xr:uid="{00000000-0005-0000-0000-0000EC030000}"/>
    <cellStyle name="Accent6 24" xfId="1009" xr:uid="{00000000-0005-0000-0000-0000ED030000}"/>
    <cellStyle name="Accent6 25" xfId="1010" xr:uid="{00000000-0005-0000-0000-0000EE030000}"/>
    <cellStyle name="Accent6 26" xfId="1011" xr:uid="{00000000-0005-0000-0000-0000EF030000}"/>
    <cellStyle name="Accent6 27" xfId="1012" xr:uid="{00000000-0005-0000-0000-0000F0030000}"/>
    <cellStyle name="Accent6 28" xfId="1013" xr:uid="{00000000-0005-0000-0000-0000F1030000}"/>
    <cellStyle name="Accent6 29" xfId="1014" xr:uid="{00000000-0005-0000-0000-0000F2030000}"/>
    <cellStyle name="Accent6 3" xfId="1015" xr:uid="{00000000-0005-0000-0000-0000F3030000}"/>
    <cellStyle name="Accent6 30" xfId="1016" xr:uid="{00000000-0005-0000-0000-0000F4030000}"/>
    <cellStyle name="Accent6 31" xfId="1017" xr:uid="{00000000-0005-0000-0000-0000F5030000}"/>
    <cellStyle name="Accent6 32" xfId="1018" xr:uid="{00000000-0005-0000-0000-0000F6030000}"/>
    <cellStyle name="Accent6 33" xfId="1019" xr:uid="{00000000-0005-0000-0000-0000F7030000}"/>
    <cellStyle name="Accent6 34" xfId="1020" xr:uid="{00000000-0005-0000-0000-0000F8030000}"/>
    <cellStyle name="Accent6 35" xfId="1021" xr:uid="{00000000-0005-0000-0000-0000F9030000}"/>
    <cellStyle name="Accent6 36" xfId="1022" xr:uid="{00000000-0005-0000-0000-0000FA030000}"/>
    <cellStyle name="Accent6 37" xfId="1023" xr:uid="{00000000-0005-0000-0000-0000FB030000}"/>
    <cellStyle name="Accent6 38" xfId="1024" xr:uid="{00000000-0005-0000-0000-0000FC030000}"/>
    <cellStyle name="Accent6 39" xfId="1025" xr:uid="{00000000-0005-0000-0000-0000FD030000}"/>
    <cellStyle name="Accent6 4" xfId="1026" xr:uid="{00000000-0005-0000-0000-0000FE030000}"/>
    <cellStyle name="Accent6 40" xfId="1027" xr:uid="{00000000-0005-0000-0000-0000FF030000}"/>
    <cellStyle name="Accent6 41" xfId="1028" xr:uid="{00000000-0005-0000-0000-000000040000}"/>
    <cellStyle name="Accent6 42" xfId="1029" xr:uid="{00000000-0005-0000-0000-000001040000}"/>
    <cellStyle name="Accent6 5" xfId="1030" xr:uid="{00000000-0005-0000-0000-000002040000}"/>
    <cellStyle name="Accent6 6" xfId="1031" xr:uid="{00000000-0005-0000-0000-000003040000}"/>
    <cellStyle name="Accent6 7" xfId="1032" xr:uid="{00000000-0005-0000-0000-000004040000}"/>
    <cellStyle name="Accent6 8" xfId="1033" xr:uid="{00000000-0005-0000-0000-000005040000}"/>
    <cellStyle name="Accent6 9" xfId="1034" xr:uid="{00000000-0005-0000-0000-000006040000}"/>
    <cellStyle name="Bad 10" xfId="1035" xr:uid="{00000000-0005-0000-0000-000007040000}"/>
    <cellStyle name="Bad 11" xfId="1036" xr:uid="{00000000-0005-0000-0000-000008040000}"/>
    <cellStyle name="Bad 12" xfId="1037" xr:uid="{00000000-0005-0000-0000-000009040000}"/>
    <cellStyle name="Bad 13" xfId="1038" xr:uid="{00000000-0005-0000-0000-00000A040000}"/>
    <cellStyle name="Bad 14" xfId="1039" xr:uid="{00000000-0005-0000-0000-00000B040000}"/>
    <cellStyle name="Bad 15" xfId="1040" xr:uid="{00000000-0005-0000-0000-00000C040000}"/>
    <cellStyle name="Bad 16" xfId="1041" xr:uid="{00000000-0005-0000-0000-00000D040000}"/>
    <cellStyle name="Bad 17" xfId="1042" xr:uid="{00000000-0005-0000-0000-00000E040000}"/>
    <cellStyle name="Bad 18" xfId="1043" xr:uid="{00000000-0005-0000-0000-00000F040000}"/>
    <cellStyle name="Bad 19" xfId="1044" xr:uid="{00000000-0005-0000-0000-000010040000}"/>
    <cellStyle name="Bad 2" xfId="1045" xr:uid="{00000000-0005-0000-0000-000011040000}"/>
    <cellStyle name="Bad 2 2" xfId="1046" xr:uid="{00000000-0005-0000-0000-000012040000}"/>
    <cellStyle name="Bad 20" xfId="1047" xr:uid="{00000000-0005-0000-0000-000013040000}"/>
    <cellStyle name="Bad 21" xfId="1048" xr:uid="{00000000-0005-0000-0000-000014040000}"/>
    <cellStyle name="Bad 22" xfId="1049" xr:uid="{00000000-0005-0000-0000-000015040000}"/>
    <cellStyle name="Bad 23" xfId="1050" xr:uid="{00000000-0005-0000-0000-000016040000}"/>
    <cellStyle name="Bad 24" xfId="1051" xr:uid="{00000000-0005-0000-0000-000017040000}"/>
    <cellStyle name="Bad 25" xfId="1052" xr:uid="{00000000-0005-0000-0000-000018040000}"/>
    <cellStyle name="Bad 26" xfId="1053" xr:uid="{00000000-0005-0000-0000-000019040000}"/>
    <cellStyle name="Bad 27" xfId="1054" xr:uid="{00000000-0005-0000-0000-00001A040000}"/>
    <cellStyle name="Bad 28" xfId="1055" xr:uid="{00000000-0005-0000-0000-00001B040000}"/>
    <cellStyle name="Bad 29" xfId="1056" xr:uid="{00000000-0005-0000-0000-00001C040000}"/>
    <cellStyle name="Bad 3" xfId="1057" xr:uid="{00000000-0005-0000-0000-00001D040000}"/>
    <cellStyle name="Bad 30" xfId="1058" xr:uid="{00000000-0005-0000-0000-00001E040000}"/>
    <cellStyle name="Bad 31" xfId="1059" xr:uid="{00000000-0005-0000-0000-00001F040000}"/>
    <cellStyle name="Bad 32" xfId="1060" xr:uid="{00000000-0005-0000-0000-000020040000}"/>
    <cellStyle name="Bad 33" xfId="1061" xr:uid="{00000000-0005-0000-0000-000021040000}"/>
    <cellStyle name="Bad 34" xfId="1062" xr:uid="{00000000-0005-0000-0000-000022040000}"/>
    <cellStyle name="Bad 35" xfId="1063" xr:uid="{00000000-0005-0000-0000-000023040000}"/>
    <cellStyle name="Bad 36" xfId="1064" xr:uid="{00000000-0005-0000-0000-000024040000}"/>
    <cellStyle name="Bad 37" xfId="1065" xr:uid="{00000000-0005-0000-0000-000025040000}"/>
    <cellStyle name="Bad 38" xfId="1066" xr:uid="{00000000-0005-0000-0000-000026040000}"/>
    <cellStyle name="Bad 39" xfId="1067" xr:uid="{00000000-0005-0000-0000-000027040000}"/>
    <cellStyle name="Bad 4" xfId="1068" xr:uid="{00000000-0005-0000-0000-000028040000}"/>
    <cellStyle name="Bad 40" xfId="1069" xr:uid="{00000000-0005-0000-0000-000029040000}"/>
    <cellStyle name="Bad 41" xfId="1070" xr:uid="{00000000-0005-0000-0000-00002A040000}"/>
    <cellStyle name="Bad 42" xfId="1071" xr:uid="{00000000-0005-0000-0000-00002B040000}"/>
    <cellStyle name="Bad 5" xfId="1072" xr:uid="{00000000-0005-0000-0000-00002C040000}"/>
    <cellStyle name="Bad 6" xfId="1073" xr:uid="{00000000-0005-0000-0000-00002D040000}"/>
    <cellStyle name="Bad 7" xfId="1074" xr:uid="{00000000-0005-0000-0000-00002E040000}"/>
    <cellStyle name="Bad 8" xfId="1075" xr:uid="{00000000-0005-0000-0000-00002F040000}"/>
    <cellStyle name="Bad 9" xfId="1076" xr:uid="{00000000-0005-0000-0000-000030040000}"/>
    <cellStyle name="c40" xfId="1077" xr:uid="{00000000-0005-0000-0000-000031040000}"/>
    <cellStyle name="Calculation 10" xfId="1078" xr:uid="{00000000-0005-0000-0000-000032040000}"/>
    <cellStyle name="Calculation 11" xfId="1079" xr:uid="{00000000-0005-0000-0000-000033040000}"/>
    <cellStyle name="Calculation 12" xfId="1080" xr:uid="{00000000-0005-0000-0000-000034040000}"/>
    <cellStyle name="Calculation 13" xfId="1081" xr:uid="{00000000-0005-0000-0000-000035040000}"/>
    <cellStyle name="Calculation 14" xfId="1082" xr:uid="{00000000-0005-0000-0000-000036040000}"/>
    <cellStyle name="Calculation 15" xfId="1083" xr:uid="{00000000-0005-0000-0000-000037040000}"/>
    <cellStyle name="Calculation 16" xfId="1084" xr:uid="{00000000-0005-0000-0000-000038040000}"/>
    <cellStyle name="Calculation 17" xfId="1085" xr:uid="{00000000-0005-0000-0000-000039040000}"/>
    <cellStyle name="Calculation 18" xfId="1086" xr:uid="{00000000-0005-0000-0000-00003A040000}"/>
    <cellStyle name="Calculation 19" xfId="1087" xr:uid="{00000000-0005-0000-0000-00003B040000}"/>
    <cellStyle name="Calculation 2" xfId="1088" xr:uid="{00000000-0005-0000-0000-00003C040000}"/>
    <cellStyle name="Calculation 2 2" xfId="1089" xr:uid="{00000000-0005-0000-0000-00003D040000}"/>
    <cellStyle name="Calculation 20" xfId="1090" xr:uid="{00000000-0005-0000-0000-00003E040000}"/>
    <cellStyle name="Calculation 21" xfId="1091" xr:uid="{00000000-0005-0000-0000-00003F040000}"/>
    <cellStyle name="Calculation 22" xfId="1092" xr:uid="{00000000-0005-0000-0000-000040040000}"/>
    <cellStyle name="Calculation 23" xfId="1093" xr:uid="{00000000-0005-0000-0000-000041040000}"/>
    <cellStyle name="Calculation 24" xfId="1094" xr:uid="{00000000-0005-0000-0000-000042040000}"/>
    <cellStyle name="Calculation 25" xfId="1095" xr:uid="{00000000-0005-0000-0000-000043040000}"/>
    <cellStyle name="Calculation 26" xfId="1096" xr:uid="{00000000-0005-0000-0000-000044040000}"/>
    <cellStyle name="Calculation 27" xfId="1097" xr:uid="{00000000-0005-0000-0000-000045040000}"/>
    <cellStyle name="Calculation 28" xfId="1098" xr:uid="{00000000-0005-0000-0000-000046040000}"/>
    <cellStyle name="Calculation 29" xfId="1099" xr:uid="{00000000-0005-0000-0000-000047040000}"/>
    <cellStyle name="Calculation 3" xfId="1100" xr:uid="{00000000-0005-0000-0000-000048040000}"/>
    <cellStyle name="Calculation 30" xfId="1101" xr:uid="{00000000-0005-0000-0000-000049040000}"/>
    <cellStyle name="Calculation 31" xfId="1102" xr:uid="{00000000-0005-0000-0000-00004A040000}"/>
    <cellStyle name="Calculation 32" xfId="1103" xr:uid="{00000000-0005-0000-0000-00004B040000}"/>
    <cellStyle name="Calculation 33" xfId="1104" xr:uid="{00000000-0005-0000-0000-00004C040000}"/>
    <cellStyle name="Calculation 34" xfId="1105" xr:uid="{00000000-0005-0000-0000-00004D040000}"/>
    <cellStyle name="Calculation 35" xfId="1106" xr:uid="{00000000-0005-0000-0000-00004E040000}"/>
    <cellStyle name="Calculation 36" xfId="1107" xr:uid="{00000000-0005-0000-0000-00004F040000}"/>
    <cellStyle name="Calculation 37" xfId="1108" xr:uid="{00000000-0005-0000-0000-000050040000}"/>
    <cellStyle name="Calculation 38" xfId="1109" xr:uid="{00000000-0005-0000-0000-000051040000}"/>
    <cellStyle name="Calculation 39" xfId="1110" xr:uid="{00000000-0005-0000-0000-000052040000}"/>
    <cellStyle name="Calculation 4" xfId="1111" xr:uid="{00000000-0005-0000-0000-000053040000}"/>
    <cellStyle name="Calculation 40" xfId="1112" xr:uid="{00000000-0005-0000-0000-000054040000}"/>
    <cellStyle name="Calculation 41" xfId="1113" xr:uid="{00000000-0005-0000-0000-000055040000}"/>
    <cellStyle name="Calculation 42" xfId="1114" xr:uid="{00000000-0005-0000-0000-000056040000}"/>
    <cellStyle name="Calculation 5" xfId="1115" xr:uid="{00000000-0005-0000-0000-000057040000}"/>
    <cellStyle name="Calculation 6" xfId="1116" xr:uid="{00000000-0005-0000-0000-000058040000}"/>
    <cellStyle name="Calculation 7" xfId="1117" xr:uid="{00000000-0005-0000-0000-000059040000}"/>
    <cellStyle name="Calculation 8" xfId="1118" xr:uid="{00000000-0005-0000-0000-00005A040000}"/>
    <cellStyle name="Calculation 9" xfId="1119" xr:uid="{00000000-0005-0000-0000-00005B040000}"/>
    <cellStyle name="Check Cell 10" xfId="1120" xr:uid="{00000000-0005-0000-0000-00005C040000}"/>
    <cellStyle name="Check Cell 11" xfId="1121" xr:uid="{00000000-0005-0000-0000-00005D040000}"/>
    <cellStyle name="Check Cell 12" xfId="1122" xr:uid="{00000000-0005-0000-0000-00005E040000}"/>
    <cellStyle name="Check Cell 13" xfId="1123" xr:uid="{00000000-0005-0000-0000-00005F040000}"/>
    <cellStyle name="Check Cell 14" xfId="1124" xr:uid="{00000000-0005-0000-0000-000060040000}"/>
    <cellStyle name="Check Cell 15" xfId="1125" xr:uid="{00000000-0005-0000-0000-000061040000}"/>
    <cellStyle name="Check Cell 16" xfId="1126" xr:uid="{00000000-0005-0000-0000-000062040000}"/>
    <cellStyle name="Check Cell 17" xfId="1127" xr:uid="{00000000-0005-0000-0000-000063040000}"/>
    <cellStyle name="Check Cell 18" xfId="1128" xr:uid="{00000000-0005-0000-0000-000064040000}"/>
    <cellStyle name="Check Cell 19" xfId="1129" xr:uid="{00000000-0005-0000-0000-000065040000}"/>
    <cellStyle name="Check Cell 2" xfId="1130" xr:uid="{00000000-0005-0000-0000-000066040000}"/>
    <cellStyle name="Check Cell 2 2" xfId="1131" xr:uid="{00000000-0005-0000-0000-000067040000}"/>
    <cellStyle name="Check Cell 20" xfId="1132" xr:uid="{00000000-0005-0000-0000-000068040000}"/>
    <cellStyle name="Check Cell 21" xfId="1133" xr:uid="{00000000-0005-0000-0000-000069040000}"/>
    <cellStyle name="Check Cell 22" xfId="1134" xr:uid="{00000000-0005-0000-0000-00006A040000}"/>
    <cellStyle name="Check Cell 23" xfId="1135" xr:uid="{00000000-0005-0000-0000-00006B040000}"/>
    <cellStyle name="Check Cell 24" xfId="1136" xr:uid="{00000000-0005-0000-0000-00006C040000}"/>
    <cellStyle name="Check Cell 25" xfId="1137" xr:uid="{00000000-0005-0000-0000-00006D040000}"/>
    <cellStyle name="Check Cell 26" xfId="1138" xr:uid="{00000000-0005-0000-0000-00006E040000}"/>
    <cellStyle name="Check Cell 27" xfId="1139" xr:uid="{00000000-0005-0000-0000-00006F040000}"/>
    <cellStyle name="Check Cell 28" xfId="1140" xr:uid="{00000000-0005-0000-0000-000070040000}"/>
    <cellStyle name="Check Cell 29" xfId="1141" xr:uid="{00000000-0005-0000-0000-000071040000}"/>
    <cellStyle name="Check Cell 3" xfId="1142" xr:uid="{00000000-0005-0000-0000-000072040000}"/>
    <cellStyle name="Check Cell 30" xfId="1143" xr:uid="{00000000-0005-0000-0000-000073040000}"/>
    <cellStyle name="Check Cell 31" xfId="1144" xr:uid="{00000000-0005-0000-0000-000074040000}"/>
    <cellStyle name="Check Cell 32" xfId="1145" xr:uid="{00000000-0005-0000-0000-000075040000}"/>
    <cellStyle name="Check Cell 33" xfId="1146" xr:uid="{00000000-0005-0000-0000-000076040000}"/>
    <cellStyle name="Check Cell 34" xfId="1147" xr:uid="{00000000-0005-0000-0000-000077040000}"/>
    <cellStyle name="Check Cell 35" xfId="1148" xr:uid="{00000000-0005-0000-0000-000078040000}"/>
    <cellStyle name="Check Cell 36" xfId="1149" xr:uid="{00000000-0005-0000-0000-000079040000}"/>
    <cellStyle name="Check Cell 37" xfId="1150" xr:uid="{00000000-0005-0000-0000-00007A040000}"/>
    <cellStyle name="Check Cell 38" xfId="1151" xr:uid="{00000000-0005-0000-0000-00007B040000}"/>
    <cellStyle name="Check Cell 39" xfId="1152" xr:uid="{00000000-0005-0000-0000-00007C040000}"/>
    <cellStyle name="Check Cell 4" xfId="1153" xr:uid="{00000000-0005-0000-0000-00007D040000}"/>
    <cellStyle name="Check Cell 40" xfId="1154" xr:uid="{00000000-0005-0000-0000-00007E040000}"/>
    <cellStyle name="Check Cell 41" xfId="1155" xr:uid="{00000000-0005-0000-0000-00007F040000}"/>
    <cellStyle name="Check Cell 42" xfId="1156" xr:uid="{00000000-0005-0000-0000-000080040000}"/>
    <cellStyle name="Check Cell 5" xfId="1157" xr:uid="{00000000-0005-0000-0000-000081040000}"/>
    <cellStyle name="Check Cell 6" xfId="1158" xr:uid="{00000000-0005-0000-0000-000082040000}"/>
    <cellStyle name="Check Cell 7" xfId="1159" xr:uid="{00000000-0005-0000-0000-000083040000}"/>
    <cellStyle name="Check Cell 8" xfId="1160" xr:uid="{00000000-0005-0000-0000-000084040000}"/>
    <cellStyle name="Check Cell 9" xfId="1161" xr:uid="{00000000-0005-0000-0000-000085040000}"/>
    <cellStyle name="Comma" xfId="1964" builtinId="3"/>
    <cellStyle name="Comma 2" xfId="1162" xr:uid="{00000000-0005-0000-0000-000086040000}"/>
    <cellStyle name="Comma 3" xfId="1163" xr:uid="{00000000-0005-0000-0000-000087040000}"/>
    <cellStyle name="Comma0 - Style2" xfId="1164" xr:uid="{00000000-0005-0000-0000-000088040000}"/>
    <cellStyle name="Comma0 - Style3" xfId="1165" xr:uid="{00000000-0005-0000-0000-000089040000}"/>
    <cellStyle name="Curren - Style4" xfId="1166" xr:uid="{00000000-0005-0000-0000-00008A040000}"/>
    <cellStyle name="Currency 2" xfId="1167" xr:uid="{00000000-0005-0000-0000-00008B040000}"/>
    <cellStyle name="Currency 3" xfId="1168" xr:uid="{00000000-0005-0000-0000-00008C040000}"/>
    <cellStyle name="Explanatory Text 10" xfId="1169" xr:uid="{00000000-0005-0000-0000-00008D040000}"/>
    <cellStyle name="Explanatory Text 11" xfId="1170" xr:uid="{00000000-0005-0000-0000-00008E040000}"/>
    <cellStyle name="Explanatory Text 12" xfId="1171" xr:uid="{00000000-0005-0000-0000-00008F040000}"/>
    <cellStyle name="Explanatory Text 13" xfId="1172" xr:uid="{00000000-0005-0000-0000-000090040000}"/>
    <cellStyle name="Explanatory Text 14" xfId="1173" xr:uid="{00000000-0005-0000-0000-000091040000}"/>
    <cellStyle name="Explanatory Text 15" xfId="1174" xr:uid="{00000000-0005-0000-0000-000092040000}"/>
    <cellStyle name="Explanatory Text 16" xfId="1175" xr:uid="{00000000-0005-0000-0000-000093040000}"/>
    <cellStyle name="Explanatory Text 17" xfId="1176" xr:uid="{00000000-0005-0000-0000-000094040000}"/>
    <cellStyle name="Explanatory Text 18" xfId="1177" xr:uid="{00000000-0005-0000-0000-000095040000}"/>
    <cellStyle name="Explanatory Text 19" xfId="1178" xr:uid="{00000000-0005-0000-0000-000096040000}"/>
    <cellStyle name="Explanatory Text 2" xfId="1179" xr:uid="{00000000-0005-0000-0000-000097040000}"/>
    <cellStyle name="Explanatory Text 2 2" xfId="1180" xr:uid="{00000000-0005-0000-0000-000098040000}"/>
    <cellStyle name="Explanatory Text 20" xfId="1181" xr:uid="{00000000-0005-0000-0000-000099040000}"/>
    <cellStyle name="Explanatory Text 21" xfId="1182" xr:uid="{00000000-0005-0000-0000-00009A040000}"/>
    <cellStyle name="Explanatory Text 22" xfId="1183" xr:uid="{00000000-0005-0000-0000-00009B040000}"/>
    <cellStyle name="Explanatory Text 23" xfId="1184" xr:uid="{00000000-0005-0000-0000-00009C040000}"/>
    <cellStyle name="Explanatory Text 24" xfId="1185" xr:uid="{00000000-0005-0000-0000-00009D040000}"/>
    <cellStyle name="Explanatory Text 25" xfId="1186" xr:uid="{00000000-0005-0000-0000-00009E040000}"/>
    <cellStyle name="Explanatory Text 26" xfId="1187" xr:uid="{00000000-0005-0000-0000-00009F040000}"/>
    <cellStyle name="Explanatory Text 27" xfId="1188" xr:uid="{00000000-0005-0000-0000-0000A0040000}"/>
    <cellStyle name="Explanatory Text 28" xfId="1189" xr:uid="{00000000-0005-0000-0000-0000A1040000}"/>
    <cellStyle name="Explanatory Text 29" xfId="1190" xr:uid="{00000000-0005-0000-0000-0000A2040000}"/>
    <cellStyle name="Explanatory Text 3" xfId="1191" xr:uid="{00000000-0005-0000-0000-0000A3040000}"/>
    <cellStyle name="Explanatory Text 30" xfId="1192" xr:uid="{00000000-0005-0000-0000-0000A4040000}"/>
    <cellStyle name="Explanatory Text 31" xfId="1193" xr:uid="{00000000-0005-0000-0000-0000A5040000}"/>
    <cellStyle name="Explanatory Text 32" xfId="1194" xr:uid="{00000000-0005-0000-0000-0000A6040000}"/>
    <cellStyle name="Explanatory Text 33" xfId="1195" xr:uid="{00000000-0005-0000-0000-0000A7040000}"/>
    <cellStyle name="Explanatory Text 34" xfId="1196" xr:uid="{00000000-0005-0000-0000-0000A8040000}"/>
    <cellStyle name="Explanatory Text 35" xfId="1197" xr:uid="{00000000-0005-0000-0000-0000A9040000}"/>
    <cellStyle name="Explanatory Text 36" xfId="1198" xr:uid="{00000000-0005-0000-0000-0000AA040000}"/>
    <cellStyle name="Explanatory Text 37" xfId="1199" xr:uid="{00000000-0005-0000-0000-0000AB040000}"/>
    <cellStyle name="Explanatory Text 38" xfId="1200" xr:uid="{00000000-0005-0000-0000-0000AC040000}"/>
    <cellStyle name="Explanatory Text 39" xfId="1201" xr:uid="{00000000-0005-0000-0000-0000AD040000}"/>
    <cellStyle name="Explanatory Text 4" xfId="1202" xr:uid="{00000000-0005-0000-0000-0000AE040000}"/>
    <cellStyle name="Explanatory Text 40" xfId="1203" xr:uid="{00000000-0005-0000-0000-0000AF040000}"/>
    <cellStyle name="Explanatory Text 41" xfId="1204" xr:uid="{00000000-0005-0000-0000-0000B0040000}"/>
    <cellStyle name="Explanatory Text 42" xfId="1205" xr:uid="{00000000-0005-0000-0000-0000B1040000}"/>
    <cellStyle name="Explanatory Text 5" xfId="1206" xr:uid="{00000000-0005-0000-0000-0000B2040000}"/>
    <cellStyle name="Explanatory Text 6" xfId="1207" xr:uid="{00000000-0005-0000-0000-0000B3040000}"/>
    <cellStyle name="Explanatory Text 7" xfId="1208" xr:uid="{00000000-0005-0000-0000-0000B4040000}"/>
    <cellStyle name="Explanatory Text 8" xfId="1209" xr:uid="{00000000-0005-0000-0000-0000B5040000}"/>
    <cellStyle name="Explanatory Text 9" xfId="1210" xr:uid="{00000000-0005-0000-0000-0000B6040000}"/>
    <cellStyle name="Fixed2 - Style2" xfId="1211" xr:uid="{00000000-0005-0000-0000-0000B7040000}"/>
    <cellStyle name="Good 10" xfId="1212" xr:uid="{00000000-0005-0000-0000-0000B8040000}"/>
    <cellStyle name="Good 11" xfId="1213" xr:uid="{00000000-0005-0000-0000-0000B9040000}"/>
    <cellStyle name="Good 12" xfId="1214" xr:uid="{00000000-0005-0000-0000-0000BA040000}"/>
    <cellStyle name="Good 13" xfId="1215" xr:uid="{00000000-0005-0000-0000-0000BB040000}"/>
    <cellStyle name="Good 14" xfId="1216" xr:uid="{00000000-0005-0000-0000-0000BC040000}"/>
    <cellStyle name="Good 15" xfId="1217" xr:uid="{00000000-0005-0000-0000-0000BD040000}"/>
    <cellStyle name="Good 16" xfId="1218" xr:uid="{00000000-0005-0000-0000-0000BE040000}"/>
    <cellStyle name="Good 17" xfId="1219" xr:uid="{00000000-0005-0000-0000-0000BF040000}"/>
    <cellStyle name="Good 18" xfId="1220" xr:uid="{00000000-0005-0000-0000-0000C0040000}"/>
    <cellStyle name="Good 19" xfId="1221" xr:uid="{00000000-0005-0000-0000-0000C1040000}"/>
    <cellStyle name="Good 2" xfId="1222" xr:uid="{00000000-0005-0000-0000-0000C2040000}"/>
    <cellStyle name="Good 2 2" xfId="1223" xr:uid="{00000000-0005-0000-0000-0000C3040000}"/>
    <cellStyle name="Good 20" xfId="1224" xr:uid="{00000000-0005-0000-0000-0000C4040000}"/>
    <cellStyle name="Good 21" xfId="1225" xr:uid="{00000000-0005-0000-0000-0000C5040000}"/>
    <cellStyle name="Good 22" xfId="1226" xr:uid="{00000000-0005-0000-0000-0000C6040000}"/>
    <cellStyle name="Good 23" xfId="1227" xr:uid="{00000000-0005-0000-0000-0000C7040000}"/>
    <cellStyle name="Good 24" xfId="1228" xr:uid="{00000000-0005-0000-0000-0000C8040000}"/>
    <cellStyle name="Good 25" xfId="1229" xr:uid="{00000000-0005-0000-0000-0000C9040000}"/>
    <cellStyle name="Good 26" xfId="1230" xr:uid="{00000000-0005-0000-0000-0000CA040000}"/>
    <cellStyle name="Good 27" xfId="1231" xr:uid="{00000000-0005-0000-0000-0000CB040000}"/>
    <cellStyle name="Good 28" xfId="1232" xr:uid="{00000000-0005-0000-0000-0000CC040000}"/>
    <cellStyle name="Good 29" xfId="1233" xr:uid="{00000000-0005-0000-0000-0000CD040000}"/>
    <cellStyle name="Good 3" xfId="1234" xr:uid="{00000000-0005-0000-0000-0000CE040000}"/>
    <cellStyle name="Good 30" xfId="1235" xr:uid="{00000000-0005-0000-0000-0000CF040000}"/>
    <cellStyle name="Good 31" xfId="1236" xr:uid="{00000000-0005-0000-0000-0000D0040000}"/>
    <cellStyle name="Good 32" xfId="1237" xr:uid="{00000000-0005-0000-0000-0000D1040000}"/>
    <cellStyle name="Good 33" xfId="1238" xr:uid="{00000000-0005-0000-0000-0000D2040000}"/>
    <cellStyle name="Good 34" xfId="1239" xr:uid="{00000000-0005-0000-0000-0000D3040000}"/>
    <cellStyle name="Good 35" xfId="1240" xr:uid="{00000000-0005-0000-0000-0000D4040000}"/>
    <cellStyle name="Good 36" xfId="1241" xr:uid="{00000000-0005-0000-0000-0000D5040000}"/>
    <cellStyle name="Good 37" xfId="1242" xr:uid="{00000000-0005-0000-0000-0000D6040000}"/>
    <cellStyle name="Good 38" xfId="1243" xr:uid="{00000000-0005-0000-0000-0000D7040000}"/>
    <cellStyle name="Good 39" xfId="1244" xr:uid="{00000000-0005-0000-0000-0000D8040000}"/>
    <cellStyle name="Good 4" xfId="1245" xr:uid="{00000000-0005-0000-0000-0000D9040000}"/>
    <cellStyle name="Good 40" xfId="1246" xr:uid="{00000000-0005-0000-0000-0000DA040000}"/>
    <cellStyle name="Good 41" xfId="1247" xr:uid="{00000000-0005-0000-0000-0000DB040000}"/>
    <cellStyle name="Good 42" xfId="1248" xr:uid="{00000000-0005-0000-0000-0000DC040000}"/>
    <cellStyle name="Good 5" xfId="1249" xr:uid="{00000000-0005-0000-0000-0000DD040000}"/>
    <cellStyle name="Good 6" xfId="1250" xr:uid="{00000000-0005-0000-0000-0000DE040000}"/>
    <cellStyle name="Good 7" xfId="1251" xr:uid="{00000000-0005-0000-0000-0000DF040000}"/>
    <cellStyle name="Good 8" xfId="1252" xr:uid="{00000000-0005-0000-0000-0000E0040000}"/>
    <cellStyle name="Good 9" xfId="1253" xr:uid="{00000000-0005-0000-0000-0000E1040000}"/>
    <cellStyle name="Heading 1 10" xfId="1254" xr:uid="{00000000-0005-0000-0000-0000E2040000}"/>
    <cellStyle name="Heading 1 11" xfId="1255" xr:uid="{00000000-0005-0000-0000-0000E3040000}"/>
    <cellStyle name="Heading 1 12" xfId="1256" xr:uid="{00000000-0005-0000-0000-0000E4040000}"/>
    <cellStyle name="Heading 1 13" xfId="1257" xr:uid="{00000000-0005-0000-0000-0000E5040000}"/>
    <cellStyle name="Heading 1 14" xfId="1258" xr:uid="{00000000-0005-0000-0000-0000E6040000}"/>
    <cellStyle name="Heading 1 15" xfId="1259" xr:uid="{00000000-0005-0000-0000-0000E7040000}"/>
    <cellStyle name="Heading 1 16" xfId="1260" xr:uid="{00000000-0005-0000-0000-0000E8040000}"/>
    <cellStyle name="Heading 1 17" xfId="1261" xr:uid="{00000000-0005-0000-0000-0000E9040000}"/>
    <cellStyle name="Heading 1 18" xfId="1262" xr:uid="{00000000-0005-0000-0000-0000EA040000}"/>
    <cellStyle name="Heading 1 19" xfId="1263" xr:uid="{00000000-0005-0000-0000-0000EB040000}"/>
    <cellStyle name="Heading 1 2" xfId="1264" xr:uid="{00000000-0005-0000-0000-0000EC040000}"/>
    <cellStyle name="Heading 1 2 2" xfId="1265" xr:uid="{00000000-0005-0000-0000-0000ED040000}"/>
    <cellStyle name="Heading 1 20" xfId="1266" xr:uid="{00000000-0005-0000-0000-0000EE040000}"/>
    <cellStyle name="Heading 1 21" xfId="1267" xr:uid="{00000000-0005-0000-0000-0000EF040000}"/>
    <cellStyle name="Heading 1 22" xfId="1268" xr:uid="{00000000-0005-0000-0000-0000F0040000}"/>
    <cellStyle name="Heading 1 23" xfId="1269" xr:uid="{00000000-0005-0000-0000-0000F1040000}"/>
    <cellStyle name="Heading 1 24" xfId="1270" xr:uid="{00000000-0005-0000-0000-0000F2040000}"/>
    <cellStyle name="Heading 1 25" xfId="1271" xr:uid="{00000000-0005-0000-0000-0000F3040000}"/>
    <cellStyle name="Heading 1 26" xfId="1272" xr:uid="{00000000-0005-0000-0000-0000F4040000}"/>
    <cellStyle name="Heading 1 27" xfId="1273" xr:uid="{00000000-0005-0000-0000-0000F5040000}"/>
    <cellStyle name="Heading 1 28" xfId="1274" xr:uid="{00000000-0005-0000-0000-0000F6040000}"/>
    <cellStyle name="Heading 1 29" xfId="1275" xr:uid="{00000000-0005-0000-0000-0000F7040000}"/>
    <cellStyle name="Heading 1 3" xfId="1276" xr:uid="{00000000-0005-0000-0000-0000F8040000}"/>
    <cellStyle name="Heading 1 30" xfId="1277" xr:uid="{00000000-0005-0000-0000-0000F9040000}"/>
    <cellStyle name="Heading 1 31" xfId="1278" xr:uid="{00000000-0005-0000-0000-0000FA040000}"/>
    <cellStyle name="Heading 1 32" xfId="1279" xr:uid="{00000000-0005-0000-0000-0000FB040000}"/>
    <cellStyle name="Heading 1 33" xfId="1280" xr:uid="{00000000-0005-0000-0000-0000FC040000}"/>
    <cellStyle name="Heading 1 34" xfId="1281" xr:uid="{00000000-0005-0000-0000-0000FD040000}"/>
    <cellStyle name="Heading 1 35" xfId="1282" xr:uid="{00000000-0005-0000-0000-0000FE040000}"/>
    <cellStyle name="Heading 1 36" xfId="1283" xr:uid="{00000000-0005-0000-0000-0000FF040000}"/>
    <cellStyle name="Heading 1 37" xfId="1284" xr:uid="{00000000-0005-0000-0000-000000050000}"/>
    <cellStyle name="Heading 1 38" xfId="1285" xr:uid="{00000000-0005-0000-0000-000001050000}"/>
    <cellStyle name="Heading 1 39" xfId="1286" xr:uid="{00000000-0005-0000-0000-000002050000}"/>
    <cellStyle name="Heading 1 4" xfId="1287" xr:uid="{00000000-0005-0000-0000-000003050000}"/>
    <cellStyle name="Heading 1 40" xfId="1288" xr:uid="{00000000-0005-0000-0000-000004050000}"/>
    <cellStyle name="Heading 1 41" xfId="1289" xr:uid="{00000000-0005-0000-0000-000005050000}"/>
    <cellStyle name="Heading 1 42" xfId="1290" xr:uid="{00000000-0005-0000-0000-000006050000}"/>
    <cellStyle name="Heading 1 5" xfId="1291" xr:uid="{00000000-0005-0000-0000-000007050000}"/>
    <cellStyle name="Heading 1 6" xfId="1292" xr:uid="{00000000-0005-0000-0000-000008050000}"/>
    <cellStyle name="Heading 1 7" xfId="1293" xr:uid="{00000000-0005-0000-0000-000009050000}"/>
    <cellStyle name="Heading 1 8" xfId="1294" xr:uid="{00000000-0005-0000-0000-00000A050000}"/>
    <cellStyle name="Heading 1 9" xfId="1295" xr:uid="{00000000-0005-0000-0000-00000B050000}"/>
    <cellStyle name="Heading 2 10" xfId="1296" xr:uid="{00000000-0005-0000-0000-00000C050000}"/>
    <cellStyle name="Heading 2 11" xfId="1297" xr:uid="{00000000-0005-0000-0000-00000D050000}"/>
    <cellStyle name="Heading 2 12" xfId="1298" xr:uid="{00000000-0005-0000-0000-00000E050000}"/>
    <cellStyle name="Heading 2 13" xfId="1299" xr:uid="{00000000-0005-0000-0000-00000F050000}"/>
    <cellStyle name="Heading 2 14" xfId="1300" xr:uid="{00000000-0005-0000-0000-000010050000}"/>
    <cellStyle name="Heading 2 15" xfId="1301" xr:uid="{00000000-0005-0000-0000-000011050000}"/>
    <cellStyle name="Heading 2 16" xfId="1302" xr:uid="{00000000-0005-0000-0000-000012050000}"/>
    <cellStyle name="Heading 2 17" xfId="1303" xr:uid="{00000000-0005-0000-0000-000013050000}"/>
    <cellStyle name="Heading 2 18" xfId="1304" xr:uid="{00000000-0005-0000-0000-000014050000}"/>
    <cellStyle name="Heading 2 19" xfId="1305" xr:uid="{00000000-0005-0000-0000-000015050000}"/>
    <cellStyle name="Heading 2 2" xfId="1306" xr:uid="{00000000-0005-0000-0000-000016050000}"/>
    <cellStyle name="Heading 2 2 2" xfId="1307" xr:uid="{00000000-0005-0000-0000-000017050000}"/>
    <cellStyle name="Heading 2 20" xfId="1308" xr:uid="{00000000-0005-0000-0000-000018050000}"/>
    <cellStyle name="Heading 2 21" xfId="1309" xr:uid="{00000000-0005-0000-0000-000019050000}"/>
    <cellStyle name="Heading 2 22" xfId="1310" xr:uid="{00000000-0005-0000-0000-00001A050000}"/>
    <cellStyle name="Heading 2 23" xfId="1311" xr:uid="{00000000-0005-0000-0000-00001B050000}"/>
    <cellStyle name="Heading 2 24" xfId="1312" xr:uid="{00000000-0005-0000-0000-00001C050000}"/>
    <cellStyle name="Heading 2 25" xfId="1313" xr:uid="{00000000-0005-0000-0000-00001D050000}"/>
    <cellStyle name="Heading 2 26" xfId="1314" xr:uid="{00000000-0005-0000-0000-00001E050000}"/>
    <cellStyle name="Heading 2 27" xfId="1315" xr:uid="{00000000-0005-0000-0000-00001F050000}"/>
    <cellStyle name="Heading 2 28" xfId="1316" xr:uid="{00000000-0005-0000-0000-000020050000}"/>
    <cellStyle name="Heading 2 29" xfId="1317" xr:uid="{00000000-0005-0000-0000-000021050000}"/>
    <cellStyle name="Heading 2 3" xfId="1318" xr:uid="{00000000-0005-0000-0000-000022050000}"/>
    <cellStyle name="Heading 2 30" xfId="1319" xr:uid="{00000000-0005-0000-0000-000023050000}"/>
    <cellStyle name="Heading 2 31" xfId="1320" xr:uid="{00000000-0005-0000-0000-000024050000}"/>
    <cellStyle name="Heading 2 32" xfId="1321" xr:uid="{00000000-0005-0000-0000-000025050000}"/>
    <cellStyle name="Heading 2 33" xfId="1322" xr:uid="{00000000-0005-0000-0000-000026050000}"/>
    <cellStyle name="Heading 2 34" xfId="1323" xr:uid="{00000000-0005-0000-0000-000027050000}"/>
    <cellStyle name="Heading 2 35" xfId="1324" xr:uid="{00000000-0005-0000-0000-000028050000}"/>
    <cellStyle name="Heading 2 36" xfId="1325" xr:uid="{00000000-0005-0000-0000-000029050000}"/>
    <cellStyle name="Heading 2 37" xfId="1326" xr:uid="{00000000-0005-0000-0000-00002A050000}"/>
    <cellStyle name="Heading 2 38" xfId="1327" xr:uid="{00000000-0005-0000-0000-00002B050000}"/>
    <cellStyle name="Heading 2 39" xfId="1328" xr:uid="{00000000-0005-0000-0000-00002C050000}"/>
    <cellStyle name="Heading 2 4" xfId="1329" xr:uid="{00000000-0005-0000-0000-00002D050000}"/>
    <cellStyle name="Heading 2 40" xfId="1330" xr:uid="{00000000-0005-0000-0000-00002E050000}"/>
    <cellStyle name="Heading 2 41" xfId="1331" xr:uid="{00000000-0005-0000-0000-00002F050000}"/>
    <cellStyle name="Heading 2 42" xfId="1332" xr:uid="{00000000-0005-0000-0000-000030050000}"/>
    <cellStyle name="Heading 2 5" xfId="1333" xr:uid="{00000000-0005-0000-0000-000031050000}"/>
    <cellStyle name="Heading 2 6" xfId="1334" xr:uid="{00000000-0005-0000-0000-000032050000}"/>
    <cellStyle name="Heading 2 7" xfId="1335" xr:uid="{00000000-0005-0000-0000-000033050000}"/>
    <cellStyle name="Heading 2 8" xfId="1336" xr:uid="{00000000-0005-0000-0000-000034050000}"/>
    <cellStyle name="Heading 2 9" xfId="1337" xr:uid="{00000000-0005-0000-0000-000035050000}"/>
    <cellStyle name="Heading 3 10" xfId="1338" xr:uid="{00000000-0005-0000-0000-000036050000}"/>
    <cellStyle name="Heading 3 11" xfId="1339" xr:uid="{00000000-0005-0000-0000-000037050000}"/>
    <cellStyle name="Heading 3 12" xfId="1340" xr:uid="{00000000-0005-0000-0000-000038050000}"/>
    <cellStyle name="Heading 3 13" xfId="1341" xr:uid="{00000000-0005-0000-0000-000039050000}"/>
    <cellStyle name="Heading 3 14" xfId="1342" xr:uid="{00000000-0005-0000-0000-00003A050000}"/>
    <cellStyle name="Heading 3 15" xfId="1343" xr:uid="{00000000-0005-0000-0000-00003B050000}"/>
    <cellStyle name="Heading 3 16" xfId="1344" xr:uid="{00000000-0005-0000-0000-00003C050000}"/>
    <cellStyle name="Heading 3 17" xfId="1345" xr:uid="{00000000-0005-0000-0000-00003D050000}"/>
    <cellStyle name="Heading 3 18" xfId="1346" xr:uid="{00000000-0005-0000-0000-00003E050000}"/>
    <cellStyle name="Heading 3 19" xfId="1347" xr:uid="{00000000-0005-0000-0000-00003F050000}"/>
    <cellStyle name="Heading 3 2" xfId="1348" xr:uid="{00000000-0005-0000-0000-000040050000}"/>
    <cellStyle name="Heading 3 2 2" xfId="1349" xr:uid="{00000000-0005-0000-0000-000041050000}"/>
    <cellStyle name="Heading 3 20" xfId="1350" xr:uid="{00000000-0005-0000-0000-000042050000}"/>
    <cellStyle name="Heading 3 21" xfId="1351" xr:uid="{00000000-0005-0000-0000-000043050000}"/>
    <cellStyle name="Heading 3 22" xfId="1352" xr:uid="{00000000-0005-0000-0000-000044050000}"/>
    <cellStyle name="Heading 3 23" xfId="1353" xr:uid="{00000000-0005-0000-0000-000045050000}"/>
    <cellStyle name="Heading 3 24" xfId="1354" xr:uid="{00000000-0005-0000-0000-000046050000}"/>
    <cellStyle name="Heading 3 25" xfId="1355" xr:uid="{00000000-0005-0000-0000-000047050000}"/>
    <cellStyle name="Heading 3 26" xfId="1356" xr:uid="{00000000-0005-0000-0000-000048050000}"/>
    <cellStyle name="Heading 3 27" xfId="1357" xr:uid="{00000000-0005-0000-0000-000049050000}"/>
    <cellStyle name="Heading 3 28" xfId="1358" xr:uid="{00000000-0005-0000-0000-00004A050000}"/>
    <cellStyle name="Heading 3 29" xfId="1359" xr:uid="{00000000-0005-0000-0000-00004B050000}"/>
    <cellStyle name="Heading 3 3" xfId="1360" xr:uid="{00000000-0005-0000-0000-00004C050000}"/>
    <cellStyle name="Heading 3 30" xfId="1361" xr:uid="{00000000-0005-0000-0000-00004D050000}"/>
    <cellStyle name="Heading 3 31" xfId="1362" xr:uid="{00000000-0005-0000-0000-00004E050000}"/>
    <cellStyle name="Heading 3 32" xfId="1363" xr:uid="{00000000-0005-0000-0000-00004F050000}"/>
    <cellStyle name="Heading 3 33" xfId="1364" xr:uid="{00000000-0005-0000-0000-000050050000}"/>
    <cellStyle name="Heading 3 34" xfId="1365" xr:uid="{00000000-0005-0000-0000-000051050000}"/>
    <cellStyle name="Heading 3 35" xfId="1366" xr:uid="{00000000-0005-0000-0000-000052050000}"/>
    <cellStyle name="Heading 3 36" xfId="1367" xr:uid="{00000000-0005-0000-0000-000053050000}"/>
    <cellStyle name="Heading 3 37" xfId="1368" xr:uid="{00000000-0005-0000-0000-000054050000}"/>
    <cellStyle name="Heading 3 38" xfId="1369" xr:uid="{00000000-0005-0000-0000-000055050000}"/>
    <cellStyle name="Heading 3 39" xfId="1370" xr:uid="{00000000-0005-0000-0000-000056050000}"/>
    <cellStyle name="Heading 3 4" xfId="1371" xr:uid="{00000000-0005-0000-0000-000057050000}"/>
    <cellStyle name="Heading 3 40" xfId="1372" xr:uid="{00000000-0005-0000-0000-000058050000}"/>
    <cellStyle name="Heading 3 41" xfId="1373" xr:uid="{00000000-0005-0000-0000-000059050000}"/>
    <cellStyle name="Heading 3 42" xfId="1374" xr:uid="{00000000-0005-0000-0000-00005A050000}"/>
    <cellStyle name="Heading 3 5" xfId="1375" xr:uid="{00000000-0005-0000-0000-00005B050000}"/>
    <cellStyle name="Heading 3 6" xfId="1376" xr:uid="{00000000-0005-0000-0000-00005C050000}"/>
    <cellStyle name="Heading 3 7" xfId="1377" xr:uid="{00000000-0005-0000-0000-00005D050000}"/>
    <cellStyle name="Heading 3 8" xfId="1378" xr:uid="{00000000-0005-0000-0000-00005E050000}"/>
    <cellStyle name="Heading 3 9" xfId="1379" xr:uid="{00000000-0005-0000-0000-00005F050000}"/>
    <cellStyle name="Heading 4 10" xfId="1380" xr:uid="{00000000-0005-0000-0000-000060050000}"/>
    <cellStyle name="Heading 4 11" xfId="1381" xr:uid="{00000000-0005-0000-0000-000061050000}"/>
    <cellStyle name="Heading 4 12" xfId="1382" xr:uid="{00000000-0005-0000-0000-000062050000}"/>
    <cellStyle name="Heading 4 13" xfId="1383" xr:uid="{00000000-0005-0000-0000-000063050000}"/>
    <cellStyle name="Heading 4 14" xfId="1384" xr:uid="{00000000-0005-0000-0000-000064050000}"/>
    <cellStyle name="Heading 4 15" xfId="1385" xr:uid="{00000000-0005-0000-0000-000065050000}"/>
    <cellStyle name="Heading 4 16" xfId="1386" xr:uid="{00000000-0005-0000-0000-000066050000}"/>
    <cellStyle name="Heading 4 17" xfId="1387" xr:uid="{00000000-0005-0000-0000-000067050000}"/>
    <cellStyle name="Heading 4 18" xfId="1388" xr:uid="{00000000-0005-0000-0000-000068050000}"/>
    <cellStyle name="Heading 4 19" xfId="1389" xr:uid="{00000000-0005-0000-0000-000069050000}"/>
    <cellStyle name="Heading 4 2" xfId="1390" xr:uid="{00000000-0005-0000-0000-00006A050000}"/>
    <cellStyle name="Heading 4 2 2" xfId="1391" xr:uid="{00000000-0005-0000-0000-00006B050000}"/>
    <cellStyle name="Heading 4 20" xfId="1392" xr:uid="{00000000-0005-0000-0000-00006C050000}"/>
    <cellStyle name="Heading 4 21" xfId="1393" xr:uid="{00000000-0005-0000-0000-00006D050000}"/>
    <cellStyle name="Heading 4 22" xfId="1394" xr:uid="{00000000-0005-0000-0000-00006E050000}"/>
    <cellStyle name="Heading 4 23" xfId="1395" xr:uid="{00000000-0005-0000-0000-00006F050000}"/>
    <cellStyle name="Heading 4 24" xfId="1396" xr:uid="{00000000-0005-0000-0000-000070050000}"/>
    <cellStyle name="Heading 4 25" xfId="1397" xr:uid="{00000000-0005-0000-0000-000071050000}"/>
    <cellStyle name="Heading 4 26" xfId="1398" xr:uid="{00000000-0005-0000-0000-000072050000}"/>
    <cellStyle name="Heading 4 27" xfId="1399" xr:uid="{00000000-0005-0000-0000-000073050000}"/>
    <cellStyle name="Heading 4 28" xfId="1400" xr:uid="{00000000-0005-0000-0000-000074050000}"/>
    <cellStyle name="Heading 4 29" xfId="1401" xr:uid="{00000000-0005-0000-0000-000075050000}"/>
    <cellStyle name="Heading 4 3" xfId="1402" xr:uid="{00000000-0005-0000-0000-000076050000}"/>
    <cellStyle name="Heading 4 30" xfId="1403" xr:uid="{00000000-0005-0000-0000-000077050000}"/>
    <cellStyle name="Heading 4 31" xfId="1404" xr:uid="{00000000-0005-0000-0000-000078050000}"/>
    <cellStyle name="Heading 4 32" xfId="1405" xr:uid="{00000000-0005-0000-0000-000079050000}"/>
    <cellStyle name="Heading 4 33" xfId="1406" xr:uid="{00000000-0005-0000-0000-00007A050000}"/>
    <cellStyle name="Heading 4 34" xfId="1407" xr:uid="{00000000-0005-0000-0000-00007B050000}"/>
    <cellStyle name="Heading 4 35" xfId="1408" xr:uid="{00000000-0005-0000-0000-00007C050000}"/>
    <cellStyle name="Heading 4 36" xfId="1409" xr:uid="{00000000-0005-0000-0000-00007D050000}"/>
    <cellStyle name="Heading 4 37" xfId="1410" xr:uid="{00000000-0005-0000-0000-00007E050000}"/>
    <cellStyle name="Heading 4 38" xfId="1411" xr:uid="{00000000-0005-0000-0000-00007F050000}"/>
    <cellStyle name="Heading 4 39" xfId="1412" xr:uid="{00000000-0005-0000-0000-000080050000}"/>
    <cellStyle name="Heading 4 4" xfId="1413" xr:uid="{00000000-0005-0000-0000-000081050000}"/>
    <cellStyle name="Heading 4 40" xfId="1414" xr:uid="{00000000-0005-0000-0000-000082050000}"/>
    <cellStyle name="Heading 4 41" xfId="1415" xr:uid="{00000000-0005-0000-0000-000083050000}"/>
    <cellStyle name="Heading 4 42" xfId="1416" xr:uid="{00000000-0005-0000-0000-000084050000}"/>
    <cellStyle name="Heading 4 5" xfId="1417" xr:uid="{00000000-0005-0000-0000-000085050000}"/>
    <cellStyle name="Heading 4 6" xfId="1418" xr:uid="{00000000-0005-0000-0000-000086050000}"/>
    <cellStyle name="Heading 4 7" xfId="1419" xr:uid="{00000000-0005-0000-0000-000087050000}"/>
    <cellStyle name="Heading 4 8" xfId="1420" xr:uid="{00000000-0005-0000-0000-000088050000}"/>
    <cellStyle name="Heading 4 9" xfId="1421" xr:uid="{00000000-0005-0000-0000-000089050000}"/>
    <cellStyle name="Input 10" xfId="1422" xr:uid="{00000000-0005-0000-0000-00008A050000}"/>
    <cellStyle name="Input 11" xfId="1423" xr:uid="{00000000-0005-0000-0000-00008B050000}"/>
    <cellStyle name="Input 12" xfId="1424" xr:uid="{00000000-0005-0000-0000-00008C050000}"/>
    <cellStyle name="Input 13" xfId="1425" xr:uid="{00000000-0005-0000-0000-00008D050000}"/>
    <cellStyle name="Input 14" xfId="1426" xr:uid="{00000000-0005-0000-0000-00008E050000}"/>
    <cellStyle name="Input 15" xfId="1427" xr:uid="{00000000-0005-0000-0000-00008F050000}"/>
    <cellStyle name="Input 16" xfId="1428" xr:uid="{00000000-0005-0000-0000-000090050000}"/>
    <cellStyle name="Input 17" xfId="1429" xr:uid="{00000000-0005-0000-0000-000091050000}"/>
    <cellStyle name="Input 18" xfId="1430" xr:uid="{00000000-0005-0000-0000-000092050000}"/>
    <cellStyle name="Input 19" xfId="1431" xr:uid="{00000000-0005-0000-0000-000093050000}"/>
    <cellStyle name="Input 2" xfId="1432" xr:uid="{00000000-0005-0000-0000-000094050000}"/>
    <cellStyle name="Input 2 2" xfId="1433" xr:uid="{00000000-0005-0000-0000-000095050000}"/>
    <cellStyle name="Input 20" xfId="1434" xr:uid="{00000000-0005-0000-0000-000096050000}"/>
    <cellStyle name="Input 21" xfId="1435" xr:uid="{00000000-0005-0000-0000-000097050000}"/>
    <cellStyle name="Input 22" xfId="1436" xr:uid="{00000000-0005-0000-0000-000098050000}"/>
    <cellStyle name="Input 23" xfId="1437" xr:uid="{00000000-0005-0000-0000-000099050000}"/>
    <cellStyle name="Input 24" xfId="1438" xr:uid="{00000000-0005-0000-0000-00009A050000}"/>
    <cellStyle name="Input 25" xfId="1439" xr:uid="{00000000-0005-0000-0000-00009B050000}"/>
    <cellStyle name="Input 26" xfId="1440" xr:uid="{00000000-0005-0000-0000-00009C050000}"/>
    <cellStyle name="Input 27" xfId="1441" xr:uid="{00000000-0005-0000-0000-00009D050000}"/>
    <cellStyle name="Input 28" xfId="1442" xr:uid="{00000000-0005-0000-0000-00009E050000}"/>
    <cellStyle name="Input 29" xfId="1443" xr:uid="{00000000-0005-0000-0000-00009F050000}"/>
    <cellStyle name="Input 3" xfId="1444" xr:uid="{00000000-0005-0000-0000-0000A0050000}"/>
    <cellStyle name="Input 30" xfId="1445" xr:uid="{00000000-0005-0000-0000-0000A1050000}"/>
    <cellStyle name="Input 31" xfId="1446" xr:uid="{00000000-0005-0000-0000-0000A2050000}"/>
    <cellStyle name="Input 32" xfId="1447" xr:uid="{00000000-0005-0000-0000-0000A3050000}"/>
    <cellStyle name="Input 33" xfId="1448" xr:uid="{00000000-0005-0000-0000-0000A4050000}"/>
    <cellStyle name="Input 34" xfId="1449" xr:uid="{00000000-0005-0000-0000-0000A5050000}"/>
    <cellStyle name="Input 35" xfId="1450" xr:uid="{00000000-0005-0000-0000-0000A6050000}"/>
    <cellStyle name="Input 36" xfId="1451" xr:uid="{00000000-0005-0000-0000-0000A7050000}"/>
    <cellStyle name="Input 37" xfId="1452" xr:uid="{00000000-0005-0000-0000-0000A8050000}"/>
    <cellStyle name="Input 38" xfId="1453" xr:uid="{00000000-0005-0000-0000-0000A9050000}"/>
    <cellStyle name="Input 39" xfId="1454" xr:uid="{00000000-0005-0000-0000-0000AA050000}"/>
    <cellStyle name="Input 4" xfId="1455" xr:uid="{00000000-0005-0000-0000-0000AB050000}"/>
    <cellStyle name="Input 40" xfId="1456" xr:uid="{00000000-0005-0000-0000-0000AC050000}"/>
    <cellStyle name="Input 41" xfId="1457" xr:uid="{00000000-0005-0000-0000-0000AD050000}"/>
    <cellStyle name="Input 42" xfId="1458" xr:uid="{00000000-0005-0000-0000-0000AE050000}"/>
    <cellStyle name="Input 5" xfId="1459" xr:uid="{00000000-0005-0000-0000-0000AF050000}"/>
    <cellStyle name="Input 6" xfId="1460" xr:uid="{00000000-0005-0000-0000-0000B0050000}"/>
    <cellStyle name="Input 7" xfId="1461" xr:uid="{00000000-0005-0000-0000-0000B1050000}"/>
    <cellStyle name="Input 8" xfId="1462" xr:uid="{00000000-0005-0000-0000-0000B2050000}"/>
    <cellStyle name="Input 9" xfId="1463" xr:uid="{00000000-0005-0000-0000-0000B3050000}"/>
    <cellStyle name="Linked Cell 10" xfId="1464" xr:uid="{00000000-0005-0000-0000-0000B4050000}"/>
    <cellStyle name="Linked Cell 11" xfId="1465" xr:uid="{00000000-0005-0000-0000-0000B5050000}"/>
    <cellStyle name="Linked Cell 12" xfId="1466" xr:uid="{00000000-0005-0000-0000-0000B6050000}"/>
    <cellStyle name="Linked Cell 13" xfId="1467" xr:uid="{00000000-0005-0000-0000-0000B7050000}"/>
    <cellStyle name="Linked Cell 14" xfId="1468" xr:uid="{00000000-0005-0000-0000-0000B8050000}"/>
    <cellStyle name="Linked Cell 15" xfId="1469" xr:uid="{00000000-0005-0000-0000-0000B9050000}"/>
    <cellStyle name="Linked Cell 16" xfId="1470" xr:uid="{00000000-0005-0000-0000-0000BA050000}"/>
    <cellStyle name="Linked Cell 17" xfId="1471" xr:uid="{00000000-0005-0000-0000-0000BB050000}"/>
    <cellStyle name="Linked Cell 18" xfId="1472" xr:uid="{00000000-0005-0000-0000-0000BC050000}"/>
    <cellStyle name="Linked Cell 19" xfId="1473" xr:uid="{00000000-0005-0000-0000-0000BD050000}"/>
    <cellStyle name="Linked Cell 2" xfId="1474" xr:uid="{00000000-0005-0000-0000-0000BE050000}"/>
    <cellStyle name="Linked Cell 2 2" xfId="1475" xr:uid="{00000000-0005-0000-0000-0000BF050000}"/>
    <cellStyle name="Linked Cell 20" xfId="1476" xr:uid="{00000000-0005-0000-0000-0000C0050000}"/>
    <cellStyle name="Linked Cell 21" xfId="1477" xr:uid="{00000000-0005-0000-0000-0000C1050000}"/>
    <cellStyle name="Linked Cell 22" xfId="1478" xr:uid="{00000000-0005-0000-0000-0000C2050000}"/>
    <cellStyle name="Linked Cell 23" xfId="1479" xr:uid="{00000000-0005-0000-0000-0000C3050000}"/>
    <cellStyle name="Linked Cell 24" xfId="1480" xr:uid="{00000000-0005-0000-0000-0000C4050000}"/>
    <cellStyle name="Linked Cell 25" xfId="1481" xr:uid="{00000000-0005-0000-0000-0000C5050000}"/>
    <cellStyle name="Linked Cell 26" xfId="1482" xr:uid="{00000000-0005-0000-0000-0000C6050000}"/>
    <cellStyle name="Linked Cell 27" xfId="1483" xr:uid="{00000000-0005-0000-0000-0000C7050000}"/>
    <cellStyle name="Linked Cell 28" xfId="1484" xr:uid="{00000000-0005-0000-0000-0000C8050000}"/>
    <cellStyle name="Linked Cell 29" xfId="1485" xr:uid="{00000000-0005-0000-0000-0000C9050000}"/>
    <cellStyle name="Linked Cell 3" xfId="1486" xr:uid="{00000000-0005-0000-0000-0000CA050000}"/>
    <cellStyle name="Linked Cell 30" xfId="1487" xr:uid="{00000000-0005-0000-0000-0000CB050000}"/>
    <cellStyle name="Linked Cell 31" xfId="1488" xr:uid="{00000000-0005-0000-0000-0000CC050000}"/>
    <cellStyle name="Linked Cell 32" xfId="1489" xr:uid="{00000000-0005-0000-0000-0000CD050000}"/>
    <cellStyle name="Linked Cell 33" xfId="1490" xr:uid="{00000000-0005-0000-0000-0000CE050000}"/>
    <cellStyle name="Linked Cell 34" xfId="1491" xr:uid="{00000000-0005-0000-0000-0000CF050000}"/>
    <cellStyle name="Linked Cell 35" xfId="1492" xr:uid="{00000000-0005-0000-0000-0000D0050000}"/>
    <cellStyle name="Linked Cell 36" xfId="1493" xr:uid="{00000000-0005-0000-0000-0000D1050000}"/>
    <cellStyle name="Linked Cell 37" xfId="1494" xr:uid="{00000000-0005-0000-0000-0000D2050000}"/>
    <cellStyle name="Linked Cell 38" xfId="1495" xr:uid="{00000000-0005-0000-0000-0000D3050000}"/>
    <cellStyle name="Linked Cell 39" xfId="1496" xr:uid="{00000000-0005-0000-0000-0000D4050000}"/>
    <cellStyle name="Linked Cell 4" xfId="1497" xr:uid="{00000000-0005-0000-0000-0000D5050000}"/>
    <cellStyle name="Linked Cell 40" xfId="1498" xr:uid="{00000000-0005-0000-0000-0000D6050000}"/>
    <cellStyle name="Linked Cell 41" xfId="1499" xr:uid="{00000000-0005-0000-0000-0000D7050000}"/>
    <cellStyle name="Linked Cell 42" xfId="1500" xr:uid="{00000000-0005-0000-0000-0000D8050000}"/>
    <cellStyle name="Linked Cell 5" xfId="1501" xr:uid="{00000000-0005-0000-0000-0000D9050000}"/>
    <cellStyle name="Linked Cell 6" xfId="1502" xr:uid="{00000000-0005-0000-0000-0000DA050000}"/>
    <cellStyle name="Linked Cell 7" xfId="1503" xr:uid="{00000000-0005-0000-0000-0000DB050000}"/>
    <cellStyle name="Linked Cell 8" xfId="1504" xr:uid="{00000000-0005-0000-0000-0000DC050000}"/>
    <cellStyle name="Linked Cell 9" xfId="1505" xr:uid="{00000000-0005-0000-0000-0000DD050000}"/>
    <cellStyle name="Neutral 10" xfId="1506" xr:uid="{00000000-0005-0000-0000-0000DE050000}"/>
    <cellStyle name="Neutral 11" xfId="1507" xr:uid="{00000000-0005-0000-0000-0000DF050000}"/>
    <cellStyle name="Neutral 12" xfId="1508" xr:uid="{00000000-0005-0000-0000-0000E0050000}"/>
    <cellStyle name="Neutral 13" xfId="1509" xr:uid="{00000000-0005-0000-0000-0000E1050000}"/>
    <cellStyle name="Neutral 14" xfId="1510" xr:uid="{00000000-0005-0000-0000-0000E2050000}"/>
    <cellStyle name="Neutral 15" xfId="1511" xr:uid="{00000000-0005-0000-0000-0000E3050000}"/>
    <cellStyle name="Neutral 16" xfId="1512" xr:uid="{00000000-0005-0000-0000-0000E4050000}"/>
    <cellStyle name="Neutral 17" xfId="1513" xr:uid="{00000000-0005-0000-0000-0000E5050000}"/>
    <cellStyle name="Neutral 18" xfId="1514" xr:uid="{00000000-0005-0000-0000-0000E6050000}"/>
    <cellStyle name="Neutral 19" xfId="1515" xr:uid="{00000000-0005-0000-0000-0000E7050000}"/>
    <cellStyle name="Neutral 2" xfId="1516" xr:uid="{00000000-0005-0000-0000-0000E8050000}"/>
    <cellStyle name="Neutral 2 2" xfId="1517" xr:uid="{00000000-0005-0000-0000-0000E9050000}"/>
    <cellStyle name="Neutral 20" xfId="1518" xr:uid="{00000000-0005-0000-0000-0000EA050000}"/>
    <cellStyle name="Neutral 21" xfId="1519" xr:uid="{00000000-0005-0000-0000-0000EB050000}"/>
    <cellStyle name="Neutral 22" xfId="1520" xr:uid="{00000000-0005-0000-0000-0000EC050000}"/>
    <cellStyle name="Neutral 23" xfId="1521" xr:uid="{00000000-0005-0000-0000-0000ED050000}"/>
    <cellStyle name="Neutral 24" xfId="1522" xr:uid="{00000000-0005-0000-0000-0000EE050000}"/>
    <cellStyle name="Neutral 25" xfId="1523" xr:uid="{00000000-0005-0000-0000-0000EF050000}"/>
    <cellStyle name="Neutral 26" xfId="1524" xr:uid="{00000000-0005-0000-0000-0000F0050000}"/>
    <cellStyle name="Neutral 27" xfId="1525" xr:uid="{00000000-0005-0000-0000-0000F1050000}"/>
    <cellStyle name="Neutral 28" xfId="1526" xr:uid="{00000000-0005-0000-0000-0000F2050000}"/>
    <cellStyle name="Neutral 29" xfId="1527" xr:uid="{00000000-0005-0000-0000-0000F3050000}"/>
    <cellStyle name="Neutral 3" xfId="1528" xr:uid="{00000000-0005-0000-0000-0000F4050000}"/>
    <cellStyle name="Neutral 30" xfId="1529" xr:uid="{00000000-0005-0000-0000-0000F5050000}"/>
    <cellStyle name="Neutral 31" xfId="1530" xr:uid="{00000000-0005-0000-0000-0000F6050000}"/>
    <cellStyle name="Neutral 32" xfId="1531" xr:uid="{00000000-0005-0000-0000-0000F7050000}"/>
    <cellStyle name="Neutral 33" xfId="1532" xr:uid="{00000000-0005-0000-0000-0000F8050000}"/>
    <cellStyle name="Neutral 34" xfId="1533" xr:uid="{00000000-0005-0000-0000-0000F9050000}"/>
    <cellStyle name="Neutral 35" xfId="1534" xr:uid="{00000000-0005-0000-0000-0000FA050000}"/>
    <cellStyle name="Neutral 36" xfId="1535" xr:uid="{00000000-0005-0000-0000-0000FB050000}"/>
    <cellStyle name="Neutral 37" xfId="1536" xr:uid="{00000000-0005-0000-0000-0000FC050000}"/>
    <cellStyle name="Neutral 38" xfId="1537" xr:uid="{00000000-0005-0000-0000-0000FD050000}"/>
    <cellStyle name="Neutral 39" xfId="1538" xr:uid="{00000000-0005-0000-0000-0000FE050000}"/>
    <cellStyle name="Neutral 4" xfId="1539" xr:uid="{00000000-0005-0000-0000-0000FF050000}"/>
    <cellStyle name="Neutral 40" xfId="1540" xr:uid="{00000000-0005-0000-0000-000000060000}"/>
    <cellStyle name="Neutral 41" xfId="1541" xr:uid="{00000000-0005-0000-0000-000001060000}"/>
    <cellStyle name="Neutral 42" xfId="1542" xr:uid="{00000000-0005-0000-0000-000002060000}"/>
    <cellStyle name="Neutral 5" xfId="1543" xr:uid="{00000000-0005-0000-0000-000003060000}"/>
    <cellStyle name="Neutral 6" xfId="1544" xr:uid="{00000000-0005-0000-0000-000004060000}"/>
    <cellStyle name="Neutral 7" xfId="1545" xr:uid="{00000000-0005-0000-0000-000005060000}"/>
    <cellStyle name="Neutral 8" xfId="1546" xr:uid="{00000000-0005-0000-0000-000006060000}"/>
    <cellStyle name="Neutral 9" xfId="1547" xr:uid="{00000000-0005-0000-0000-000007060000}"/>
    <cellStyle name="Normal" xfId="0" builtinId="0"/>
    <cellStyle name="Normal 10" xfId="1548" xr:uid="{00000000-0005-0000-0000-000009060000}"/>
    <cellStyle name="Normal 10 10" xfId="1549" xr:uid="{00000000-0005-0000-0000-00000A060000}"/>
    <cellStyle name="Normal 10 11" xfId="1550" xr:uid="{00000000-0005-0000-0000-00000B060000}"/>
    <cellStyle name="Normal 10 12" xfId="1551" xr:uid="{00000000-0005-0000-0000-00000C060000}"/>
    <cellStyle name="Normal 10 13" xfId="1552" xr:uid="{00000000-0005-0000-0000-00000D060000}"/>
    <cellStyle name="Normal 10 14" xfId="1553" xr:uid="{00000000-0005-0000-0000-00000E060000}"/>
    <cellStyle name="Normal 10 15" xfId="1554" xr:uid="{00000000-0005-0000-0000-00000F060000}"/>
    <cellStyle name="Normal 10 16" xfId="1555" xr:uid="{00000000-0005-0000-0000-000010060000}"/>
    <cellStyle name="Normal 10 17" xfId="1556" xr:uid="{00000000-0005-0000-0000-000011060000}"/>
    <cellStyle name="Normal 10 18" xfId="1557" xr:uid="{00000000-0005-0000-0000-000012060000}"/>
    <cellStyle name="Normal 10 19" xfId="1558" xr:uid="{00000000-0005-0000-0000-000013060000}"/>
    <cellStyle name="Normal 10 2" xfId="1559" xr:uid="{00000000-0005-0000-0000-000014060000}"/>
    <cellStyle name="Normal 10 20" xfId="1560" xr:uid="{00000000-0005-0000-0000-000015060000}"/>
    <cellStyle name="Normal 10 21" xfId="1561" xr:uid="{00000000-0005-0000-0000-000016060000}"/>
    <cellStyle name="Normal 10 3" xfId="1562" xr:uid="{00000000-0005-0000-0000-000017060000}"/>
    <cellStyle name="Normal 10 4" xfId="1563" xr:uid="{00000000-0005-0000-0000-000018060000}"/>
    <cellStyle name="Normal 10 5" xfId="1564" xr:uid="{00000000-0005-0000-0000-000019060000}"/>
    <cellStyle name="Normal 10 6" xfId="1565" xr:uid="{00000000-0005-0000-0000-00001A060000}"/>
    <cellStyle name="Normal 10 7" xfId="1566" xr:uid="{00000000-0005-0000-0000-00001B060000}"/>
    <cellStyle name="Normal 10 8" xfId="1567" xr:uid="{00000000-0005-0000-0000-00001C060000}"/>
    <cellStyle name="Normal 10 9" xfId="1568" xr:uid="{00000000-0005-0000-0000-00001D060000}"/>
    <cellStyle name="Normal 11" xfId="1569" xr:uid="{00000000-0005-0000-0000-00001E060000}"/>
    <cellStyle name="Normal 12" xfId="1570" xr:uid="{00000000-0005-0000-0000-00001F060000}"/>
    <cellStyle name="Normal 13" xfId="1571" xr:uid="{00000000-0005-0000-0000-000020060000}"/>
    <cellStyle name="Normal 18" xfId="1965" xr:uid="{6058B80A-F8F6-4E4A-9A37-578A6D2CA116}"/>
    <cellStyle name="Normal 2" xfId="1" xr:uid="{00000000-0005-0000-0000-000021060000}"/>
    <cellStyle name="Normal 2 10" xfId="2" xr:uid="{00000000-0005-0000-0000-000022060000}"/>
    <cellStyle name="Normal 2 10 2" xfId="1963" xr:uid="{489711E0-81D8-4D4D-92E6-E3FA856E54B6}"/>
    <cellStyle name="Normal 2 11" xfId="1572" xr:uid="{00000000-0005-0000-0000-000023060000}"/>
    <cellStyle name="Normal 2 12" xfId="1962" xr:uid="{332D9BF3-1E20-4BE9-89CA-0E3CF27958F5}"/>
    <cellStyle name="Normal 2 2" xfId="1573" xr:uid="{00000000-0005-0000-0000-000024060000}"/>
    <cellStyle name="Normal 2 2 2" xfId="1574" xr:uid="{00000000-0005-0000-0000-000025060000}"/>
    <cellStyle name="Normal 2 2 2 2" xfId="1575" xr:uid="{00000000-0005-0000-0000-000026060000}"/>
    <cellStyle name="Normal 2 2 2 2 2" xfId="1576" xr:uid="{00000000-0005-0000-0000-000027060000}"/>
    <cellStyle name="Normal 2 2 2 2 3" xfId="1577" xr:uid="{00000000-0005-0000-0000-000028060000}"/>
    <cellStyle name="Normal 2 2 3" xfId="1578" xr:uid="{00000000-0005-0000-0000-000029060000}"/>
    <cellStyle name="Normal 2 2 3 2" xfId="1579" xr:uid="{00000000-0005-0000-0000-00002A060000}"/>
    <cellStyle name="Normal 2 2 4" xfId="1580" xr:uid="{00000000-0005-0000-0000-00002B060000}"/>
    <cellStyle name="Normal 2 2 5" xfId="1581" xr:uid="{00000000-0005-0000-0000-00002C060000}"/>
    <cellStyle name="Normal 2 2 5 2" xfId="1582" xr:uid="{00000000-0005-0000-0000-00002D060000}"/>
    <cellStyle name="Normal 2 2 5 3" xfId="1583" xr:uid="{00000000-0005-0000-0000-00002E060000}"/>
    <cellStyle name="Normal 2 3" xfId="1584" xr:uid="{00000000-0005-0000-0000-00002F060000}"/>
    <cellStyle name="Normal 2 3 2" xfId="1585" xr:uid="{00000000-0005-0000-0000-000030060000}"/>
    <cellStyle name="Normal 2 4" xfId="1586" xr:uid="{00000000-0005-0000-0000-000031060000}"/>
    <cellStyle name="Normal 2 5" xfId="1587" xr:uid="{00000000-0005-0000-0000-000032060000}"/>
    <cellStyle name="Normal 2 6" xfId="1588" xr:uid="{00000000-0005-0000-0000-000033060000}"/>
    <cellStyle name="Normal 2 7" xfId="1589" xr:uid="{00000000-0005-0000-0000-000034060000}"/>
    <cellStyle name="Normal 2 8" xfId="1590" xr:uid="{00000000-0005-0000-0000-000035060000}"/>
    <cellStyle name="Normal 2 9" xfId="1591" xr:uid="{00000000-0005-0000-0000-000036060000}"/>
    <cellStyle name="Normal 2_2008 Count Update vC Ratio 110408" xfId="1592" xr:uid="{00000000-0005-0000-0000-000037060000}"/>
    <cellStyle name="Normal 3" xfId="1593" xr:uid="{00000000-0005-0000-0000-000038060000}"/>
    <cellStyle name="Normal 3 2" xfId="1594" xr:uid="{00000000-0005-0000-0000-000039060000}"/>
    <cellStyle name="Normal 3 3" xfId="1595" xr:uid="{00000000-0005-0000-0000-00003A060000}"/>
    <cellStyle name="Normal 4" xfId="3" xr:uid="{00000000-0005-0000-0000-00003B060000}"/>
    <cellStyle name="Normal 4 10" xfId="1596" xr:uid="{00000000-0005-0000-0000-00003C060000}"/>
    <cellStyle name="Normal 4 11" xfId="1597" xr:uid="{00000000-0005-0000-0000-00003D060000}"/>
    <cellStyle name="Normal 4 12" xfId="1598" xr:uid="{00000000-0005-0000-0000-00003E060000}"/>
    <cellStyle name="Normal 4 13" xfId="1599" xr:uid="{00000000-0005-0000-0000-00003F060000}"/>
    <cellStyle name="Normal 4 14" xfId="1600" xr:uid="{00000000-0005-0000-0000-000040060000}"/>
    <cellStyle name="Normal 4 15" xfId="1601" xr:uid="{00000000-0005-0000-0000-000041060000}"/>
    <cellStyle name="Normal 4 16" xfId="1602" xr:uid="{00000000-0005-0000-0000-000042060000}"/>
    <cellStyle name="Normal 4 17" xfId="1603" xr:uid="{00000000-0005-0000-0000-000043060000}"/>
    <cellStyle name="Normal 4 18" xfId="1604" xr:uid="{00000000-0005-0000-0000-000044060000}"/>
    <cellStyle name="Normal 4 19" xfId="1605" xr:uid="{00000000-0005-0000-0000-000045060000}"/>
    <cellStyle name="Normal 4 2" xfId="1606" xr:uid="{00000000-0005-0000-0000-000046060000}"/>
    <cellStyle name="Normal 4 20" xfId="1607" xr:uid="{00000000-0005-0000-0000-000047060000}"/>
    <cellStyle name="Normal 4 3" xfId="1608" xr:uid="{00000000-0005-0000-0000-000048060000}"/>
    <cellStyle name="Normal 4 4" xfId="1609" xr:uid="{00000000-0005-0000-0000-000049060000}"/>
    <cellStyle name="Normal 4 5" xfId="1610" xr:uid="{00000000-0005-0000-0000-00004A060000}"/>
    <cellStyle name="Normal 4 6" xfId="1611" xr:uid="{00000000-0005-0000-0000-00004B060000}"/>
    <cellStyle name="Normal 4 7" xfId="1612" xr:uid="{00000000-0005-0000-0000-00004C060000}"/>
    <cellStyle name="Normal 4 8" xfId="1613" xr:uid="{00000000-0005-0000-0000-00004D060000}"/>
    <cellStyle name="Normal 4 9" xfId="1614" xr:uid="{00000000-0005-0000-0000-00004E060000}"/>
    <cellStyle name="Normal 5" xfId="1615" xr:uid="{00000000-0005-0000-0000-00004F060000}"/>
    <cellStyle name="Normal 5 10" xfId="1616" xr:uid="{00000000-0005-0000-0000-000050060000}"/>
    <cellStyle name="Normal 5 11" xfId="1617" xr:uid="{00000000-0005-0000-0000-000051060000}"/>
    <cellStyle name="Normal 5 12" xfId="1618" xr:uid="{00000000-0005-0000-0000-000052060000}"/>
    <cellStyle name="Normal 5 13" xfId="1619" xr:uid="{00000000-0005-0000-0000-000053060000}"/>
    <cellStyle name="Normal 5 14" xfId="1620" xr:uid="{00000000-0005-0000-0000-000054060000}"/>
    <cellStyle name="Normal 5 15" xfId="1621" xr:uid="{00000000-0005-0000-0000-000055060000}"/>
    <cellStyle name="Normal 5 16" xfId="1622" xr:uid="{00000000-0005-0000-0000-000056060000}"/>
    <cellStyle name="Normal 5 17" xfId="1623" xr:uid="{00000000-0005-0000-0000-000057060000}"/>
    <cellStyle name="Normal 5 18" xfId="1624" xr:uid="{00000000-0005-0000-0000-000058060000}"/>
    <cellStyle name="Normal 5 19" xfId="1625" xr:uid="{00000000-0005-0000-0000-000059060000}"/>
    <cellStyle name="Normal 5 2" xfId="1626" xr:uid="{00000000-0005-0000-0000-00005A060000}"/>
    <cellStyle name="Normal 5 20" xfId="1627" xr:uid="{00000000-0005-0000-0000-00005B060000}"/>
    <cellStyle name="Normal 5 21" xfId="1628" xr:uid="{00000000-0005-0000-0000-00005C060000}"/>
    <cellStyle name="Normal 5 3" xfId="1629" xr:uid="{00000000-0005-0000-0000-00005D060000}"/>
    <cellStyle name="Normal 5 4" xfId="1630" xr:uid="{00000000-0005-0000-0000-00005E060000}"/>
    <cellStyle name="Normal 5 5" xfId="1631" xr:uid="{00000000-0005-0000-0000-00005F060000}"/>
    <cellStyle name="Normal 5 6" xfId="1632" xr:uid="{00000000-0005-0000-0000-000060060000}"/>
    <cellStyle name="Normal 5 7" xfId="1633" xr:uid="{00000000-0005-0000-0000-000061060000}"/>
    <cellStyle name="Normal 5 8" xfId="1634" xr:uid="{00000000-0005-0000-0000-000062060000}"/>
    <cellStyle name="Normal 5 9" xfId="1635" xr:uid="{00000000-0005-0000-0000-000063060000}"/>
    <cellStyle name="Normal 6" xfId="1636" xr:uid="{00000000-0005-0000-0000-000064060000}"/>
    <cellStyle name="Normal 6 10" xfId="1637" xr:uid="{00000000-0005-0000-0000-000065060000}"/>
    <cellStyle name="Normal 6 11" xfId="1638" xr:uid="{00000000-0005-0000-0000-000066060000}"/>
    <cellStyle name="Normal 6 12" xfId="1639" xr:uid="{00000000-0005-0000-0000-000067060000}"/>
    <cellStyle name="Normal 6 13" xfId="1640" xr:uid="{00000000-0005-0000-0000-000068060000}"/>
    <cellStyle name="Normal 6 14" xfId="1641" xr:uid="{00000000-0005-0000-0000-000069060000}"/>
    <cellStyle name="Normal 6 15" xfId="1642" xr:uid="{00000000-0005-0000-0000-00006A060000}"/>
    <cellStyle name="Normal 6 16" xfId="1643" xr:uid="{00000000-0005-0000-0000-00006B060000}"/>
    <cellStyle name="Normal 6 17" xfId="1644" xr:uid="{00000000-0005-0000-0000-00006C060000}"/>
    <cellStyle name="Normal 6 18" xfId="1645" xr:uid="{00000000-0005-0000-0000-00006D060000}"/>
    <cellStyle name="Normal 6 19" xfId="1646" xr:uid="{00000000-0005-0000-0000-00006E060000}"/>
    <cellStyle name="Normal 6 2" xfId="1647" xr:uid="{00000000-0005-0000-0000-00006F060000}"/>
    <cellStyle name="Normal 6 20" xfId="1648" xr:uid="{00000000-0005-0000-0000-000070060000}"/>
    <cellStyle name="Normal 6 21" xfId="1649" xr:uid="{00000000-0005-0000-0000-000071060000}"/>
    <cellStyle name="Normal 6 22" xfId="1650" xr:uid="{00000000-0005-0000-0000-000072060000}"/>
    <cellStyle name="Normal 6 3" xfId="1651" xr:uid="{00000000-0005-0000-0000-000073060000}"/>
    <cellStyle name="Normal 6 4" xfId="1652" xr:uid="{00000000-0005-0000-0000-000074060000}"/>
    <cellStyle name="Normal 6 5" xfId="1653" xr:uid="{00000000-0005-0000-0000-000075060000}"/>
    <cellStyle name="Normal 6 6" xfId="1654" xr:uid="{00000000-0005-0000-0000-000076060000}"/>
    <cellStyle name="Normal 6 7" xfId="1655" xr:uid="{00000000-0005-0000-0000-000077060000}"/>
    <cellStyle name="Normal 6 8" xfId="1656" xr:uid="{00000000-0005-0000-0000-000078060000}"/>
    <cellStyle name="Normal 6 9" xfId="1657" xr:uid="{00000000-0005-0000-0000-000079060000}"/>
    <cellStyle name="Normal 7" xfId="1658" xr:uid="{00000000-0005-0000-0000-00007A060000}"/>
    <cellStyle name="Normal 7 10" xfId="1659" xr:uid="{00000000-0005-0000-0000-00007B060000}"/>
    <cellStyle name="Normal 7 11" xfId="1660" xr:uid="{00000000-0005-0000-0000-00007C060000}"/>
    <cellStyle name="Normal 7 12" xfId="1661" xr:uid="{00000000-0005-0000-0000-00007D060000}"/>
    <cellStyle name="Normal 7 13" xfId="1662" xr:uid="{00000000-0005-0000-0000-00007E060000}"/>
    <cellStyle name="Normal 7 14" xfId="1663" xr:uid="{00000000-0005-0000-0000-00007F060000}"/>
    <cellStyle name="Normal 7 15" xfId="1664" xr:uid="{00000000-0005-0000-0000-000080060000}"/>
    <cellStyle name="Normal 7 16" xfId="1665" xr:uid="{00000000-0005-0000-0000-000081060000}"/>
    <cellStyle name="Normal 7 17" xfId="1666" xr:uid="{00000000-0005-0000-0000-000082060000}"/>
    <cellStyle name="Normal 7 18" xfId="1667" xr:uid="{00000000-0005-0000-0000-000083060000}"/>
    <cellStyle name="Normal 7 19" xfId="1668" xr:uid="{00000000-0005-0000-0000-000084060000}"/>
    <cellStyle name="Normal 7 2" xfId="1669" xr:uid="{00000000-0005-0000-0000-000085060000}"/>
    <cellStyle name="Normal 7 20" xfId="1670" xr:uid="{00000000-0005-0000-0000-000086060000}"/>
    <cellStyle name="Normal 7 3" xfId="1671" xr:uid="{00000000-0005-0000-0000-000087060000}"/>
    <cellStyle name="Normal 7 4" xfId="1672" xr:uid="{00000000-0005-0000-0000-000088060000}"/>
    <cellStyle name="Normal 7 5" xfId="1673" xr:uid="{00000000-0005-0000-0000-000089060000}"/>
    <cellStyle name="Normal 7 6" xfId="1674" xr:uid="{00000000-0005-0000-0000-00008A060000}"/>
    <cellStyle name="Normal 7 7" xfId="1675" xr:uid="{00000000-0005-0000-0000-00008B060000}"/>
    <cellStyle name="Normal 7 8" xfId="1676" xr:uid="{00000000-0005-0000-0000-00008C060000}"/>
    <cellStyle name="Normal 7 9" xfId="1677" xr:uid="{00000000-0005-0000-0000-00008D060000}"/>
    <cellStyle name="Normal 8" xfId="1678" xr:uid="{00000000-0005-0000-0000-00008E060000}"/>
    <cellStyle name="Normal 8 2" xfId="1679" xr:uid="{00000000-0005-0000-0000-00008F060000}"/>
    <cellStyle name="Normal 8 3" xfId="1680" xr:uid="{00000000-0005-0000-0000-000090060000}"/>
    <cellStyle name="Normal 9" xfId="1681" xr:uid="{00000000-0005-0000-0000-000091060000}"/>
    <cellStyle name="Normal 9 10" xfId="1682" xr:uid="{00000000-0005-0000-0000-000092060000}"/>
    <cellStyle name="Normal 9 11" xfId="1683" xr:uid="{00000000-0005-0000-0000-000093060000}"/>
    <cellStyle name="Normal 9 12" xfId="1684" xr:uid="{00000000-0005-0000-0000-000094060000}"/>
    <cellStyle name="Normal 9 13" xfId="1685" xr:uid="{00000000-0005-0000-0000-000095060000}"/>
    <cellStyle name="Normal 9 14" xfId="1686" xr:uid="{00000000-0005-0000-0000-000096060000}"/>
    <cellStyle name="Normal 9 15" xfId="1687" xr:uid="{00000000-0005-0000-0000-000097060000}"/>
    <cellStyle name="Normal 9 16" xfId="1688" xr:uid="{00000000-0005-0000-0000-000098060000}"/>
    <cellStyle name="Normal 9 17" xfId="1689" xr:uid="{00000000-0005-0000-0000-000099060000}"/>
    <cellStyle name="Normal 9 18" xfId="1690" xr:uid="{00000000-0005-0000-0000-00009A060000}"/>
    <cellStyle name="Normal 9 19" xfId="1691" xr:uid="{00000000-0005-0000-0000-00009B060000}"/>
    <cellStyle name="Normal 9 2" xfId="1692" xr:uid="{00000000-0005-0000-0000-00009C060000}"/>
    <cellStyle name="Normal 9 3" xfId="1693" xr:uid="{00000000-0005-0000-0000-00009D060000}"/>
    <cellStyle name="Normal 9 4" xfId="1694" xr:uid="{00000000-0005-0000-0000-00009E060000}"/>
    <cellStyle name="Normal 9 5" xfId="1695" xr:uid="{00000000-0005-0000-0000-00009F060000}"/>
    <cellStyle name="Normal 9 6" xfId="1696" xr:uid="{00000000-0005-0000-0000-0000A0060000}"/>
    <cellStyle name="Normal 9 7" xfId="1697" xr:uid="{00000000-0005-0000-0000-0000A1060000}"/>
    <cellStyle name="Normal 9 8" xfId="1698" xr:uid="{00000000-0005-0000-0000-0000A2060000}"/>
    <cellStyle name="Normal 9 9" xfId="1699" xr:uid="{00000000-0005-0000-0000-0000A3060000}"/>
    <cellStyle name="Note 10" xfId="1700" xr:uid="{00000000-0005-0000-0000-0000A4060000}"/>
    <cellStyle name="Note 11" xfId="1701" xr:uid="{00000000-0005-0000-0000-0000A5060000}"/>
    <cellStyle name="Note 12" xfId="1702" xr:uid="{00000000-0005-0000-0000-0000A6060000}"/>
    <cellStyle name="Note 13" xfId="1703" xr:uid="{00000000-0005-0000-0000-0000A7060000}"/>
    <cellStyle name="Note 14" xfId="1704" xr:uid="{00000000-0005-0000-0000-0000A8060000}"/>
    <cellStyle name="Note 15" xfId="1705" xr:uid="{00000000-0005-0000-0000-0000A9060000}"/>
    <cellStyle name="Note 16" xfId="1706" xr:uid="{00000000-0005-0000-0000-0000AA060000}"/>
    <cellStyle name="Note 17" xfId="1707" xr:uid="{00000000-0005-0000-0000-0000AB060000}"/>
    <cellStyle name="Note 18" xfId="1708" xr:uid="{00000000-0005-0000-0000-0000AC060000}"/>
    <cellStyle name="Note 19" xfId="1709" xr:uid="{00000000-0005-0000-0000-0000AD060000}"/>
    <cellStyle name="Note 2" xfId="1710" xr:uid="{00000000-0005-0000-0000-0000AE060000}"/>
    <cellStyle name="Note 2 2" xfId="1711" xr:uid="{00000000-0005-0000-0000-0000AF060000}"/>
    <cellStyle name="Note 20" xfId="1712" xr:uid="{00000000-0005-0000-0000-0000B0060000}"/>
    <cellStyle name="Note 21" xfId="1713" xr:uid="{00000000-0005-0000-0000-0000B1060000}"/>
    <cellStyle name="Note 22" xfId="1714" xr:uid="{00000000-0005-0000-0000-0000B2060000}"/>
    <cellStyle name="Note 23" xfId="1715" xr:uid="{00000000-0005-0000-0000-0000B3060000}"/>
    <cellStyle name="Note 24" xfId="1716" xr:uid="{00000000-0005-0000-0000-0000B4060000}"/>
    <cellStyle name="Note 25" xfId="1717" xr:uid="{00000000-0005-0000-0000-0000B5060000}"/>
    <cellStyle name="Note 26" xfId="1718" xr:uid="{00000000-0005-0000-0000-0000B6060000}"/>
    <cellStyle name="Note 27" xfId="1719" xr:uid="{00000000-0005-0000-0000-0000B7060000}"/>
    <cellStyle name="Note 28" xfId="1720" xr:uid="{00000000-0005-0000-0000-0000B8060000}"/>
    <cellStyle name="Note 29" xfId="1721" xr:uid="{00000000-0005-0000-0000-0000B9060000}"/>
    <cellStyle name="Note 3" xfId="1722" xr:uid="{00000000-0005-0000-0000-0000BA060000}"/>
    <cellStyle name="Note 3 2" xfId="1723" xr:uid="{00000000-0005-0000-0000-0000BB060000}"/>
    <cellStyle name="Note 3 3" xfId="1724" xr:uid="{00000000-0005-0000-0000-0000BC060000}"/>
    <cellStyle name="Note 30" xfId="1725" xr:uid="{00000000-0005-0000-0000-0000BD060000}"/>
    <cellStyle name="Note 31" xfId="1726" xr:uid="{00000000-0005-0000-0000-0000BE060000}"/>
    <cellStyle name="Note 32" xfId="1727" xr:uid="{00000000-0005-0000-0000-0000BF060000}"/>
    <cellStyle name="Note 33" xfId="1728" xr:uid="{00000000-0005-0000-0000-0000C0060000}"/>
    <cellStyle name="Note 34" xfId="1729" xr:uid="{00000000-0005-0000-0000-0000C1060000}"/>
    <cellStyle name="Note 35" xfId="1730" xr:uid="{00000000-0005-0000-0000-0000C2060000}"/>
    <cellStyle name="Note 36" xfId="1731" xr:uid="{00000000-0005-0000-0000-0000C3060000}"/>
    <cellStyle name="Note 37" xfId="1732" xr:uid="{00000000-0005-0000-0000-0000C4060000}"/>
    <cellStyle name="Note 38" xfId="1733" xr:uid="{00000000-0005-0000-0000-0000C5060000}"/>
    <cellStyle name="Note 39" xfId="1734" xr:uid="{00000000-0005-0000-0000-0000C6060000}"/>
    <cellStyle name="Note 4" xfId="1735" xr:uid="{00000000-0005-0000-0000-0000C7060000}"/>
    <cellStyle name="Note 40" xfId="1736" xr:uid="{00000000-0005-0000-0000-0000C8060000}"/>
    <cellStyle name="Note 41" xfId="1737" xr:uid="{00000000-0005-0000-0000-0000C9060000}"/>
    <cellStyle name="Note 42" xfId="1738" xr:uid="{00000000-0005-0000-0000-0000CA060000}"/>
    <cellStyle name="Note 5" xfId="1739" xr:uid="{00000000-0005-0000-0000-0000CB060000}"/>
    <cellStyle name="Note 6" xfId="1740" xr:uid="{00000000-0005-0000-0000-0000CC060000}"/>
    <cellStyle name="Note 7" xfId="1741" xr:uid="{00000000-0005-0000-0000-0000CD060000}"/>
    <cellStyle name="Note 8" xfId="1742" xr:uid="{00000000-0005-0000-0000-0000CE060000}"/>
    <cellStyle name="Note 9" xfId="1743" xr:uid="{00000000-0005-0000-0000-0000CF060000}"/>
    <cellStyle name="Output 10" xfId="1744" xr:uid="{00000000-0005-0000-0000-0000D0060000}"/>
    <cellStyle name="Output 11" xfId="1745" xr:uid="{00000000-0005-0000-0000-0000D1060000}"/>
    <cellStyle name="Output 12" xfId="1746" xr:uid="{00000000-0005-0000-0000-0000D2060000}"/>
    <cellStyle name="Output 13" xfId="1747" xr:uid="{00000000-0005-0000-0000-0000D3060000}"/>
    <cellStyle name="Output 14" xfId="1748" xr:uid="{00000000-0005-0000-0000-0000D4060000}"/>
    <cellStyle name="Output 15" xfId="1749" xr:uid="{00000000-0005-0000-0000-0000D5060000}"/>
    <cellStyle name="Output 16" xfId="1750" xr:uid="{00000000-0005-0000-0000-0000D6060000}"/>
    <cellStyle name="Output 17" xfId="1751" xr:uid="{00000000-0005-0000-0000-0000D7060000}"/>
    <cellStyle name="Output 18" xfId="1752" xr:uid="{00000000-0005-0000-0000-0000D8060000}"/>
    <cellStyle name="Output 19" xfId="1753" xr:uid="{00000000-0005-0000-0000-0000D9060000}"/>
    <cellStyle name="Output 2" xfId="1754" xr:uid="{00000000-0005-0000-0000-0000DA060000}"/>
    <cellStyle name="Output 2 2" xfId="1755" xr:uid="{00000000-0005-0000-0000-0000DB060000}"/>
    <cellStyle name="Output 20" xfId="1756" xr:uid="{00000000-0005-0000-0000-0000DC060000}"/>
    <cellStyle name="Output 21" xfId="1757" xr:uid="{00000000-0005-0000-0000-0000DD060000}"/>
    <cellStyle name="Output 22" xfId="1758" xr:uid="{00000000-0005-0000-0000-0000DE060000}"/>
    <cellStyle name="Output 23" xfId="1759" xr:uid="{00000000-0005-0000-0000-0000DF060000}"/>
    <cellStyle name="Output 24" xfId="1760" xr:uid="{00000000-0005-0000-0000-0000E0060000}"/>
    <cellStyle name="Output 25" xfId="1761" xr:uid="{00000000-0005-0000-0000-0000E1060000}"/>
    <cellStyle name="Output 26" xfId="1762" xr:uid="{00000000-0005-0000-0000-0000E2060000}"/>
    <cellStyle name="Output 27" xfId="1763" xr:uid="{00000000-0005-0000-0000-0000E3060000}"/>
    <cellStyle name="Output 28" xfId="1764" xr:uid="{00000000-0005-0000-0000-0000E4060000}"/>
    <cellStyle name="Output 29" xfId="1765" xr:uid="{00000000-0005-0000-0000-0000E5060000}"/>
    <cellStyle name="Output 3" xfId="1766" xr:uid="{00000000-0005-0000-0000-0000E6060000}"/>
    <cellStyle name="Output 30" xfId="1767" xr:uid="{00000000-0005-0000-0000-0000E7060000}"/>
    <cellStyle name="Output 31" xfId="1768" xr:uid="{00000000-0005-0000-0000-0000E8060000}"/>
    <cellStyle name="Output 32" xfId="1769" xr:uid="{00000000-0005-0000-0000-0000E9060000}"/>
    <cellStyle name="Output 33" xfId="1770" xr:uid="{00000000-0005-0000-0000-0000EA060000}"/>
    <cellStyle name="Output 34" xfId="1771" xr:uid="{00000000-0005-0000-0000-0000EB060000}"/>
    <cellStyle name="Output 35" xfId="1772" xr:uid="{00000000-0005-0000-0000-0000EC060000}"/>
    <cellStyle name="Output 36" xfId="1773" xr:uid="{00000000-0005-0000-0000-0000ED060000}"/>
    <cellStyle name="Output 37" xfId="1774" xr:uid="{00000000-0005-0000-0000-0000EE060000}"/>
    <cellStyle name="Output 38" xfId="1775" xr:uid="{00000000-0005-0000-0000-0000EF060000}"/>
    <cellStyle name="Output 39" xfId="1776" xr:uid="{00000000-0005-0000-0000-0000F0060000}"/>
    <cellStyle name="Output 4" xfId="1777" xr:uid="{00000000-0005-0000-0000-0000F1060000}"/>
    <cellStyle name="Output 40" xfId="1778" xr:uid="{00000000-0005-0000-0000-0000F2060000}"/>
    <cellStyle name="Output 41" xfId="1779" xr:uid="{00000000-0005-0000-0000-0000F3060000}"/>
    <cellStyle name="Output 42" xfId="1780" xr:uid="{00000000-0005-0000-0000-0000F4060000}"/>
    <cellStyle name="Output 5" xfId="1781" xr:uid="{00000000-0005-0000-0000-0000F5060000}"/>
    <cellStyle name="Output 6" xfId="1782" xr:uid="{00000000-0005-0000-0000-0000F6060000}"/>
    <cellStyle name="Output 7" xfId="1783" xr:uid="{00000000-0005-0000-0000-0000F7060000}"/>
    <cellStyle name="Output 8" xfId="1784" xr:uid="{00000000-0005-0000-0000-0000F8060000}"/>
    <cellStyle name="Output 9" xfId="1785" xr:uid="{00000000-0005-0000-0000-0000F9060000}"/>
    <cellStyle name="Percen - Style1" xfId="1786" xr:uid="{00000000-0005-0000-0000-0000FA060000}"/>
    <cellStyle name="Percent" xfId="1961" builtinId="5"/>
    <cellStyle name="Percent 2" xfId="1787" xr:uid="{00000000-0005-0000-0000-0000FB060000}"/>
    <cellStyle name="Percent 3" xfId="1788" xr:uid="{00000000-0005-0000-0000-0000FC060000}"/>
    <cellStyle name="Percent 3 2" xfId="1789" xr:uid="{00000000-0005-0000-0000-0000FD060000}"/>
    <cellStyle name="Percent 4" xfId="1790" xr:uid="{00000000-0005-0000-0000-0000FE060000}"/>
    <cellStyle name="Percent 5" xfId="1791" xr:uid="{00000000-0005-0000-0000-0000FF060000}"/>
    <cellStyle name="t1" xfId="1792" xr:uid="{00000000-0005-0000-0000-000000070000}"/>
    <cellStyle name="Title 10" xfId="1793" xr:uid="{00000000-0005-0000-0000-000001070000}"/>
    <cellStyle name="Title 11" xfId="1794" xr:uid="{00000000-0005-0000-0000-000002070000}"/>
    <cellStyle name="Title 12" xfId="1795" xr:uid="{00000000-0005-0000-0000-000003070000}"/>
    <cellStyle name="Title 13" xfId="1796" xr:uid="{00000000-0005-0000-0000-000004070000}"/>
    <cellStyle name="Title 14" xfId="1797" xr:uid="{00000000-0005-0000-0000-000005070000}"/>
    <cellStyle name="Title 15" xfId="1798" xr:uid="{00000000-0005-0000-0000-000006070000}"/>
    <cellStyle name="Title 16" xfId="1799" xr:uid="{00000000-0005-0000-0000-000007070000}"/>
    <cellStyle name="Title 17" xfId="1800" xr:uid="{00000000-0005-0000-0000-000008070000}"/>
    <cellStyle name="Title 18" xfId="1801" xr:uid="{00000000-0005-0000-0000-000009070000}"/>
    <cellStyle name="Title 19" xfId="1802" xr:uid="{00000000-0005-0000-0000-00000A070000}"/>
    <cellStyle name="Title 2" xfId="1803" xr:uid="{00000000-0005-0000-0000-00000B070000}"/>
    <cellStyle name="Title 20" xfId="1804" xr:uid="{00000000-0005-0000-0000-00000C070000}"/>
    <cellStyle name="Title 21" xfId="1805" xr:uid="{00000000-0005-0000-0000-00000D070000}"/>
    <cellStyle name="Title 22" xfId="1806" xr:uid="{00000000-0005-0000-0000-00000E070000}"/>
    <cellStyle name="Title 23" xfId="1807" xr:uid="{00000000-0005-0000-0000-00000F070000}"/>
    <cellStyle name="Title 24" xfId="1808" xr:uid="{00000000-0005-0000-0000-000010070000}"/>
    <cellStyle name="Title 25" xfId="1809" xr:uid="{00000000-0005-0000-0000-000011070000}"/>
    <cellStyle name="Title 26" xfId="1810" xr:uid="{00000000-0005-0000-0000-000012070000}"/>
    <cellStyle name="Title 27" xfId="1811" xr:uid="{00000000-0005-0000-0000-000013070000}"/>
    <cellStyle name="Title 28" xfId="1812" xr:uid="{00000000-0005-0000-0000-000014070000}"/>
    <cellStyle name="Title 29" xfId="1813" xr:uid="{00000000-0005-0000-0000-000015070000}"/>
    <cellStyle name="Title 3" xfId="1814" xr:uid="{00000000-0005-0000-0000-000016070000}"/>
    <cellStyle name="Title 30" xfId="1815" xr:uid="{00000000-0005-0000-0000-000017070000}"/>
    <cellStyle name="Title 31" xfId="1816" xr:uid="{00000000-0005-0000-0000-000018070000}"/>
    <cellStyle name="Title 32" xfId="1817" xr:uid="{00000000-0005-0000-0000-000019070000}"/>
    <cellStyle name="Title 33" xfId="1818" xr:uid="{00000000-0005-0000-0000-00001A070000}"/>
    <cellStyle name="Title 34" xfId="1819" xr:uid="{00000000-0005-0000-0000-00001B070000}"/>
    <cellStyle name="Title 35" xfId="1820" xr:uid="{00000000-0005-0000-0000-00001C070000}"/>
    <cellStyle name="Title 36" xfId="1821" xr:uid="{00000000-0005-0000-0000-00001D070000}"/>
    <cellStyle name="Title 37" xfId="1822" xr:uid="{00000000-0005-0000-0000-00001E070000}"/>
    <cellStyle name="Title 38" xfId="1823" xr:uid="{00000000-0005-0000-0000-00001F070000}"/>
    <cellStyle name="Title 39" xfId="1824" xr:uid="{00000000-0005-0000-0000-000020070000}"/>
    <cellStyle name="Title 4" xfId="1825" xr:uid="{00000000-0005-0000-0000-000021070000}"/>
    <cellStyle name="Title 40" xfId="1826" xr:uid="{00000000-0005-0000-0000-000022070000}"/>
    <cellStyle name="Title 41" xfId="1827" xr:uid="{00000000-0005-0000-0000-000023070000}"/>
    <cellStyle name="Title 42" xfId="1828" xr:uid="{00000000-0005-0000-0000-000024070000}"/>
    <cellStyle name="Title 5" xfId="1829" xr:uid="{00000000-0005-0000-0000-000025070000}"/>
    <cellStyle name="Title 6" xfId="1830" xr:uid="{00000000-0005-0000-0000-000026070000}"/>
    <cellStyle name="Title 7" xfId="1831" xr:uid="{00000000-0005-0000-0000-000027070000}"/>
    <cellStyle name="Title 8" xfId="1832" xr:uid="{00000000-0005-0000-0000-000028070000}"/>
    <cellStyle name="Title 9" xfId="1833" xr:uid="{00000000-0005-0000-0000-000029070000}"/>
    <cellStyle name="Total 10" xfId="1834" xr:uid="{00000000-0005-0000-0000-00002A070000}"/>
    <cellStyle name="Total 10 2" xfId="1835" xr:uid="{00000000-0005-0000-0000-00002B070000}"/>
    <cellStyle name="Total 11" xfId="1836" xr:uid="{00000000-0005-0000-0000-00002C070000}"/>
    <cellStyle name="Total 11 2" xfId="1837" xr:uid="{00000000-0005-0000-0000-00002D070000}"/>
    <cellStyle name="Total 12" xfId="1838" xr:uid="{00000000-0005-0000-0000-00002E070000}"/>
    <cellStyle name="Total 12 2" xfId="1839" xr:uid="{00000000-0005-0000-0000-00002F070000}"/>
    <cellStyle name="Total 13" xfId="1840" xr:uid="{00000000-0005-0000-0000-000030070000}"/>
    <cellStyle name="Total 13 2" xfId="1841" xr:uid="{00000000-0005-0000-0000-000031070000}"/>
    <cellStyle name="Total 14" xfId="1842" xr:uid="{00000000-0005-0000-0000-000032070000}"/>
    <cellStyle name="Total 14 2" xfId="1843" xr:uid="{00000000-0005-0000-0000-000033070000}"/>
    <cellStyle name="Total 15" xfId="1844" xr:uid="{00000000-0005-0000-0000-000034070000}"/>
    <cellStyle name="Total 15 2" xfId="1845" xr:uid="{00000000-0005-0000-0000-000035070000}"/>
    <cellStyle name="Total 16" xfId="1846" xr:uid="{00000000-0005-0000-0000-000036070000}"/>
    <cellStyle name="Total 16 2" xfId="1847" xr:uid="{00000000-0005-0000-0000-000037070000}"/>
    <cellStyle name="Total 17" xfId="1848" xr:uid="{00000000-0005-0000-0000-000038070000}"/>
    <cellStyle name="Total 17 2" xfId="1849" xr:uid="{00000000-0005-0000-0000-000039070000}"/>
    <cellStyle name="Total 18" xfId="1850" xr:uid="{00000000-0005-0000-0000-00003A070000}"/>
    <cellStyle name="Total 18 2" xfId="1851" xr:uid="{00000000-0005-0000-0000-00003B070000}"/>
    <cellStyle name="Total 19" xfId="1852" xr:uid="{00000000-0005-0000-0000-00003C070000}"/>
    <cellStyle name="Total 19 2" xfId="1853" xr:uid="{00000000-0005-0000-0000-00003D070000}"/>
    <cellStyle name="Total 2" xfId="1854" xr:uid="{00000000-0005-0000-0000-00003E070000}"/>
    <cellStyle name="Total 2 2" xfId="1855" xr:uid="{00000000-0005-0000-0000-00003F070000}"/>
    <cellStyle name="Total 2 2 2" xfId="1856" xr:uid="{00000000-0005-0000-0000-000040070000}"/>
    <cellStyle name="Total 2 2 3" xfId="1857" xr:uid="{00000000-0005-0000-0000-000041070000}"/>
    <cellStyle name="Total 20" xfId="1858" xr:uid="{00000000-0005-0000-0000-000042070000}"/>
    <cellStyle name="Total 20 2" xfId="1859" xr:uid="{00000000-0005-0000-0000-000043070000}"/>
    <cellStyle name="Total 21" xfId="1860" xr:uid="{00000000-0005-0000-0000-000044070000}"/>
    <cellStyle name="Total 21 2" xfId="1861" xr:uid="{00000000-0005-0000-0000-000045070000}"/>
    <cellStyle name="Total 22" xfId="1862" xr:uid="{00000000-0005-0000-0000-000046070000}"/>
    <cellStyle name="Total 22 2" xfId="1863" xr:uid="{00000000-0005-0000-0000-000047070000}"/>
    <cellStyle name="Total 23" xfId="1864" xr:uid="{00000000-0005-0000-0000-000048070000}"/>
    <cellStyle name="Total 23 2" xfId="1865" xr:uid="{00000000-0005-0000-0000-000049070000}"/>
    <cellStyle name="Total 24" xfId="1866" xr:uid="{00000000-0005-0000-0000-00004A070000}"/>
    <cellStyle name="Total 24 2" xfId="1867" xr:uid="{00000000-0005-0000-0000-00004B070000}"/>
    <cellStyle name="Total 25" xfId="1868" xr:uid="{00000000-0005-0000-0000-00004C070000}"/>
    <cellStyle name="Total 25 2" xfId="1869" xr:uid="{00000000-0005-0000-0000-00004D070000}"/>
    <cellStyle name="Total 26" xfId="1870" xr:uid="{00000000-0005-0000-0000-00004E070000}"/>
    <cellStyle name="Total 26 2" xfId="1871" xr:uid="{00000000-0005-0000-0000-00004F070000}"/>
    <cellStyle name="Total 27" xfId="1872" xr:uid="{00000000-0005-0000-0000-000050070000}"/>
    <cellStyle name="Total 27 2" xfId="1873" xr:uid="{00000000-0005-0000-0000-000051070000}"/>
    <cellStyle name="Total 28" xfId="1874" xr:uid="{00000000-0005-0000-0000-000052070000}"/>
    <cellStyle name="Total 28 2" xfId="1875" xr:uid="{00000000-0005-0000-0000-000053070000}"/>
    <cellStyle name="Total 29" xfId="1876" xr:uid="{00000000-0005-0000-0000-000054070000}"/>
    <cellStyle name="Total 29 2" xfId="1877" xr:uid="{00000000-0005-0000-0000-000055070000}"/>
    <cellStyle name="Total 3" xfId="1878" xr:uid="{00000000-0005-0000-0000-000056070000}"/>
    <cellStyle name="Total 3 2" xfId="1879" xr:uid="{00000000-0005-0000-0000-000057070000}"/>
    <cellStyle name="Total 30" xfId="1880" xr:uid="{00000000-0005-0000-0000-000058070000}"/>
    <cellStyle name="Total 30 2" xfId="1881" xr:uid="{00000000-0005-0000-0000-000059070000}"/>
    <cellStyle name="Total 31" xfId="1882" xr:uid="{00000000-0005-0000-0000-00005A070000}"/>
    <cellStyle name="Total 31 2" xfId="1883" xr:uid="{00000000-0005-0000-0000-00005B070000}"/>
    <cellStyle name="Total 32" xfId="1884" xr:uid="{00000000-0005-0000-0000-00005C070000}"/>
    <cellStyle name="Total 32 2" xfId="1885" xr:uid="{00000000-0005-0000-0000-00005D070000}"/>
    <cellStyle name="Total 33" xfId="1886" xr:uid="{00000000-0005-0000-0000-00005E070000}"/>
    <cellStyle name="Total 33 2" xfId="1887" xr:uid="{00000000-0005-0000-0000-00005F070000}"/>
    <cellStyle name="Total 34" xfId="1888" xr:uid="{00000000-0005-0000-0000-000060070000}"/>
    <cellStyle name="Total 34 2" xfId="1889" xr:uid="{00000000-0005-0000-0000-000061070000}"/>
    <cellStyle name="Total 35" xfId="1890" xr:uid="{00000000-0005-0000-0000-000062070000}"/>
    <cellStyle name="Total 35 2" xfId="1891" xr:uid="{00000000-0005-0000-0000-000063070000}"/>
    <cellStyle name="Total 36" xfId="1892" xr:uid="{00000000-0005-0000-0000-000064070000}"/>
    <cellStyle name="Total 36 2" xfId="1893" xr:uid="{00000000-0005-0000-0000-000065070000}"/>
    <cellStyle name="Total 37" xfId="1894" xr:uid="{00000000-0005-0000-0000-000066070000}"/>
    <cellStyle name="Total 37 2" xfId="1895" xr:uid="{00000000-0005-0000-0000-000067070000}"/>
    <cellStyle name="Total 38" xfId="1896" xr:uid="{00000000-0005-0000-0000-000068070000}"/>
    <cellStyle name="Total 38 2" xfId="1897" xr:uid="{00000000-0005-0000-0000-000069070000}"/>
    <cellStyle name="Total 39" xfId="1898" xr:uid="{00000000-0005-0000-0000-00006A070000}"/>
    <cellStyle name="Total 39 2" xfId="1899" xr:uid="{00000000-0005-0000-0000-00006B070000}"/>
    <cellStyle name="Total 4" xfId="1900" xr:uid="{00000000-0005-0000-0000-00006C070000}"/>
    <cellStyle name="Total 4 2" xfId="1901" xr:uid="{00000000-0005-0000-0000-00006D070000}"/>
    <cellStyle name="Total 40" xfId="1902" xr:uid="{00000000-0005-0000-0000-00006E070000}"/>
    <cellStyle name="Total 40 2" xfId="1903" xr:uid="{00000000-0005-0000-0000-00006F070000}"/>
    <cellStyle name="Total 41" xfId="1904" xr:uid="{00000000-0005-0000-0000-000070070000}"/>
    <cellStyle name="Total 41 2" xfId="1905" xr:uid="{00000000-0005-0000-0000-000071070000}"/>
    <cellStyle name="Total 42" xfId="1906" xr:uid="{00000000-0005-0000-0000-000072070000}"/>
    <cellStyle name="Total 42 2" xfId="1907" xr:uid="{00000000-0005-0000-0000-000073070000}"/>
    <cellStyle name="Total 5" xfId="1908" xr:uid="{00000000-0005-0000-0000-000074070000}"/>
    <cellStyle name="Total 5 2" xfId="1909" xr:uid="{00000000-0005-0000-0000-000075070000}"/>
    <cellStyle name="Total 6" xfId="1910" xr:uid="{00000000-0005-0000-0000-000076070000}"/>
    <cellStyle name="Total 6 2" xfId="1911" xr:uid="{00000000-0005-0000-0000-000077070000}"/>
    <cellStyle name="Total 7" xfId="1912" xr:uid="{00000000-0005-0000-0000-000078070000}"/>
    <cellStyle name="Total 7 2" xfId="1913" xr:uid="{00000000-0005-0000-0000-000079070000}"/>
    <cellStyle name="Total 8" xfId="1914" xr:uid="{00000000-0005-0000-0000-00007A070000}"/>
    <cellStyle name="Total 8 2" xfId="1915" xr:uid="{00000000-0005-0000-0000-00007B070000}"/>
    <cellStyle name="Total 9" xfId="1916" xr:uid="{00000000-0005-0000-0000-00007C070000}"/>
    <cellStyle name="Total 9 2" xfId="1917" xr:uid="{00000000-0005-0000-0000-00007D070000}"/>
    <cellStyle name="User_Defined_B" xfId="1918" xr:uid="{00000000-0005-0000-0000-00007E070000}"/>
    <cellStyle name="Warning Text 10" xfId="1919" xr:uid="{00000000-0005-0000-0000-00007F070000}"/>
    <cellStyle name="Warning Text 11" xfId="1920" xr:uid="{00000000-0005-0000-0000-000080070000}"/>
    <cellStyle name="Warning Text 12" xfId="1921" xr:uid="{00000000-0005-0000-0000-000081070000}"/>
    <cellStyle name="Warning Text 13" xfId="1922" xr:uid="{00000000-0005-0000-0000-000082070000}"/>
    <cellStyle name="Warning Text 14" xfId="1923" xr:uid="{00000000-0005-0000-0000-000083070000}"/>
    <cellStyle name="Warning Text 15" xfId="1924" xr:uid="{00000000-0005-0000-0000-000084070000}"/>
    <cellStyle name="Warning Text 16" xfId="1925" xr:uid="{00000000-0005-0000-0000-000085070000}"/>
    <cellStyle name="Warning Text 17" xfId="1926" xr:uid="{00000000-0005-0000-0000-000086070000}"/>
    <cellStyle name="Warning Text 18" xfId="1927" xr:uid="{00000000-0005-0000-0000-000087070000}"/>
    <cellStyle name="Warning Text 19" xfId="1928" xr:uid="{00000000-0005-0000-0000-000088070000}"/>
    <cellStyle name="Warning Text 2" xfId="1929" xr:uid="{00000000-0005-0000-0000-000089070000}"/>
    <cellStyle name="Warning Text 2 2" xfId="1930" xr:uid="{00000000-0005-0000-0000-00008A070000}"/>
    <cellStyle name="Warning Text 20" xfId="1931" xr:uid="{00000000-0005-0000-0000-00008B070000}"/>
    <cellStyle name="Warning Text 21" xfId="1932" xr:uid="{00000000-0005-0000-0000-00008C070000}"/>
    <cellStyle name="Warning Text 22" xfId="1933" xr:uid="{00000000-0005-0000-0000-00008D070000}"/>
    <cellStyle name="Warning Text 23" xfId="1934" xr:uid="{00000000-0005-0000-0000-00008E070000}"/>
    <cellStyle name="Warning Text 24" xfId="1935" xr:uid="{00000000-0005-0000-0000-00008F070000}"/>
    <cellStyle name="Warning Text 25" xfId="1936" xr:uid="{00000000-0005-0000-0000-000090070000}"/>
    <cellStyle name="Warning Text 26" xfId="1937" xr:uid="{00000000-0005-0000-0000-000091070000}"/>
    <cellStyle name="Warning Text 27" xfId="1938" xr:uid="{00000000-0005-0000-0000-000092070000}"/>
    <cellStyle name="Warning Text 28" xfId="1939" xr:uid="{00000000-0005-0000-0000-000093070000}"/>
    <cellStyle name="Warning Text 29" xfId="1940" xr:uid="{00000000-0005-0000-0000-000094070000}"/>
    <cellStyle name="Warning Text 3" xfId="1941" xr:uid="{00000000-0005-0000-0000-000095070000}"/>
    <cellStyle name="Warning Text 30" xfId="1942" xr:uid="{00000000-0005-0000-0000-000096070000}"/>
    <cellStyle name="Warning Text 31" xfId="1943" xr:uid="{00000000-0005-0000-0000-000097070000}"/>
    <cellStyle name="Warning Text 32" xfId="1944" xr:uid="{00000000-0005-0000-0000-000098070000}"/>
    <cellStyle name="Warning Text 33" xfId="1945" xr:uid="{00000000-0005-0000-0000-000099070000}"/>
    <cellStyle name="Warning Text 34" xfId="1946" xr:uid="{00000000-0005-0000-0000-00009A070000}"/>
    <cellStyle name="Warning Text 35" xfId="1947" xr:uid="{00000000-0005-0000-0000-00009B070000}"/>
    <cellStyle name="Warning Text 36" xfId="1948" xr:uid="{00000000-0005-0000-0000-00009C070000}"/>
    <cellStyle name="Warning Text 37" xfId="1949" xr:uid="{00000000-0005-0000-0000-00009D070000}"/>
    <cellStyle name="Warning Text 38" xfId="1950" xr:uid="{00000000-0005-0000-0000-00009E070000}"/>
    <cellStyle name="Warning Text 39" xfId="1951" xr:uid="{00000000-0005-0000-0000-00009F070000}"/>
    <cellStyle name="Warning Text 4" xfId="1952" xr:uid="{00000000-0005-0000-0000-0000A0070000}"/>
    <cellStyle name="Warning Text 40" xfId="1953" xr:uid="{00000000-0005-0000-0000-0000A1070000}"/>
    <cellStyle name="Warning Text 41" xfId="1954" xr:uid="{00000000-0005-0000-0000-0000A2070000}"/>
    <cellStyle name="Warning Text 42" xfId="1955" xr:uid="{00000000-0005-0000-0000-0000A3070000}"/>
    <cellStyle name="Warning Text 5" xfId="1956" xr:uid="{00000000-0005-0000-0000-0000A4070000}"/>
    <cellStyle name="Warning Text 6" xfId="1957" xr:uid="{00000000-0005-0000-0000-0000A5070000}"/>
    <cellStyle name="Warning Text 7" xfId="1958" xr:uid="{00000000-0005-0000-0000-0000A6070000}"/>
    <cellStyle name="Warning Text 8" xfId="1959" xr:uid="{00000000-0005-0000-0000-0000A7070000}"/>
    <cellStyle name="Warning Text 9" xfId="1960" xr:uid="{00000000-0005-0000-0000-0000A8070000}"/>
  </cellStyles>
  <dxfs count="96">
    <dxf>
      <font>
        <color auto="1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indexed="20"/>
      </font>
      <fill>
        <patternFill>
          <bgColor indexed="45"/>
        </patternFill>
      </fill>
    </dxf>
    <dxf>
      <fill>
        <patternFill>
          <fgColor rgb="FFFFFF99"/>
          <bgColor rgb="FFFFFF99"/>
        </patternFill>
      </fill>
    </dxf>
    <dxf>
      <fill>
        <patternFill>
          <bgColor rgb="FFFFFF99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2791D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onnections" Target="connections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alcChain" Target="calcChain.xml"/><Relationship Id="rId27" Type="http://schemas.openxmlformats.org/officeDocument/2006/relationships/customXml" Target="../customXml/item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imleyhorn-my.sharepoint.com/Users/omarcondes/Documents/_My%20Documents_fromLUCY/Sumter%20County%20TMS%20Segment%20Reports/2010-2011%20Sumter%20County%20TMS%20(for%20MPO%20only)%20-%20Unlocked%20vers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imleyhorn-my.sharepoint.com/Users/omarcondes/Documents/Working%20Files%20(Misc)/Sumter%20County%20TMS%20(working%20draft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unicipalities\Wildwood\Traffic%20Count%20Program\Master%20CD\Wildwood%202011%20Count%20Reports%20with%20AM%20Class%2005311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Setup"/>
      <sheetName val="_ProjInfo"/>
      <sheetName val="_ScenarioInfo"/>
      <sheetName val="_ScenarioData"/>
      <sheetName val="_CsHistory"/>
      <sheetName val="_CsYearlyData"/>
      <sheetName val="_Bottom"/>
      <sheetName val="Requirements"/>
      <sheetName val="Main"/>
      <sheetName val="ProjectDetail"/>
      <sheetName val="TripGeneration"/>
      <sheetName val="TripGenSummary"/>
      <sheetName val="TripGenDailyReport"/>
      <sheetName val="TripGenPkHrReport"/>
      <sheetName val="E_V_TierI_01"/>
      <sheetName val="E_V_TierI_02"/>
    </sheetNames>
    <sheetDataSet>
      <sheetData sheetId="0">
        <row r="6">
          <cell r="F6">
            <v>0</v>
          </cell>
          <cell r="G6">
            <v>0</v>
          </cell>
        </row>
        <row r="13">
          <cell r="F13">
            <v>0</v>
          </cell>
          <cell r="G13">
            <v>70</v>
          </cell>
        </row>
        <row r="14">
          <cell r="F14">
            <v>0</v>
          </cell>
          <cell r="G14">
            <v>3</v>
          </cell>
        </row>
        <row r="19">
          <cell r="B19">
            <v>0.9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C8" t="str">
            <v>TEST</v>
          </cell>
        </row>
        <row r="9">
          <cell r="C9" t="str">
            <v>Amendment</v>
          </cell>
        </row>
        <row r="10">
          <cell r="C10" t="str">
            <v/>
          </cell>
        </row>
        <row r="11">
          <cell r="C11" t="str">
            <v/>
          </cell>
        </row>
        <row r="12">
          <cell r="C12" t="str">
            <v/>
          </cell>
        </row>
        <row r="14">
          <cell r="C14" t="str">
            <v/>
          </cell>
        </row>
        <row r="17">
          <cell r="C17" t="str">
            <v/>
          </cell>
        </row>
        <row r="18">
          <cell r="C18" t="str">
            <v/>
          </cell>
        </row>
        <row r="19">
          <cell r="C19" t="str">
            <v/>
          </cell>
        </row>
        <row r="22">
          <cell r="C22" t="str">
            <v/>
          </cell>
        </row>
        <row r="23">
          <cell r="C23" t="str">
            <v/>
          </cell>
        </row>
        <row r="24">
          <cell r="C24" t="str">
            <v/>
          </cell>
          <cell r="E24" t="str">
            <v/>
          </cell>
          <cell r="G24" t="str">
            <v/>
          </cell>
        </row>
        <row r="25">
          <cell r="C25" t="str">
            <v/>
          </cell>
        </row>
        <row r="26">
          <cell r="C26" t="str">
            <v/>
          </cell>
        </row>
        <row r="29">
          <cell r="C29" t="str">
            <v/>
          </cell>
        </row>
        <row r="30">
          <cell r="C30" t="str">
            <v/>
          </cell>
        </row>
        <row r="31">
          <cell r="C31" t="str">
            <v/>
          </cell>
          <cell r="E31" t="str">
            <v/>
          </cell>
          <cell r="G31" t="str">
            <v/>
          </cell>
        </row>
        <row r="32">
          <cell r="C32" t="str">
            <v/>
          </cell>
        </row>
        <row r="33">
          <cell r="C33" t="str">
            <v/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Setup"/>
      <sheetName val="_ProjInfo"/>
      <sheetName val="_ScenarioInfo"/>
      <sheetName val="_ScenarioData"/>
      <sheetName val="_CsHistory"/>
      <sheetName val="_CsYearlyData"/>
      <sheetName val="_Bottom"/>
      <sheetName val="Requirements"/>
      <sheetName val="Main"/>
      <sheetName val="ProjectDetail"/>
      <sheetName val="TripGeneration"/>
      <sheetName val="TripGenSummary"/>
      <sheetName val="TripGenDailyReport"/>
      <sheetName val="TripGenPkHrReport"/>
      <sheetName val="E_V_TierI_01"/>
      <sheetName val="E_V_TierI_02"/>
    </sheetNames>
    <sheetDataSet>
      <sheetData sheetId="0">
        <row r="6">
          <cell r="B6">
            <v>2010</v>
          </cell>
          <cell r="C6">
            <v>2013</v>
          </cell>
          <cell r="D6">
            <v>2015</v>
          </cell>
          <cell r="E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7AADT"/>
      <sheetName val="Control Panel"/>
      <sheetName val="Inventory"/>
      <sheetName val="Wildwood DB adj"/>
      <sheetName val="Wildwood Tube Count Formats"/>
      <sheetName val="Redo"/>
      <sheetName val="Orig Date"/>
      <sheetName val="Wildwood Tube Count 2010"/>
      <sheetName val="Wildwood Request"/>
      <sheetName val="Status"/>
      <sheetName val="Sumter DB"/>
      <sheetName val="KML_details_Lake"/>
      <sheetName val="Sumter Sta"/>
      <sheetName val="Inventory (2)"/>
      <sheetName val="Merge 2010"/>
      <sheetName val="Merge Historic"/>
      <sheetName val="PDF 00-09 Import"/>
      <sheetName val="PDF 10 Import"/>
      <sheetName val="2011 counts"/>
      <sheetName val="Equip QC"/>
      <sheetName val="QC"/>
      <sheetName val="DOT Factors Sumter"/>
      <sheetName val="KML_details"/>
      <sheetName val="Log Sheet"/>
      <sheetName val="Data Input"/>
      <sheetName val="Calculation"/>
      <sheetName val="PrintableReport 09 Final"/>
      <sheetName val="Periods"/>
      <sheetName val="Feet Miles"/>
      <sheetName val="ChartData"/>
      <sheetName val="ChartDataVTD"/>
      <sheetName val="ChartDataLTEC"/>
      <sheetName val="ChartDataOrgCo"/>
      <sheetName val="ChartDataApopka"/>
      <sheetName val="ChartData2"/>
      <sheetName val="ChartData3"/>
      <sheetName val="ReportTemplate"/>
      <sheetName val="Data"/>
      <sheetName val="day1"/>
      <sheetName val="day2"/>
      <sheetName val="day3"/>
      <sheetName val="Avg"/>
      <sheetName val="Raw Class Data"/>
      <sheetName val="Class48 Dir1"/>
      <sheetName val="Class48 Dir2"/>
      <sheetName val="Class48 Total"/>
    </sheetNames>
    <sheetDataSet>
      <sheetData sheetId="0"/>
      <sheetData sheetId="1">
        <row r="1">
          <cell r="I1" t="str">
            <v>DDM</v>
          </cell>
        </row>
        <row r="2">
          <cell r="I2" t="str">
            <v>DD</v>
          </cell>
        </row>
        <row r="3">
          <cell r="I3" t="str">
            <v>DMS</v>
          </cell>
        </row>
      </sheetData>
      <sheetData sheetId="2">
        <row r="7">
          <cell r="AH7" t="str">
            <v>ID</v>
          </cell>
          <cell r="AI7" t="str">
            <v>Date</v>
          </cell>
          <cell r="AJ7" t="str">
            <v>(Saturday)</v>
          </cell>
          <cell r="AK7" t="str">
            <v>Days</v>
          </cell>
          <cell r="AL7" t="str">
            <v>Day 1</v>
          </cell>
          <cell r="AM7" t="str">
            <v>Day 2</v>
          </cell>
          <cell r="AN7" t="str">
            <v>Day 3</v>
          </cell>
          <cell r="AO7" t="str">
            <v>Day 1</v>
          </cell>
          <cell r="AP7" t="str">
            <v>Day 2</v>
          </cell>
          <cell r="AQ7" t="str">
            <v>Day 3</v>
          </cell>
          <cell r="AR7" t="str">
            <v>Day 1</v>
          </cell>
          <cell r="AS7" t="str">
            <v>Day 2</v>
          </cell>
          <cell r="AT7" t="str">
            <v>Day 3</v>
          </cell>
          <cell r="AU7" t="str">
            <v>Day 1</v>
          </cell>
          <cell r="AV7" t="str">
            <v>Day 2</v>
          </cell>
          <cell r="AW7" t="str">
            <v>Day 3</v>
          </cell>
          <cell r="AX7" t="str">
            <v>Lanes</v>
          </cell>
          <cell r="AY7" t="str">
            <v>Speed</v>
          </cell>
          <cell r="AZ7" t="str">
            <v>Longitude</v>
          </cell>
          <cell r="BA7" t="str">
            <v>Latitude</v>
          </cell>
          <cell r="BB7" t="str">
            <v>Location</v>
          </cell>
          <cell r="BC7" t="str">
            <v>Station</v>
          </cell>
          <cell r="BD7" t="str">
            <v>"City"</v>
          </cell>
          <cell r="BE7" t="str">
            <v>Filename</v>
          </cell>
          <cell r="BF7" t="str">
            <v>By</v>
          </cell>
          <cell r="BG7" t="str">
            <v>Directions</v>
          </cell>
          <cell r="BH7" t="str">
            <v>Dir?</v>
          </cell>
          <cell r="BI7" t="str">
            <v>Day 1</v>
          </cell>
          <cell r="BJ7" t="str">
            <v>Day 2</v>
          </cell>
          <cell r="BK7" t="str">
            <v>Day 3</v>
          </cell>
          <cell r="BL7" t="str">
            <v>Day 1</v>
          </cell>
          <cell r="BM7" t="str">
            <v>Day 2</v>
          </cell>
          <cell r="BN7" t="str">
            <v>Day 3</v>
          </cell>
          <cell r="BO7" t="str">
            <v>Day 1</v>
          </cell>
          <cell r="BP7" t="str">
            <v>Day 2</v>
          </cell>
          <cell r="BQ7" t="str">
            <v>Day 3</v>
          </cell>
          <cell r="BR7" t="str">
            <v>Day 1</v>
          </cell>
          <cell r="BS7" t="str">
            <v>Day 2</v>
          </cell>
          <cell r="BT7" t="str">
            <v>Day 3</v>
          </cell>
          <cell r="BU7" t="str">
            <v>Day 1</v>
          </cell>
          <cell r="BV7" t="str">
            <v>Day 2</v>
          </cell>
          <cell r="BW7" t="str">
            <v>Day 3</v>
          </cell>
          <cell r="BX7" t="str">
            <v>Day 1</v>
          </cell>
          <cell r="BY7" t="str">
            <v>Day 2</v>
          </cell>
          <cell r="BZ7" t="str">
            <v>Day 3</v>
          </cell>
          <cell r="CA7" t="str">
            <v>Equip</v>
          </cell>
          <cell r="CB7" t="str">
            <v>Equip2</v>
          </cell>
          <cell r="CC7" t="str">
            <v>Date</v>
          </cell>
          <cell r="CD7">
            <v>0.17708333333333334</v>
          </cell>
          <cell r="CE7">
            <v>0.1875</v>
          </cell>
          <cell r="CF7">
            <v>0.19791666666666666</v>
          </cell>
          <cell r="CG7">
            <v>0.20833333333333334</v>
          </cell>
          <cell r="CH7">
            <v>0.21875</v>
          </cell>
          <cell r="CI7">
            <v>0.22916666666666666</v>
          </cell>
          <cell r="CJ7">
            <v>0.23958333333333334</v>
          </cell>
          <cell r="CK7">
            <v>0.25</v>
          </cell>
          <cell r="CL7">
            <v>0.17708333333333334</v>
          </cell>
          <cell r="CM7">
            <v>0.1875</v>
          </cell>
          <cell r="CN7">
            <v>0.19791666666666666</v>
          </cell>
          <cell r="CO7">
            <v>0.20833333333333334</v>
          </cell>
          <cell r="CP7">
            <v>0.21875</v>
          </cell>
          <cell r="CQ7">
            <v>0.22916666666666666</v>
          </cell>
          <cell r="CR7">
            <v>0.23958333333333334</v>
          </cell>
          <cell r="CS7">
            <v>0.25</v>
          </cell>
        </row>
        <row r="9">
          <cell r="AH9">
            <v>100</v>
          </cell>
          <cell r="AI9">
            <v>40673</v>
          </cell>
          <cell r="AJ9">
            <v>40677</v>
          </cell>
          <cell r="AK9">
            <v>1</v>
          </cell>
          <cell r="AL9">
            <v>308</v>
          </cell>
          <cell r="AM9">
            <v>0</v>
          </cell>
          <cell r="AN9">
            <v>0</v>
          </cell>
          <cell r="AO9">
            <v>47</v>
          </cell>
          <cell r="AP9">
            <v>0</v>
          </cell>
          <cell r="AQ9">
            <v>0</v>
          </cell>
          <cell r="AR9">
            <v>368</v>
          </cell>
          <cell r="AS9">
            <v>0</v>
          </cell>
          <cell r="AT9">
            <v>0</v>
          </cell>
          <cell r="AU9">
            <v>36</v>
          </cell>
          <cell r="AV9">
            <v>0</v>
          </cell>
          <cell r="AW9">
            <v>0</v>
          </cell>
          <cell r="AX9">
            <v>2</v>
          </cell>
          <cell r="AY9">
            <v>35</v>
          </cell>
          <cell r="AZ9">
            <v>28.88655</v>
          </cell>
          <cell r="BA9">
            <v>-82.053749999999994</v>
          </cell>
          <cell r="BB9" t="str">
            <v xml:space="preserve">Seg # 3                                                                         </v>
          </cell>
          <cell r="BC9">
            <v>100</v>
          </cell>
          <cell r="BD9" t="str">
            <v xml:space="preserve">                    </v>
          </cell>
          <cell r="BE9" t="str">
            <v>D0510009</v>
          </cell>
          <cell r="BF9" t="str">
            <v>VTD</v>
          </cell>
          <cell r="BG9">
            <v>1.5</v>
          </cell>
          <cell r="BH9" t="b">
            <v>0</v>
          </cell>
          <cell r="BI9">
            <v>22</v>
          </cell>
          <cell r="BJ9">
            <v>0</v>
          </cell>
          <cell r="BK9">
            <v>0</v>
          </cell>
          <cell r="BL9">
            <v>45</v>
          </cell>
          <cell r="BM9">
            <v>0</v>
          </cell>
          <cell r="BN9">
            <v>0</v>
          </cell>
          <cell r="BO9">
            <v>0.66666666666666663</v>
          </cell>
          <cell r="BR9">
            <v>0.30208333333333331</v>
          </cell>
          <cell r="BU9">
            <v>83</v>
          </cell>
          <cell r="BV9">
            <v>0</v>
          </cell>
          <cell r="BW9">
            <v>0</v>
          </cell>
          <cell r="BX9">
            <v>67</v>
          </cell>
          <cell r="BY9">
            <v>0</v>
          </cell>
          <cell r="BZ9">
            <v>0</v>
          </cell>
          <cell r="CA9">
            <v>25050428</v>
          </cell>
          <cell r="CB9">
            <v>-1</v>
          </cell>
          <cell r="CD9">
            <v>12</v>
          </cell>
          <cell r="CE9">
            <v>9</v>
          </cell>
          <cell r="CF9">
            <v>14</v>
          </cell>
          <cell r="CG9">
            <v>12</v>
          </cell>
          <cell r="CH9">
            <v>10</v>
          </cell>
          <cell r="CI9">
            <v>8</v>
          </cell>
          <cell r="CJ9">
            <v>8</v>
          </cell>
          <cell r="CK9">
            <v>5</v>
          </cell>
          <cell r="CL9">
            <v>10</v>
          </cell>
          <cell r="CM9">
            <v>13</v>
          </cell>
          <cell r="CN9">
            <v>10</v>
          </cell>
          <cell r="CO9">
            <v>3</v>
          </cell>
          <cell r="CP9">
            <v>9</v>
          </cell>
          <cell r="CQ9">
            <v>8</v>
          </cell>
          <cell r="CR9">
            <v>13</v>
          </cell>
          <cell r="CS9">
            <v>8</v>
          </cell>
        </row>
        <row r="10">
          <cell r="AH10">
            <v>120</v>
          </cell>
          <cell r="AI10">
            <v>40673</v>
          </cell>
          <cell r="AJ10">
            <v>40677</v>
          </cell>
          <cell r="AK10">
            <v>1</v>
          </cell>
          <cell r="AL10">
            <v>410</v>
          </cell>
          <cell r="AM10">
            <v>0</v>
          </cell>
          <cell r="AN10">
            <v>0</v>
          </cell>
          <cell r="AO10">
            <v>71</v>
          </cell>
          <cell r="AP10">
            <v>0</v>
          </cell>
          <cell r="AQ10">
            <v>0</v>
          </cell>
          <cell r="AR10">
            <v>314</v>
          </cell>
          <cell r="AS10">
            <v>0</v>
          </cell>
          <cell r="AT10">
            <v>0</v>
          </cell>
          <cell r="AU10">
            <v>30</v>
          </cell>
          <cell r="AV10">
            <v>0</v>
          </cell>
          <cell r="AW10">
            <v>0</v>
          </cell>
          <cell r="AX10">
            <v>2</v>
          </cell>
          <cell r="AY10">
            <v>45</v>
          </cell>
          <cell r="AZ10">
            <v>28.92661</v>
          </cell>
          <cell r="BA10">
            <v>-82.05359</v>
          </cell>
          <cell r="BB10" t="str">
            <v xml:space="preserve">Seg # 1                                                                         </v>
          </cell>
          <cell r="BC10">
            <v>120</v>
          </cell>
          <cell r="BD10" t="str">
            <v xml:space="preserve">                    </v>
          </cell>
          <cell r="BE10" t="str">
            <v>D0510002</v>
          </cell>
          <cell r="BF10" t="str">
            <v>VTD</v>
          </cell>
          <cell r="BG10">
            <v>1.5</v>
          </cell>
          <cell r="BH10" t="b">
            <v>0</v>
          </cell>
          <cell r="BI10">
            <v>34</v>
          </cell>
          <cell r="BJ10">
            <v>0</v>
          </cell>
          <cell r="BK10">
            <v>0</v>
          </cell>
          <cell r="BL10">
            <v>42</v>
          </cell>
          <cell r="BM10">
            <v>0</v>
          </cell>
          <cell r="BN10">
            <v>0</v>
          </cell>
          <cell r="BO10">
            <v>0.67708333333333337</v>
          </cell>
          <cell r="BR10">
            <v>0.29166666666666669</v>
          </cell>
          <cell r="BU10">
            <v>101</v>
          </cell>
          <cell r="BV10">
            <v>0</v>
          </cell>
          <cell r="BW10">
            <v>0</v>
          </cell>
          <cell r="BX10">
            <v>76</v>
          </cell>
          <cell r="BY10">
            <v>0</v>
          </cell>
          <cell r="BZ10">
            <v>0</v>
          </cell>
          <cell r="CA10">
            <v>5010300</v>
          </cell>
          <cell r="CB10">
            <v>-1</v>
          </cell>
          <cell r="CD10">
            <v>11</v>
          </cell>
          <cell r="CE10">
            <v>30</v>
          </cell>
          <cell r="CF10">
            <v>21</v>
          </cell>
          <cell r="CG10">
            <v>7</v>
          </cell>
          <cell r="CH10">
            <v>13</v>
          </cell>
          <cell r="CI10">
            <v>15</v>
          </cell>
          <cell r="CJ10">
            <v>7</v>
          </cell>
          <cell r="CK10">
            <v>7</v>
          </cell>
          <cell r="CL10">
            <v>5</v>
          </cell>
          <cell r="CM10">
            <v>9</v>
          </cell>
          <cell r="CN10">
            <v>3</v>
          </cell>
          <cell r="CO10">
            <v>7</v>
          </cell>
          <cell r="CP10">
            <v>11</v>
          </cell>
          <cell r="CQ10">
            <v>5</v>
          </cell>
          <cell r="CR10">
            <v>9</v>
          </cell>
          <cell r="CS10">
            <v>3</v>
          </cell>
        </row>
        <row r="11">
          <cell r="AH11">
            <v>140</v>
          </cell>
          <cell r="AI11">
            <v>40673</v>
          </cell>
          <cell r="AJ11">
            <v>40677</v>
          </cell>
          <cell r="AK11">
            <v>1</v>
          </cell>
          <cell r="AL11">
            <v>293</v>
          </cell>
          <cell r="AM11">
            <v>0</v>
          </cell>
          <cell r="AN11">
            <v>0</v>
          </cell>
          <cell r="AO11">
            <v>54</v>
          </cell>
          <cell r="AP11">
            <v>0</v>
          </cell>
          <cell r="AQ11">
            <v>0</v>
          </cell>
          <cell r="AR11">
            <v>272</v>
          </cell>
          <cell r="AS11">
            <v>0</v>
          </cell>
          <cell r="AT11">
            <v>0</v>
          </cell>
          <cell r="AU11">
            <v>17</v>
          </cell>
          <cell r="AV11">
            <v>0</v>
          </cell>
          <cell r="AW11">
            <v>0</v>
          </cell>
          <cell r="AX11">
            <v>2</v>
          </cell>
          <cell r="AY11">
            <v>35</v>
          </cell>
          <cell r="AZ11">
            <v>28.928599999999999</v>
          </cell>
          <cell r="BA11">
            <v>-82.053579999999997</v>
          </cell>
          <cell r="BB11" t="str">
            <v xml:space="preserve">Seg # 2                                                                         </v>
          </cell>
          <cell r="BC11">
            <v>140</v>
          </cell>
          <cell r="BD11" t="str">
            <v xml:space="preserve">                    </v>
          </cell>
          <cell r="BE11" t="str">
            <v>D0510005</v>
          </cell>
          <cell r="BF11" t="str">
            <v>VTD</v>
          </cell>
          <cell r="BG11">
            <v>1.5</v>
          </cell>
          <cell r="BH11" t="b">
            <v>0</v>
          </cell>
          <cell r="BI11">
            <v>20</v>
          </cell>
          <cell r="BJ11">
            <v>0</v>
          </cell>
          <cell r="BK11">
            <v>0</v>
          </cell>
          <cell r="BL11">
            <v>40</v>
          </cell>
          <cell r="BM11">
            <v>0</v>
          </cell>
          <cell r="BN11">
            <v>0</v>
          </cell>
          <cell r="BO11">
            <v>0.67708333333333337</v>
          </cell>
          <cell r="BR11">
            <v>0.29166666666666669</v>
          </cell>
          <cell r="BU11">
            <v>71</v>
          </cell>
          <cell r="BV11">
            <v>0</v>
          </cell>
          <cell r="BW11">
            <v>0</v>
          </cell>
          <cell r="BX11">
            <v>60</v>
          </cell>
          <cell r="BY11">
            <v>0</v>
          </cell>
          <cell r="BZ11">
            <v>0</v>
          </cell>
          <cell r="CA11">
            <v>807011200</v>
          </cell>
          <cell r="CB11">
            <v>-1</v>
          </cell>
          <cell r="CD11">
            <v>5</v>
          </cell>
          <cell r="CE11">
            <v>18</v>
          </cell>
          <cell r="CF11">
            <v>20</v>
          </cell>
          <cell r="CG11">
            <v>6</v>
          </cell>
          <cell r="CH11">
            <v>10</v>
          </cell>
          <cell r="CI11">
            <v>9</v>
          </cell>
          <cell r="CJ11">
            <v>5</v>
          </cell>
          <cell r="CK11">
            <v>8</v>
          </cell>
          <cell r="CL11">
            <v>4</v>
          </cell>
          <cell r="CM11">
            <v>6</v>
          </cell>
          <cell r="CN11">
            <v>5</v>
          </cell>
          <cell r="CO11">
            <v>3</v>
          </cell>
          <cell r="CP11">
            <v>3</v>
          </cell>
          <cell r="CQ11">
            <v>4</v>
          </cell>
          <cell r="CR11">
            <v>3</v>
          </cell>
          <cell r="CS11">
            <v>3</v>
          </cell>
        </row>
        <row r="12">
          <cell r="AH12">
            <v>200</v>
          </cell>
          <cell r="AI12">
            <v>40673</v>
          </cell>
          <cell r="AJ12">
            <v>40677</v>
          </cell>
          <cell r="AK12">
            <v>1</v>
          </cell>
          <cell r="AL12">
            <v>212</v>
          </cell>
          <cell r="AM12">
            <v>0</v>
          </cell>
          <cell r="AN12">
            <v>0</v>
          </cell>
          <cell r="AO12">
            <v>21</v>
          </cell>
          <cell r="AP12">
            <v>0</v>
          </cell>
          <cell r="AQ12">
            <v>0</v>
          </cell>
          <cell r="AR12">
            <v>194</v>
          </cell>
          <cell r="AS12">
            <v>0</v>
          </cell>
          <cell r="AT12">
            <v>0</v>
          </cell>
          <cell r="AU12">
            <v>20</v>
          </cell>
          <cell r="AV12">
            <v>0</v>
          </cell>
          <cell r="AW12">
            <v>0</v>
          </cell>
          <cell r="AX12">
            <v>2</v>
          </cell>
          <cell r="AY12">
            <v>30</v>
          </cell>
          <cell r="AZ12">
            <v>28.864850000000001</v>
          </cell>
          <cell r="BA12">
            <v>-82.053700000000006</v>
          </cell>
          <cell r="BB12" t="str">
            <v xml:space="preserve">Seg # 4                                                                         </v>
          </cell>
          <cell r="BC12">
            <v>200</v>
          </cell>
          <cell r="BD12" t="str">
            <v xml:space="preserve">                    </v>
          </cell>
          <cell r="BE12" t="str">
            <v>D0510004</v>
          </cell>
          <cell r="BF12" t="str">
            <v>VTD</v>
          </cell>
          <cell r="BG12">
            <v>1.5</v>
          </cell>
          <cell r="BH12" t="b">
            <v>0</v>
          </cell>
          <cell r="BI12">
            <v>14</v>
          </cell>
          <cell r="BJ12">
            <v>0</v>
          </cell>
          <cell r="BK12">
            <v>0</v>
          </cell>
          <cell r="BL12">
            <v>15</v>
          </cell>
          <cell r="BM12">
            <v>0</v>
          </cell>
          <cell r="BN12">
            <v>0</v>
          </cell>
          <cell r="BO12">
            <v>0.73958333333333337</v>
          </cell>
          <cell r="BR12">
            <v>0.3125</v>
          </cell>
          <cell r="BU12">
            <v>41</v>
          </cell>
          <cell r="BV12">
            <v>0</v>
          </cell>
          <cell r="BW12">
            <v>0</v>
          </cell>
          <cell r="BX12">
            <v>29</v>
          </cell>
          <cell r="BY12">
            <v>0</v>
          </cell>
          <cell r="BZ12">
            <v>0</v>
          </cell>
          <cell r="CA12">
            <v>6051567</v>
          </cell>
          <cell r="CB12">
            <v>-1</v>
          </cell>
          <cell r="CD12">
            <v>6</v>
          </cell>
          <cell r="CE12">
            <v>2</v>
          </cell>
          <cell r="CF12">
            <v>5</v>
          </cell>
          <cell r="CG12">
            <v>1</v>
          </cell>
          <cell r="CH12">
            <v>8</v>
          </cell>
          <cell r="CI12">
            <v>2</v>
          </cell>
          <cell r="CJ12">
            <v>2</v>
          </cell>
          <cell r="CK12">
            <v>4</v>
          </cell>
          <cell r="CL12">
            <v>2</v>
          </cell>
          <cell r="CM12">
            <v>5</v>
          </cell>
          <cell r="CN12">
            <v>8</v>
          </cell>
          <cell r="CO12">
            <v>6</v>
          </cell>
          <cell r="CP12">
            <v>5</v>
          </cell>
          <cell r="CQ12">
            <v>2</v>
          </cell>
          <cell r="CR12">
            <v>2</v>
          </cell>
          <cell r="CS12">
            <v>7</v>
          </cell>
        </row>
        <row r="13">
          <cell r="AH13">
            <v>300</v>
          </cell>
          <cell r="AI13">
            <v>40681</v>
          </cell>
          <cell r="AJ13">
            <v>40684</v>
          </cell>
          <cell r="AK13">
            <v>1</v>
          </cell>
          <cell r="AL13">
            <v>4780</v>
          </cell>
          <cell r="AM13">
            <v>0</v>
          </cell>
          <cell r="AN13">
            <v>0</v>
          </cell>
          <cell r="AO13">
            <v>396</v>
          </cell>
          <cell r="AP13">
            <v>0</v>
          </cell>
          <cell r="AQ13">
            <v>0</v>
          </cell>
          <cell r="AR13">
            <v>4892</v>
          </cell>
          <cell r="AS13">
            <v>0</v>
          </cell>
          <cell r="AT13">
            <v>0</v>
          </cell>
          <cell r="AU13">
            <v>418</v>
          </cell>
          <cell r="AV13">
            <v>0</v>
          </cell>
          <cell r="AW13">
            <v>0</v>
          </cell>
          <cell r="AX13">
            <v>2</v>
          </cell>
          <cell r="AY13">
            <v>45</v>
          </cell>
          <cell r="AZ13">
            <v>28.834340000000001</v>
          </cell>
          <cell r="BA13">
            <v>-82.045469999999995</v>
          </cell>
          <cell r="BB13" t="str">
            <v xml:space="preserve">Seg # V67                                                                       </v>
          </cell>
          <cell r="BC13">
            <v>300</v>
          </cell>
          <cell r="BD13" t="str">
            <v xml:space="preserve">                    </v>
          </cell>
          <cell r="BE13" t="str">
            <v>D0518003</v>
          </cell>
          <cell r="BF13" t="str">
            <v>VTD</v>
          </cell>
          <cell r="BG13">
            <v>1.5</v>
          </cell>
          <cell r="BH13" t="b">
            <v>0</v>
          </cell>
          <cell r="BI13">
            <v>403</v>
          </cell>
          <cell r="BJ13">
            <v>0</v>
          </cell>
          <cell r="BK13">
            <v>0</v>
          </cell>
          <cell r="BL13">
            <v>362</v>
          </cell>
          <cell r="BM13">
            <v>0</v>
          </cell>
          <cell r="BN13">
            <v>0</v>
          </cell>
          <cell r="BO13">
            <v>0.66666666666666663</v>
          </cell>
          <cell r="BR13">
            <v>0.30208333333333331</v>
          </cell>
          <cell r="BU13">
            <v>814</v>
          </cell>
          <cell r="BV13">
            <v>0</v>
          </cell>
          <cell r="BW13">
            <v>0</v>
          </cell>
          <cell r="BX13">
            <v>765</v>
          </cell>
          <cell r="BY13">
            <v>0</v>
          </cell>
          <cell r="BZ13">
            <v>0</v>
          </cell>
          <cell r="CA13">
            <v>5010300</v>
          </cell>
          <cell r="CB13">
            <v>-1</v>
          </cell>
          <cell r="CD13">
            <v>112</v>
          </cell>
          <cell r="CE13">
            <v>122</v>
          </cell>
          <cell r="CF13">
            <v>87</v>
          </cell>
          <cell r="CG13">
            <v>75</v>
          </cell>
          <cell r="CH13">
            <v>108</v>
          </cell>
          <cell r="CI13">
            <v>97</v>
          </cell>
          <cell r="CJ13">
            <v>75</v>
          </cell>
          <cell r="CK13">
            <v>74</v>
          </cell>
          <cell r="CL13">
            <v>98</v>
          </cell>
          <cell r="CM13">
            <v>107</v>
          </cell>
          <cell r="CN13">
            <v>115</v>
          </cell>
          <cell r="CO13">
            <v>98</v>
          </cell>
          <cell r="CP13">
            <v>89</v>
          </cell>
          <cell r="CQ13">
            <v>106</v>
          </cell>
          <cell r="CR13">
            <v>74</v>
          </cell>
          <cell r="CS13">
            <v>76</v>
          </cell>
        </row>
        <row r="14">
          <cell r="AH14">
            <v>320</v>
          </cell>
          <cell r="AI14">
            <v>40681</v>
          </cell>
          <cell r="AJ14">
            <v>40684</v>
          </cell>
          <cell r="AK14">
            <v>1</v>
          </cell>
          <cell r="AL14">
            <v>7256</v>
          </cell>
          <cell r="AM14">
            <v>0</v>
          </cell>
          <cell r="AN14">
            <v>0</v>
          </cell>
          <cell r="AO14">
            <v>560</v>
          </cell>
          <cell r="AP14">
            <v>0</v>
          </cell>
          <cell r="AQ14">
            <v>0</v>
          </cell>
          <cell r="AR14">
            <v>6839</v>
          </cell>
          <cell r="AS14">
            <v>0</v>
          </cell>
          <cell r="AT14">
            <v>0</v>
          </cell>
          <cell r="AU14">
            <v>556</v>
          </cell>
          <cell r="AV14">
            <v>0</v>
          </cell>
          <cell r="AW14">
            <v>0</v>
          </cell>
          <cell r="AX14">
            <v>4</v>
          </cell>
          <cell r="AY14">
            <v>45</v>
          </cell>
          <cell r="AZ14">
            <v>28.845929999999999</v>
          </cell>
          <cell r="BA14">
            <v>-82.045400000000001</v>
          </cell>
          <cell r="BB14" t="str">
            <v xml:space="preserve">Seg # 8                                                                         </v>
          </cell>
          <cell r="BC14">
            <v>320</v>
          </cell>
          <cell r="BD14" t="str">
            <v xml:space="preserve">                    </v>
          </cell>
          <cell r="BE14" t="str">
            <v>D0518005</v>
          </cell>
          <cell r="BF14" t="str">
            <v>VTD</v>
          </cell>
          <cell r="BG14">
            <v>1.5</v>
          </cell>
          <cell r="BH14" t="b">
            <v>0</v>
          </cell>
          <cell r="BI14">
            <v>529</v>
          </cell>
          <cell r="BJ14">
            <v>0</v>
          </cell>
          <cell r="BK14">
            <v>0</v>
          </cell>
          <cell r="BL14">
            <v>471</v>
          </cell>
          <cell r="BM14">
            <v>0</v>
          </cell>
          <cell r="BN14">
            <v>0</v>
          </cell>
          <cell r="BO14">
            <v>0.66666666666666663</v>
          </cell>
          <cell r="BR14">
            <v>0.30208333333333331</v>
          </cell>
          <cell r="BU14">
            <v>1116</v>
          </cell>
          <cell r="BV14">
            <v>0</v>
          </cell>
          <cell r="BW14">
            <v>0</v>
          </cell>
          <cell r="BX14">
            <v>1000</v>
          </cell>
          <cell r="BY14">
            <v>0</v>
          </cell>
          <cell r="BZ14">
            <v>0</v>
          </cell>
          <cell r="CA14">
            <v>5010301</v>
          </cell>
          <cell r="CB14">
            <v>-1</v>
          </cell>
          <cell r="CD14">
            <v>151</v>
          </cell>
          <cell r="CE14">
            <v>157</v>
          </cell>
          <cell r="CF14">
            <v>135</v>
          </cell>
          <cell r="CG14">
            <v>117</v>
          </cell>
          <cell r="CH14">
            <v>142</v>
          </cell>
          <cell r="CI14">
            <v>140</v>
          </cell>
          <cell r="CJ14">
            <v>122</v>
          </cell>
          <cell r="CK14">
            <v>116</v>
          </cell>
          <cell r="CL14">
            <v>141</v>
          </cell>
          <cell r="CM14">
            <v>137</v>
          </cell>
          <cell r="CN14">
            <v>148</v>
          </cell>
          <cell r="CO14">
            <v>130</v>
          </cell>
          <cell r="CP14">
            <v>137</v>
          </cell>
          <cell r="CQ14">
            <v>131</v>
          </cell>
          <cell r="CR14">
            <v>124</v>
          </cell>
          <cell r="CS14">
            <v>120</v>
          </cell>
        </row>
        <row r="15">
          <cell r="AH15">
            <v>340</v>
          </cell>
          <cell r="AI15">
            <v>40688</v>
          </cell>
          <cell r="AJ15">
            <v>40691</v>
          </cell>
          <cell r="AK15">
            <v>1</v>
          </cell>
          <cell r="AL15">
            <v>9918</v>
          </cell>
          <cell r="AM15">
            <v>0</v>
          </cell>
          <cell r="AN15">
            <v>0</v>
          </cell>
          <cell r="AO15">
            <v>728</v>
          </cell>
          <cell r="AP15">
            <v>0</v>
          </cell>
          <cell r="AQ15">
            <v>0</v>
          </cell>
          <cell r="AR15">
            <v>9585</v>
          </cell>
          <cell r="AS15">
            <v>0</v>
          </cell>
          <cell r="AT15">
            <v>0</v>
          </cell>
          <cell r="AU15">
            <v>685</v>
          </cell>
          <cell r="AV15">
            <v>0</v>
          </cell>
          <cell r="AW15">
            <v>0</v>
          </cell>
          <cell r="AX15">
            <v>4</v>
          </cell>
          <cell r="AY15">
            <v>40</v>
          </cell>
          <cell r="AZ15">
            <v>28.850110000000001</v>
          </cell>
          <cell r="BA15">
            <v>-82.045410000000004</v>
          </cell>
          <cell r="BB15" t="str">
            <v xml:space="preserve">Seg # 7                                                                         </v>
          </cell>
          <cell r="BC15">
            <v>340</v>
          </cell>
          <cell r="BD15" t="str">
            <v xml:space="preserve">                    </v>
          </cell>
          <cell r="BE15" t="str">
            <v>D0525012</v>
          </cell>
          <cell r="BF15" t="str">
            <v>VTD</v>
          </cell>
          <cell r="BG15">
            <v>1.5</v>
          </cell>
          <cell r="BH15" t="b">
            <v>0</v>
          </cell>
          <cell r="BI15">
            <v>703</v>
          </cell>
          <cell r="BJ15">
            <v>0</v>
          </cell>
          <cell r="BK15">
            <v>0</v>
          </cell>
          <cell r="BL15">
            <v>702</v>
          </cell>
          <cell r="BM15">
            <v>0</v>
          </cell>
          <cell r="BN15">
            <v>0</v>
          </cell>
          <cell r="BO15">
            <v>0.6875</v>
          </cell>
          <cell r="BR15">
            <v>0.47916666666666669</v>
          </cell>
          <cell r="BU15">
            <v>1413</v>
          </cell>
          <cell r="BV15">
            <v>0</v>
          </cell>
          <cell r="BW15">
            <v>0</v>
          </cell>
          <cell r="BX15">
            <v>1405</v>
          </cell>
          <cell r="BY15">
            <v>0</v>
          </cell>
          <cell r="BZ15">
            <v>0</v>
          </cell>
          <cell r="CA15">
            <v>102830024</v>
          </cell>
          <cell r="CB15">
            <v>93</v>
          </cell>
          <cell r="CD15">
            <v>191</v>
          </cell>
          <cell r="CE15">
            <v>157</v>
          </cell>
          <cell r="CF15">
            <v>185</v>
          </cell>
          <cell r="CG15">
            <v>182</v>
          </cell>
          <cell r="CH15">
            <v>177</v>
          </cell>
          <cell r="CI15">
            <v>184</v>
          </cell>
          <cell r="CJ15">
            <v>143</v>
          </cell>
          <cell r="CK15">
            <v>166</v>
          </cell>
          <cell r="CL15">
            <v>184</v>
          </cell>
          <cell r="CM15">
            <v>167</v>
          </cell>
          <cell r="CN15">
            <v>169</v>
          </cell>
          <cell r="CO15">
            <v>176</v>
          </cell>
          <cell r="CP15">
            <v>175</v>
          </cell>
          <cell r="CQ15">
            <v>165</v>
          </cell>
          <cell r="CR15">
            <v>204</v>
          </cell>
          <cell r="CS15">
            <v>135</v>
          </cell>
        </row>
        <row r="16">
          <cell r="AH16">
            <v>360</v>
          </cell>
          <cell r="AI16">
            <v>40688</v>
          </cell>
          <cell r="AJ16">
            <v>40691</v>
          </cell>
          <cell r="AK16">
            <v>1</v>
          </cell>
          <cell r="AL16">
            <v>9141</v>
          </cell>
          <cell r="AM16">
            <v>0</v>
          </cell>
          <cell r="AN16">
            <v>0</v>
          </cell>
          <cell r="AO16">
            <v>678</v>
          </cell>
          <cell r="AP16">
            <v>0</v>
          </cell>
          <cell r="AQ16">
            <v>0</v>
          </cell>
          <cell r="AR16">
            <v>8607</v>
          </cell>
          <cell r="AS16">
            <v>0</v>
          </cell>
          <cell r="AT16">
            <v>0</v>
          </cell>
          <cell r="AU16">
            <v>607</v>
          </cell>
          <cell r="AV16">
            <v>0</v>
          </cell>
          <cell r="AW16">
            <v>0</v>
          </cell>
          <cell r="AX16">
            <v>4</v>
          </cell>
          <cell r="AY16">
            <v>35</v>
          </cell>
          <cell r="AZ16">
            <v>28.864820000000002</v>
          </cell>
          <cell r="BA16">
            <v>-82.039749999999998</v>
          </cell>
          <cell r="BB16" t="str">
            <v xml:space="preserve">Seg # 6                                                                         </v>
          </cell>
          <cell r="BC16">
            <v>360</v>
          </cell>
          <cell r="BD16" t="str">
            <v xml:space="preserve">                    </v>
          </cell>
          <cell r="BE16" t="str">
            <v>D0525010</v>
          </cell>
          <cell r="BF16" t="str">
            <v>VTD</v>
          </cell>
          <cell r="BG16">
            <v>1.5</v>
          </cell>
          <cell r="BH16" t="b">
            <v>0</v>
          </cell>
          <cell r="BI16">
            <v>659</v>
          </cell>
          <cell r="BJ16">
            <v>0</v>
          </cell>
          <cell r="BK16">
            <v>0</v>
          </cell>
          <cell r="BL16">
            <v>606</v>
          </cell>
          <cell r="BM16">
            <v>0</v>
          </cell>
          <cell r="BN16">
            <v>0</v>
          </cell>
          <cell r="BO16">
            <v>0.6875</v>
          </cell>
          <cell r="BR16">
            <v>0.3125</v>
          </cell>
          <cell r="BU16">
            <v>1285</v>
          </cell>
          <cell r="BV16">
            <v>0</v>
          </cell>
          <cell r="BW16">
            <v>0</v>
          </cell>
          <cell r="BX16">
            <v>1265</v>
          </cell>
          <cell r="BY16">
            <v>0</v>
          </cell>
          <cell r="BZ16">
            <v>0</v>
          </cell>
          <cell r="CA16">
            <v>28</v>
          </cell>
          <cell r="CB16">
            <v>30</v>
          </cell>
          <cell r="CD16">
            <v>197</v>
          </cell>
          <cell r="CE16">
            <v>155</v>
          </cell>
          <cell r="CF16">
            <v>170</v>
          </cell>
          <cell r="CG16">
            <v>162</v>
          </cell>
          <cell r="CH16">
            <v>168</v>
          </cell>
          <cell r="CI16">
            <v>178</v>
          </cell>
          <cell r="CJ16">
            <v>128</v>
          </cell>
          <cell r="CK16">
            <v>152</v>
          </cell>
          <cell r="CL16">
            <v>168</v>
          </cell>
          <cell r="CM16">
            <v>141</v>
          </cell>
          <cell r="CN16">
            <v>145</v>
          </cell>
          <cell r="CO16">
            <v>145</v>
          </cell>
          <cell r="CP16">
            <v>155</v>
          </cell>
          <cell r="CQ16">
            <v>162</v>
          </cell>
          <cell r="CR16">
            <v>159</v>
          </cell>
          <cell r="CS16">
            <v>119</v>
          </cell>
        </row>
        <row r="18">
          <cell r="AH18">
            <v>400</v>
          </cell>
          <cell r="AI18">
            <v>40688</v>
          </cell>
          <cell r="AJ18">
            <v>40691</v>
          </cell>
          <cell r="AK18">
            <v>1</v>
          </cell>
          <cell r="AL18">
            <v>7038</v>
          </cell>
          <cell r="AM18">
            <v>0</v>
          </cell>
          <cell r="AN18">
            <v>0</v>
          </cell>
          <cell r="AO18">
            <v>557</v>
          </cell>
          <cell r="AP18">
            <v>0</v>
          </cell>
          <cell r="AQ18">
            <v>0</v>
          </cell>
          <cell r="AR18">
            <v>6786</v>
          </cell>
          <cell r="AS18">
            <v>0</v>
          </cell>
          <cell r="AT18">
            <v>0</v>
          </cell>
          <cell r="AU18">
            <v>467</v>
          </cell>
          <cell r="AV18">
            <v>0</v>
          </cell>
          <cell r="AW18">
            <v>0</v>
          </cell>
          <cell r="AX18">
            <v>2</v>
          </cell>
          <cell r="AY18">
            <v>40</v>
          </cell>
          <cell r="AZ18">
            <v>28.882860000000001</v>
          </cell>
          <cell r="BA18">
            <v>-82.037090000000006</v>
          </cell>
          <cell r="BB18" t="str">
            <v xml:space="preserve">Seg # 5                                                                         </v>
          </cell>
          <cell r="BC18">
            <v>400</v>
          </cell>
          <cell r="BD18" t="str">
            <v xml:space="preserve">                    </v>
          </cell>
          <cell r="BE18" t="str">
            <v>D0525002</v>
          </cell>
          <cell r="BF18" t="str">
            <v>VTD</v>
          </cell>
          <cell r="BG18">
            <v>1.5</v>
          </cell>
          <cell r="BH18" t="b">
            <v>0</v>
          </cell>
          <cell r="BI18">
            <v>470</v>
          </cell>
          <cell r="BJ18">
            <v>0</v>
          </cell>
          <cell r="BK18">
            <v>0</v>
          </cell>
          <cell r="BL18">
            <v>550</v>
          </cell>
          <cell r="BM18">
            <v>0</v>
          </cell>
          <cell r="BN18">
            <v>0</v>
          </cell>
          <cell r="BO18">
            <v>0.6875</v>
          </cell>
          <cell r="BR18">
            <v>0.3125</v>
          </cell>
          <cell r="BU18">
            <v>1024</v>
          </cell>
          <cell r="BV18">
            <v>0</v>
          </cell>
          <cell r="BW18">
            <v>0</v>
          </cell>
          <cell r="BX18">
            <v>1020</v>
          </cell>
          <cell r="BY18">
            <v>0</v>
          </cell>
          <cell r="BZ18">
            <v>0</v>
          </cell>
          <cell r="CA18">
            <v>3907011840</v>
          </cell>
          <cell r="CB18">
            <v>-1</v>
          </cell>
          <cell r="CD18">
            <v>150</v>
          </cell>
          <cell r="CE18">
            <v>131</v>
          </cell>
          <cell r="CF18">
            <v>142</v>
          </cell>
          <cell r="CG18">
            <v>139</v>
          </cell>
          <cell r="CH18">
            <v>142</v>
          </cell>
          <cell r="CI18">
            <v>134</v>
          </cell>
          <cell r="CJ18">
            <v>102</v>
          </cell>
          <cell r="CK18">
            <v>119</v>
          </cell>
          <cell r="CL18">
            <v>122</v>
          </cell>
          <cell r="CM18">
            <v>115</v>
          </cell>
          <cell r="CN18">
            <v>109</v>
          </cell>
          <cell r="CO18">
            <v>107</v>
          </cell>
          <cell r="CP18">
            <v>114</v>
          </cell>
          <cell r="CQ18">
            <v>137</v>
          </cell>
          <cell r="CR18">
            <v>129</v>
          </cell>
          <cell r="CS18">
            <v>88</v>
          </cell>
        </row>
        <row r="19">
          <cell r="AH19">
            <v>420</v>
          </cell>
          <cell r="AI19">
            <v>40681</v>
          </cell>
          <cell r="AJ19">
            <v>40684</v>
          </cell>
          <cell r="AK19">
            <v>1</v>
          </cell>
          <cell r="AL19">
            <v>8741</v>
          </cell>
          <cell r="AM19">
            <v>0</v>
          </cell>
          <cell r="AN19">
            <v>0</v>
          </cell>
          <cell r="AO19">
            <v>833</v>
          </cell>
          <cell r="AP19">
            <v>0</v>
          </cell>
          <cell r="AQ19">
            <v>0</v>
          </cell>
          <cell r="AR19">
            <v>8601</v>
          </cell>
          <cell r="AS19">
            <v>0</v>
          </cell>
          <cell r="AT19">
            <v>0</v>
          </cell>
          <cell r="AU19">
            <v>582</v>
          </cell>
          <cell r="AV19">
            <v>0</v>
          </cell>
          <cell r="AW19">
            <v>0</v>
          </cell>
          <cell r="AX19">
            <v>4</v>
          </cell>
          <cell r="AY19">
            <v>45</v>
          </cell>
          <cell r="AZ19">
            <v>28.925139999999999</v>
          </cell>
          <cell r="BA19">
            <v>-82.037329999999997</v>
          </cell>
          <cell r="BB19" t="str">
            <v xml:space="preserve">Seg # V65                                                                       </v>
          </cell>
          <cell r="BC19">
            <v>420</v>
          </cell>
          <cell r="BD19" t="str">
            <v xml:space="preserve">                    </v>
          </cell>
          <cell r="BE19" t="str">
            <v>D0518007</v>
          </cell>
          <cell r="BF19" t="str">
            <v>VTD</v>
          </cell>
          <cell r="BG19">
            <v>1.5</v>
          </cell>
          <cell r="BH19" t="b">
            <v>0</v>
          </cell>
          <cell r="BI19">
            <v>616</v>
          </cell>
          <cell r="BJ19">
            <v>0</v>
          </cell>
          <cell r="BK19">
            <v>0</v>
          </cell>
          <cell r="BL19">
            <v>728</v>
          </cell>
          <cell r="BM19">
            <v>0</v>
          </cell>
          <cell r="BN19">
            <v>0</v>
          </cell>
          <cell r="BO19">
            <v>0.6875</v>
          </cell>
          <cell r="BR19">
            <v>0.29166666666666669</v>
          </cell>
          <cell r="BU19">
            <v>1415</v>
          </cell>
          <cell r="BV19">
            <v>0</v>
          </cell>
          <cell r="BW19">
            <v>0</v>
          </cell>
          <cell r="BX19">
            <v>1344</v>
          </cell>
          <cell r="BY19">
            <v>0</v>
          </cell>
          <cell r="BZ19">
            <v>0</v>
          </cell>
          <cell r="CA19">
            <v>23</v>
          </cell>
          <cell r="CB19">
            <v>-1</v>
          </cell>
          <cell r="CD19">
            <v>176</v>
          </cell>
          <cell r="CE19">
            <v>180</v>
          </cell>
          <cell r="CF19">
            <v>195</v>
          </cell>
          <cell r="CG19">
            <v>199</v>
          </cell>
          <cell r="CH19">
            <v>210</v>
          </cell>
          <cell r="CI19">
            <v>229</v>
          </cell>
          <cell r="CJ19">
            <v>191</v>
          </cell>
          <cell r="CK19">
            <v>187</v>
          </cell>
          <cell r="CL19">
            <v>149</v>
          </cell>
          <cell r="CM19">
            <v>139</v>
          </cell>
          <cell r="CN19">
            <v>142</v>
          </cell>
          <cell r="CO19">
            <v>145</v>
          </cell>
          <cell r="CP19">
            <v>151</v>
          </cell>
          <cell r="CQ19">
            <v>144</v>
          </cell>
          <cell r="CR19">
            <v>138</v>
          </cell>
          <cell r="CS19">
            <v>117</v>
          </cell>
        </row>
        <row r="20">
          <cell r="AH20">
            <v>440</v>
          </cell>
          <cell r="AI20">
            <v>40681</v>
          </cell>
          <cell r="AJ20">
            <v>40684</v>
          </cell>
          <cell r="AK20">
            <v>1</v>
          </cell>
          <cell r="AL20">
            <v>7541</v>
          </cell>
          <cell r="AM20">
            <v>0</v>
          </cell>
          <cell r="AN20">
            <v>0</v>
          </cell>
          <cell r="AO20">
            <v>776</v>
          </cell>
          <cell r="AP20">
            <v>0</v>
          </cell>
          <cell r="AQ20">
            <v>0</v>
          </cell>
          <cell r="AR20">
            <v>7596</v>
          </cell>
          <cell r="AS20">
            <v>0</v>
          </cell>
          <cell r="AT20">
            <v>0</v>
          </cell>
          <cell r="AU20">
            <v>438</v>
          </cell>
          <cell r="AV20">
            <v>0</v>
          </cell>
          <cell r="AW20">
            <v>0</v>
          </cell>
          <cell r="AX20">
            <v>4</v>
          </cell>
          <cell r="AY20">
            <v>45</v>
          </cell>
          <cell r="AZ20">
            <v>28.928830000000001</v>
          </cell>
          <cell r="BA20">
            <v>-82.03716</v>
          </cell>
          <cell r="BB20" t="str">
            <v xml:space="preserve">Seg # V64                                                                       </v>
          </cell>
          <cell r="BC20">
            <v>440</v>
          </cell>
          <cell r="BD20" t="str">
            <v xml:space="preserve">                    </v>
          </cell>
          <cell r="BE20" t="str">
            <v>D0518010</v>
          </cell>
          <cell r="BF20" t="str">
            <v>VTD</v>
          </cell>
          <cell r="BG20">
            <v>1.5</v>
          </cell>
          <cell r="BH20" t="b">
            <v>0</v>
          </cell>
          <cell r="BI20">
            <v>389</v>
          </cell>
          <cell r="BJ20">
            <v>0</v>
          </cell>
          <cell r="BK20">
            <v>0</v>
          </cell>
          <cell r="BL20">
            <v>857</v>
          </cell>
          <cell r="BM20">
            <v>0</v>
          </cell>
          <cell r="BN20">
            <v>0</v>
          </cell>
          <cell r="BO20">
            <v>0.6875</v>
          </cell>
          <cell r="BR20">
            <v>0.29166666666666669</v>
          </cell>
          <cell r="BU20">
            <v>1214</v>
          </cell>
          <cell r="BV20">
            <v>0</v>
          </cell>
          <cell r="BW20">
            <v>0</v>
          </cell>
          <cell r="BX20">
            <v>1246</v>
          </cell>
          <cell r="BY20">
            <v>0</v>
          </cell>
          <cell r="BZ20">
            <v>0</v>
          </cell>
          <cell r="CA20">
            <v>11111111680</v>
          </cell>
          <cell r="CB20">
            <v>-1</v>
          </cell>
          <cell r="CD20">
            <v>158</v>
          </cell>
          <cell r="CE20">
            <v>180</v>
          </cell>
          <cell r="CF20">
            <v>181</v>
          </cell>
          <cell r="CG20">
            <v>185</v>
          </cell>
          <cell r="CH20">
            <v>212</v>
          </cell>
          <cell r="CI20">
            <v>198</v>
          </cell>
          <cell r="CJ20">
            <v>188</v>
          </cell>
          <cell r="CK20">
            <v>157</v>
          </cell>
          <cell r="CL20">
            <v>132</v>
          </cell>
          <cell r="CM20">
            <v>102</v>
          </cell>
          <cell r="CN20">
            <v>117</v>
          </cell>
          <cell r="CO20">
            <v>107</v>
          </cell>
          <cell r="CP20">
            <v>120</v>
          </cell>
          <cell r="CQ20">
            <v>94</v>
          </cell>
          <cell r="CR20">
            <v>82</v>
          </cell>
          <cell r="CS20">
            <v>96</v>
          </cell>
        </row>
        <row r="21">
          <cell r="AH21">
            <v>500</v>
          </cell>
          <cell r="AI21">
            <v>40673</v>
          </cell>
          <cell r="AJ21">
            <v>40677</v>
          </cell>
          <cell r="AK21">
            <v>1</v>
          </cell>
          <cell r="AL21">
            <v>2286</v>
          </cell>
          <cell r="AM21">
            <v>0</v>
          </cell>
          <cell r="AN21">
            <v>0</v>
          </cell>
          <cell r="AO21">
            <v>239</v>
          </cell>
          <cell r="AP21">
            <v>0</v>
          </cell>
          <cell r="AQ21">
            <v>0</v>
          </cell>
          <cell r="AR21">
            <v>2254</v>
          </cell>
          <cell r="AS21">
            <v>0</v>
          </cell>
          <cell r="AT21">
            <v>0</v>
          </cell>
          <cell r="AU21">
            <v>187</v>
          </cell>
          <cell r="AV21">
            <v>0</v>
          </cell>
          <cell r="AW21">
            <v>0</v>
          </cell>
          <cell r="AX21">
            <v>4</v>
          </cell>
          <cell r="AY21">
            <v>35</v>
          </cell>
          <cell r="AZ21">
            <v>28.864709999999999</v>
          </cell>
          <cell r="BA21">
            <v>-82.020600000000002</v>
          </cell>
          <cell r="BB21" t="str">
            <v xml:space="preserve">Seg # V91                                                                       </v>
          </cell>
          <cell r="BC21">
            <v>500</v>
          </cell>
          <cell r="BD21" t="str">
            <v xml:space="preserve">                    </v>
          </cell>
          <cell r="BE21" t="str">
            <v>D0510003</v>
          </cell>
          <cell r="BF21" t="str">
            <v>VTD</v>
          </cell>
          <cell r="BG21">
            <v>1.5</v>
          </cell>
          <cell r="BH21" t="b">
            <v>0</v>
          </cell>
          <cell r="BI21">
            <v>156</v>
          </cell>
          <cell r="BJ21">
            <v>0</v>
          </cell>
          <cell r="BK21">
            <v>0</v>
          </cell>
          <cell r="BL21">
            <v>203</v>
          </cell>
          <cell r="BM21">
            <v>0</v>
          </cell>
          <cell r="BN21">
            <v>0</v>
          </cell>
          <cell r="BO21">
            <v>0.66666666666666663</v>
          </cell>
          <cell r="BR21">
            <v>0.29166666666666669</v>
          </cell>
          <cell r="BU21">
            <v>426</v>
          </cell>
          <cell r="BV21">
            <v>0</v>
          </cell>
          <cell r="BW21">
            <v>0</v>
          </cell>
          <cell r="BX21">
            <v>359</v>
          </cell>
          <cell r="BY21">
            <v>0</v>
          </cell>
          <cell r="BZ21">
            <v>0</v>
          </cell>
          <cell r="CA21">
            <v>6010613</v>
          </cell>
          <cell r="CB21">
            <v>-1</v>
          </cell>
          <cell r="CD21">
            <v>56</v>
          </cell>
          <cell r="CE21">
            <v>65</v>
          </cell>
          <cell r="CF21">
            <v>54</v>
          </cell>
          <cell r="CG21">
            <v>64</v>
          </cell>
          <cell r="CH21">
            <v>54</v>
          </cell>
          <cell r="CI21">
            <v>46</v>
          </cell>
          <cell r="CJ21">
            <v>54</v>
          </cell>
          <cell r="CK21">
            <v>43</v>
          </cell>
          <cell r="CL21">
            <v>43</v>
          </cell>
          <cell r="CM21">
            <v>50</v>
          </cell>
          <cell r="CN21">
            <v>49</v>
          </cell>
          <cell r="CO21">
            <v>45</v>
          </cell>
          <cell r="CP21">
            <v>44</v>
          </cell>
          <cell r="CQ21">
            <v>49</v>
          </cell>
          <cell r="CR21">
            <v>48</v>
          </cell>
          <cell r="CS21">
            <v>44</v>
          </cell>
        </row>
        <row r="22">
          <cell r="AH22">
            <v>600</v>
          </cell>
          <cell r="AI22">
            <v>40624</v>
          </cell>
          <cell r="AJ22">
            <v>40628</v>
          </cell>
          <cell r="AK22">
            <v>2</v>
          </cell>
          <cell r="AL22">
            <v>1255</v>
          </cell>
          <cell r="AM22">
            <v>1197</v>
          </cell>
          <cell r="AN22">
            <v>0</v>
          </cell>
          <cell r="AO22">
            <v>173</v>
          </cell>
          <cell r="AP22">
            <v>159</v>
          </cell>
          <cell r="AQ22">
            <v>0</v>
          </cell>
          <cell r="AR22">
            <v>1175</v>
          </cell>
          <cell r="AS22">
            <v>1153</v>
          </cell>
          <cell r="AT22">
            <v>0</v>
          </cell>
          <cell r="AU22">
            <v>88</v>
          </cell>
          <cell r="AV22">
            <v>93</v>
          </cell>
          <cell r="AW22">
            <v>0</v>
          </cell>
          <cell r="AX22">
            <v>2</v>
          </cell>
          <cell r="AY22">
            <v>55</v>
          </cell>
          <cell r="AZ22">
            <v>28.79682</v>
          </cell>
          <cell r="BA22">
            <v>-82.004339999999999</v>
          </cell>
          <cell r="BB22" t="str">
            <v xml:space="preserve">Seg # 9 [Sumter Co Sta # 113]                                                   </v>
          </cell>
          <cell r="BC22">
            <v>113</v>
          </cell>
          <cell r="BD22" t="str">
            <v xml:space="preserve">                    </v>
          </cell>
          <cell r="BE22" t="str">
            <v>D0322013</v>
          </cell>
          <cell r="BF22" t="str">
            <v>VTD</v>
          </cell>
          <cell r="BG22">
            <v>1.5</v>
          </cell>
          <cell r="BH22" t="b">
            <v>0</v>
          </cell>
          <cell r="BI22">
            <v>71</v>
          </cell>
          <cell r="BJ22">
            <v>78</v>
          </cell>
          <cell r="BK22">
            <v>0</v>
          </cell>
          <cell r="BL22">
            <v>172</v>
          </cell>
          <cell r="BM22">
            <v>164</v>
          </cell>
          <cell r="BN22">
            <v>0</v>
          </cell>
          <cell r="BO22">
            <v>0.64583333333333337</v>
          </cell>
          <cell r="BP22">
            <v>0.64583333333333337</v>
          </cell>
          <cell r="BR22">
            <v>0.28125</v>
          </cell>
          <cell r="BS22">
            <v>0.30208333333333331</v>
          </cell>
          <cell r="BU22">
            <v>261</v>
          </cell>
          <cell r="BV22">
            <v>252</v>
          </cell>
          <cell r="BW22">
            <v>0</v>
          </cell>
          <cell r="BX22">
            <v>243</v>
          </cell>
          <cell r="BY22">
            <v>242</v>
          </cell>
          <cell r="BZ22">
            <v>0</v>
          </cell>
          <cell r="CA22">
            <v>74</v>
          </cell>
          <cell r="CB22">
            <v>-1</v>
          </cell>
          <cell r="CD22">
            <v>55</v>
          </cell>
          <cell r="CE22">
            <v>37.5</v>
          </cell>
          <cell r="CF22">
            <v>27</v>
          </cell>
          <cell r="CG22">
            <v>29</v>
          </cell>
          <cell r="CH22">
            <v>29</v>
          </cell>
          <cell r="CI22">
            <v>24.5</v>
          </cell>
          <cell r="CJ22">
            <v>27</v>
          </cell>
          <cell r="CK22">
            <v>14.5</v>
          </cell>
          <cell r="CL22">
            <v>16</v>
          </cell>
          <cell r="CM22">
            <v>18.5</v>
          </cell>
          <cell r="CN22">
            <v>18</v>
          </cell>
          <cell r="CO22">
            <v>19.5</v>
          </cell>
          <cell r="CP22">
            <v>20.5</v>
          </cell>
          <cell r="CQ22">
            <v>22.5</v>
          </cell>
          <cell r="CR22">
            <v>19</v>
          </cell>
          <cell r="CS22">
            <v>14</v>
          </cell>
        </row>
        <row r="23">
          <cell r="AH23">
            <v>700</v>
          </cell>
          <cell r="AI23">
            <v>40624</v>
          </cell>
          <cell r="AJ23">
            <v>40628</v>
          </cell>
          <cell r="AK23">
            <v>1</v>
          </cell>
          <cell r="AL23">
            <v>3195</v>
          </cell>
          <cell r="AM23">
            <v>0</v>
          </cell>
          <cell r="AN23">
            <v>0</v>
          </cell>
          <cell r="AO23">
            <v>211</v>
          </cell>
          <cell r="AP23">
            <v>0</v>
          </cell>
          <cell r="AQ23">
            <v>0</v>
          </cell>
          <cell r="AR23">
            <v>3179</v>
          </cell>
          <cell r="AS23">
            <v>0</v>
          </cell>
          <cell r="AT23">
            <v>0</v>
          </cell>
          <cell r="AU23">
            <v>379</v>
          </cell>
          <cell r="AV23">
            <v>0</v>
          </cell>
          <cell r="AW23">
            <v>0</v>
          </cell>
          <cell r="AX23">
            <v>2</v>
          </cell>
          <cell r="AY23">
            <v>35</v>
          </cell>
          <cell r="AZ23">
            <v>28.92737</v>
          </cell>
          <cell r="BA23">
            <v>-82.038669999999996</v>
          </cell>
          <cell r="BB23" t="str">
            <v xml:space="preserve">Seg # V74 [Sumter Co Sta # 20]                                                  </v>
          </cell>
          <cell r="BC23">
            <v>20</v>
          </cell>
          <cell r="BD23" t="str">
            <v xml:space="preserve">                    </v>
          </cell>
          <cell r="BE23" t="str">
            <v>D0322059</v>
          </cell>
          <cell r="BF23" t="str">
            <v>VTD</v>
          </cell>
          <cell r="BG23">
            <v>3.7</v>
          </cell>
          <cell r="BH23" t="b">
            <v>0</v>
          </cell>
          <cell r="BI23">
            <v>413</v>
          </cell>
          <cell r="BJ23">
            <v>0</v>
          </cell>
          <cell r="BK23">
            <v>0</v>
          </cell>
          <cell r="BL23">
            <v>177</v>
          </cell>
          <cell r="BM23">
            <v>0</v>
          </cell>
          <cell r="BN23">
            <v>0</v>
          </cell>
          <cell r="BO23">
            <v>0.6875</v>
          </cell>
          <cell r="BR23">
            <v>0.29166666666666669</v>
          </cell>
          <cell r="BU23">
            <v>590</v>
          </cell>
          <cell r="BV23">
            <v>0</v>
          </cell>
          <cell r="BW23">
            <v>0</v>
          </cell>
          <cell r="BX23">
            <v>590</v>
          </cell>
          <cell r="BY23">
            <v>0</v>
          </cell>
          <cell r="BZ23">
            <v>0</v>
          </cell>
          <cell r="CA23">
            <v>3</v>
          </cell>
          <cell r="CB23">
            <v>-1</v>
          </cell>
          <cell r="CD23">
            <v>55</v>
          </cell>
          <cell r="CE23">
            <v>62</v>
          </cell>
          <cell r="CF23">
            <v>57</v>
          </cell>
          <cell r="CG23">
            <v>56</v>
          </cell>
          <cell r="CH23">
            <v>49</v>
          </cell>
          <cell r="CI23">
            <v>49</v>
          </cell>
          <cell r="CJ23">
            <v>40</v>
          </cell>
          <cell r="CK23">
            <v>55</v>
          </cell>
          <cell r="CL23">
            <v>68</v>
          </cell>
          <cell r="CM23">
            <v>94</v>
          </cell>
          <cell r="CN23">
            <v>70</v>
          </cell>
          <cell r="CO23">
            <v>91</v>
          </cell>
          <cell r="CP23">
            <v>104</v>
          </cell>
          <cell r="CQ23">
            <v>114</v>
          </cell>
          <cell r="CR23">
            <v>66</v>
          </cell>
          <cell r="CS23">
            <v>70</v>
          </cell>
        </row>
        <row r="24">
          <cell r="AH24">
            <v>800</v>
          </cell>
          <cell r="AI24">
            <v>40673</v>
          </cell>
          <cell r="AJ24">
            <v>40677</v>
          </cell>
          <cell r="AK24">
            <v>1</v>
          </cell>
          <cell r="AL24">
            <v>1889</v>
          </cell>
          <cell r="AM24">
            <v>0</v>
          </cell>
          <cell r="AN24">
            <v>0</v>
          </cell>
          <cell r="AO24">
            <v>145</v>
          </cell>
          <cell r="AP24">
            <v>0</v>
          </cell>
          <cell r="AQ24">
            <v>0</v>
          </cell>
          <cell r="AR24">
            <v>1811</v>
          </cell>
          <cell r="AS24">
            <v>0</v>
          </cell>
          <cell r="AT24">
            <v>0</v>
          </cell>
          <cell r="AU24">
            <v>168</v>
          </cell>
          <cell r="AV24">
            <v>0</v>
          </cell>
          <cell r="AW24">
            <v>0</v>
          </cell>
          <cell r="AX24">
            <v>2</v>
          </cell>
          <cell r="AY24">
            <v>35</v>
          </cell>
          <cell r="AZ24">
            <v>28.909130000000001</v>
          </cell>
          <cell r="BA24">
            <v>-82.012060000000005</v>
          </cell>
          <cell r="BB24" t="str">
            <v xml:space="preserve">Seg # V99                                                                       </v>
          </cell>
          <cell r="BC24">
            <v>800</v>
          </cell>
          <cell r="BD24" t="str">
            <v xml:space="preserve">                    </v>
          </cell>
          <cell r="BE24" t="str">
            <v>D0510007</v>
          </cell>
          <cell r="BF24" t="str">
            <v>VTD</v>
          </cell>
          <cell r="BG24">
            <v>3.7</v>
          </cell>
          <cell r="BH24" t="b">
            <v>0</v>
          </cell>
          <cell r="BI24">
            <v>209</v>
          </cell>
          <cell r="BJ24">
            <v>0</v>
          </cell>
          <cell r="BK24">
            <v>0</v>
          </cell>
          <cell r="BL24">
            <v>124</v>
          </cell>
          <cell r="BM24">
            <v>0</v>
          </cell>
          <cell r="BN24">
            <v>0</v>
          </cell>
          <cell r="BO24">
            <v>0.625</v>
          </cell>
          <cell r="BR24">
            <v>0.30208333333333331</v>
          </cell>
          <cell r="BU24">
            <v>313</v>
          </cell>
          <cell r="BV24">
            <v>0</v>
          </cell>
          <cell r="BW24">
            <v>0</v>
          </cell>
          <cell r="BX24">
            <v>333</v>
          </cell>
          <cell r="BY24">
            <v>0</v>
          </cell>
          <cell r="BZ24">
            <v>0</v>
          </cell>
          <cell r="CA24">
            <v>23</v>
          </cell>
          <cell r="CB24">
            <v>-1</v>
          </cell>
          <cell r="CD24">
            <v>20</v>
          </cell>
          <cell r="CE24">
            <v>44</v>
          </cell>
          <cell r="CF24">
            <v>35</v>
          </cell>
          <cell r="CG24">
            <v>30</v>
          </cell>
          <cell r="CH24">
            <v>30</v>
          </cell>
          <cell r="CI24">
            <v>28</v>
          </cell>
          <cell r="CJ24">
            <v>37</v>
          </cell>
          <cell r="CK24">
            <v>31</v>
          </cell>
          <cell r="CL24">
            <v>39</v>
          </cell>
          <cell r="CM24">
            <v>31</v>
          </cell>
          <cell r="CN24">
            <v>40</v>
          </cell>
          <cell r="CO24">
            <v>41</v>
          </cell>
          <cell r="CP24">
            <v>45</v>
          </cell>
          <cell r="CQ24">
            <v>41</v>
          </cell>
          <cell r="CR24">
            <v>32</v>
          </cell>
          <cell r="CS24">
            <v>21</v>
          </cell>
        </row>
        <row r="25">
          <cell r="AH25">
            <v>900</v>
          </cell>
          <cell r="AI25">
            <v>40624</v>
          </cell>
          <cell r="AJ25">
            <v>40628</v>
          </cell>
          <cell r="AK25">
            <v>1</v>
          </cell>
          <cell r="AL25">
            <v>1174</v>
          </cell>
          <cell r="AM25">
            <v>0</v>
          </cell>
          <cell r="AN25">
            <v>0</v>
          </cell>
          <cell r="AO25">
            <v>74</v>
          </cell>
          <cell r="AP25">
            <v>0</v>
          </cell>
          <cell r="AQ25">
            <v>0</v>
          </cell>
          <cell r="AR25">
            <v>1187</v>
          </cell>
          <cell r="AS25">
            <v>0</v>
          </cell>
          <cell r="AT25">
            <v>0</v>
          </cell>
          <cell r="AU25">
            <v>158</v>
          </cell>
          <cell r="AV25">
            <v>0</v>
          </cell>
          <cell r="AW25">
            <v>0</v>
          </cell>
          <cell r="AX25">
            <v>2</v>
          </cell>
          <cell r="AY25">
            <v>55</v>
          </cell>
          <cell r="AZ25">
            <v>28.887370000000001</v>
          </cell>
          <cell r="BA25">
            <v>-82.039850000000001</v>
          </cell>
          <cell r="BB25" t="str">
            <v xml:space="preserve">Seg # 10 [Sumter Co Sta # 14]                                                   </v>
          </cell>
          <cell r="BC25">
            <v>14</v>
          </cell>
          <cell r="BD25" t="str">
            <v xml:space="preserve">                    </v>
          </cell>
          <cell r="BE25" t="str">
            <v>D0322063</v>
          </cell>
          <cell r="BF25" t="str">
            <v>VTD</v>
          </cell>
          <cell r="BG25">
            <v>3.7</v>
          </cell>
          <cell r="BH25" t="b">
            <v>0</v>
          </cell>
          <cell r="BI25">
            <v>126</v>
          </cell>
          <cell r="BJ25">
            <v>0</v>
          </cell>
          <cell r="BK25">
            <v>0</v>
          </cell>
          <cell r="BL25">
            <v>35</v>
          </cell>
          <cell r="BM25">
            <v>0</v>
          </cell>
          <cell r="BN25">
            <v>0</v>
          </cell>
          <cell r="BO25">
            <v>0.70833333333333337</v>
          </cell>
          <cell r="BR25">
            <v>0.23958333333333334</v>
          </cell>
          <cell r="BU25">
            <v>232</v>
          </cell>
          <cell r="BV25">
            <v>0</v>
          </cell>
          <cell r="BW25">
            <v>0</v>
          </cell>
          <cell r="BX25">
            <v>161</v>
          </cell>
          <cell r="BY25">
            <v>0</v>
          </cell>
          <cell r="BZ25">
            <v>0</v>
          </cell>
          <cell r="CA25">
            <v>85</v>
          </cell>
          <cell r="CB25">
            <v>-1</v>
          </cell>
          <cell r="CD25">
            <v>17</v>
          </cell>
          <cell r="CE25">
            <v>21</v>
          </cell>
          <cell r="CF25">
            <v>21</v>
          </cell>
          <cell r="CG25">
            <v>20</v>
          </cell>
          <cell r="CH25">
            <v>24</v>
          </cell>
          <cell r="CI25">
            <v>15</v>
          </cell>
          <cell r="CJ25">
            <v>14</v>
          </cell>
          <cell r="CK25">
            <v>21</v>
          </cell>
          <cell r="CL25">
            <v>22</v>
          </cell>
          <cell r="CM25">
            <v>28</v>
          </cell>
          <cell r="CN25">
            <v>26</v>
          </cell>
          <cell r="CO25">
            <v>23</v>
          </cell>
          <cell r="CP25">
            <v>38</v>
          </cell>
          <cell r="CQ25">
            <v>53</v>
          </cell>
          <cell r="CR25">
            <v>35</v>
          </cell>
          <cell r="CS25">
            <v>32</v>
          </cell>
        </row>
        <row r="26">
          <cell r="AH26">
            <v>920</v>
          </cell>
          <cell r="AI26">
            <v>40624</v>
          </cell>
          <cell r="AJ26">
            <v>40628</v>
          </cell>
          <cell r="AK26">
            <v>2</v>
          </cell>
          <cell r="AL26">
            <v>3400</v>
          </cell>
          <cell r="AM26">
            <v>3420</v>
          </cell>
          <cell r="AN26">
            <v>0</v>
          </cell>
          <cell r="AO26">
            <v>359</v>
          </cell>
          <cell r="AP26">
            <v>385</v>
          </cell>
          <cell r="AQ26">
            <v>0</v>
          </cell>
          <cell r="AR26">
            <v>3242</v>
          </cell>
          <cell r="AS26">
            <v>3247</v>
          </cell>
          <cell r="AT26">
            <v>0</v>
          </cell>
          <cell r="AU26">
            <v>215</v>
          </cell>
          <cell r="AV26">
            <v>202</v>
          </cell>
          <cell r="AW26">
            <v>0</v>
          </cell>
          <cell r="AX26">
            <v>2</v>
          </cell>
          <cell r="AY26">
            <v>45</v>
          </cell>
          <cell r="AZ26">
            <v>28.875060000000001</v>
          </cell>
          <cell r="BA26">
            <v>-82.020660000000007</v>
          </cell>
          <cell r="BB26" t="str">
            <v xml:space="preserve">Seg # 11 [Sumter Co Sta # 16]                                                   </v>
          </cell>
          <cell r="BC26">
            <v>16</v>
          </cell>
          <cell r="BD26" t="str">
            <v xml:space="preserve">                    </v>
          </cell>
          <cell r="BE26" t="str">
            <v>D0322008</v>
          </cell>
          <cell r="BF26" t="str">
            <v>VTD</v>
          </cell>
          <cell r="BG26">
            <v>1.5</v>
          </cell>
          <cell r="BH26" t="b">
            <v>0</v>
          </cell>
          <cell r="BI26">
            <v>210</v>
          </cell>
          <cell r="BJ26">
            <v>209</v>
          </cell>
          <cell r="BK26">
            <v>0</v>
          </cell>
          <cell r="BL26">
            <v>387</v>
          </cell>
          <cell r="BM26">
            <v>400</v>
          </cell>
          <cell r="BN26">
            <v>0</v>
          </cell>
          <cell r="BO26">
            <v>0.63541666666666663</v>
          </cell>
          <cell r="BP26">
            <v>0.6875</v>
          </cell>
          <cell r="BR26">
            <v>0.29166666666666669</v>
          </cell>
          <cell r="BS26">
            <v>0.29166666666666669</v>
          </cell>
          <cell r="BU26">
            <v>574</v>
          </cell>
          <cell r="BV26">
            <v>587</v>
          </cell>
          <cell r="BW26">
            <v>0</v>
          </cell>
          <cell r="BX26">
            <v>597</v>
          </cell>
          <cell r="BY26">
            <v>609</v>
          </cell>
          <cell r="BZ26">
            <v>0</v>
          </cell>
          <cell r="CA26">
            <v>102830024</v>
          </cell>
          <cell r="CB26">
            <v>-1</v>
          </cell>
          <cell r="CD26">
            <v>69.5</v>
          </cell>
          <cell r="CE26">
            <v>84</v>
          </cell>
          <cell r="CF26">
            <v>80.5</v>
          </cell>
          <cell r="CG26">
            <v>93.5</v>
          </cell>
          <cell r="CH26">
            <v>103.5</v>
          </cell>
          <cell r="CI26">
            <v>90</v>
          </cell>
          <cell r="CJ26">
            <v>77.5</v>
          </cell>
          <cell r="CK26">
            <v>63</v>
          </cell>
          <cell r="CL26">
            <v>48</v>
          </cell>
          <cell r="CM26">
            <v>41.5</v>
          </cell>
          <cell r="CN26">
            <v>57.5</v>
          </cell>
          <cell r="CO26">
            <v>53</v>
          </cell>
          <cell r="CP26">
            <v>52</v>
          </cell>
          <cell r="CQ26">
            <v>41.5</v>
          </cell>
          <cell r="CR26">
            <v>42</v>
          </cell>
          <cell r="CS26">
            <v>51</v>
          </cell>
        </row>
        <row r="27">
          <cell r="AH27">
            <v>1000</v>
          </cell>
          <cell r="AI27">
            <v>40673</v>
          </cell>
          <cell r="AJ27">
            <v>40677</v>
          </cell>
          <cell r="AK27">
            <v>1</v>
          </cell>
          <cell r="AL27">
            <v>2883</v>
          </cell>
          <cell r="AM27">
            <v>0</v>
          </cell>
          <cell r="AN27">
            <v>0</v>
          </cell>
          <cell r="AO27">
            <v>232</v>
          </cell>
          <cell r="AP27">
            <v>0</v>
          </cell>
          <cell r="AQ27">
            <v>0</v>
          </cell>
          <cell r="AR27">
            <v>2772</v>
          </cell>
          <cell r="AS27">
            <v>0</v>
          </cell>
          <cell r="AT27">
            <v>0</v>
          </cell>
          <cell r="AU27">
            <v>255</v>
          </cell>
          <cell r="AV27">
            <v>0</v>
          </cell>
          <cell r="AW27">
            <v>0</v>
          </cell>
          <cell r="AX27">
            <v>2</v>
          </cell>
          <cell r="AY27">
            <v>30</v>
          </cell>
          <cell r="AZ27">
            <v>28.86543</v>
          </cell>
          <cell r="BA27">
            <v>-82.039150000000006</v>
          </cell>
          <cell r="BB27" t="str">
            <v xml:space="preserve">Seg # 12                                                                        </v>
          </cell>
          <cell r="BC27">
            <v>1000</v>
          </cell>
          <cell r="BD27" t="str">
            <v xml:space="preserve">                    </v>
          </cell>
          <cell r="BE27" t="str">
            <v>D0510010</v>
          </cell>
          <cell r="BF27" t="str">
            <v>VTD</v>
          </cell>
          <cell r="BG27">
            <v>3.7</v>
          </cell>
          <cell r="BH27" t="b">
            <v>0</v>
          </cell>
          <cell r="BI27">
            <v>203</v>
          </cell>
          <cell r="BJ27">
            <v>0</v>
          </cell>
          <cell r="BK27">
            <v>0</v>
          </cell>
          <cell r="BL27">
            <v>211</v>
          </cell>
          <cell r="BM27">
            <v>0</v>
          </cell>
          <cell r="BN27">
            <v>0</v>
          </cell>
          <cell r="BO27">
            <v>0.65625</v>
          </cell>
          <cell r="BR27">
            <v>0.47916666666666669</v>
          </cell>
          <cell r="BU27">
            <v>487</v>
          </cell>
          <cell r="BV27">
            <v>0</v>
          </cell>
          <cell r="BW27">
            <v>0</v>
          </cell>
          <cell r="BX27">
            <v>414</v>
          </cell>
          <cell r="BY27">
            <v>0</v>
          </cell>
          <cell r="BZ27">
            <v>0</v>
          </cell>
          <cell r="CA27">
            <v>45</v>
          </cell>
          <cell r="CB27">
            <v>-1</v>
          </cell>
          <cell r="CD27">
            <v>59</v>
          </cell>
          <cell r="CE27">
            <v>46</v>
          </cell>
          <cell r="CF27">
            <v>63</v>
          </cell>
          <cell r="CG27">
            <v>70</v>
          </cell>
          <cell r="CH27">
            <v>59</v>
          </cell>
          <cell r="CI27">
            <v>62</v>
          </cell>
          <cell r="CJ27">
            <v>53</v>
          </cell>
          <cell r="CK27">
            <v>42</v>
          </cell>
          <cell r="CL27">
            <v>69</v>
          </cell>
          <cell r="CM27">
            <v>50</v>
          </cell>
          <cell r="CN27">
            <v>66</v>
          </cell>
          <cell r="CO27">
            <v>37</v>
          </cell>
          <cell r="CP27">
            <v>74</v>
          </cell>
          <cell r="CQ27">
            <v>50</v>
          </cell>
          <cell r="CR27">
            <v>58</v>
          </cell>
          <cell r="CS27">
            <v>42</v>
          </cell>
        </row>
        <row r="28">
          <cell r="AH28">
            <v>1020</v>
          </cell>
          <cell r="AI28">
            <v>40624</v>
          </cell>
          <cell r="AJ28">
            <v>40628</v>
          </cell>
          <cell r="AK28">
            <v>1</v>
          </cell>
          <cell r="AL28">
            <v>4980</v>
          </cell>
          <cell r="AM28">
            <v>0</v>
          </cell>
          <cell r="AN28">
            <v>0</v>
          </cell>
          <cell r="AO28">
            <v>456</v>
          </cell>
          <cell r="AP28">
            <v>0</v>
          </cell>
          <cell r="AQ28">
            <v>0</v>
          </cell>
          <cell r="AR28">
            <v>5264</v>
          </cell>
          <cell r="AS28">
            <v>0</v>
          </cell>
          <cell r="AT28">
            <v>0</v>
          </cell>
          <cell r="AU28">
            <v>410</v>
          </cell>
          <cell r="AV28">
            <v>0</v>
          </cell>
          <cell r="AW28">
            <v>0</v>
          </cell>
          <cell r="AX28">
            <v>4</v>
          </cell>
          <cell r="AY28">
            <v>45</v>
          </cell>
          <cell r="AZ28">
            <v>28.865410000000001</v>
          </cell>
          <cell r="BA28">
            <v>-82.00018</v>
          </cell>
          <cell r="BB28" t="str">
            <v xml:space="preserve">Seg # V80 [Sumter Co Sta # 43]                                                  </v>
          </cell>
          <cell r="BC28">
            <v>43</v>
          </cell>
          <cell r="BD28" t="str">
            <v xml:space="preserve">                    </v>
          </cell>
          <cell r="BE28" t="str">
            <v>D0322044</v>
          </cell>
          <cell r="BF28" t="str">
            <v>VTD</v>
          </cell>
          <cell r="BG28">
            <v>3.7</v>
          </cell>
          <cell r="BH28" t="b">
            <v>0</v>
          </cell>
          <cell r="BI28">
            <v>309</v>
          </cell>
          <cell r="BJ28">
            <v>0</v>
          </cell>
          <cell r="BK28">
            <v>0</v>
          </cell>
          <cell r="BL28">
            <v>443</v>
          </cell>
          <cell r="BM28">
            <v>0</v>
          </cell>
          <cell r="BN28">
            <v>0</v>
          </cell>
          <cell r="BO28">
            <v>0.65625</v>
          </cell>
          <cell r="BR28">
            <v>0.38541666666666669</v>
          </cell>
          <cell r="BU28">
            <v>866</v>
          </cell>
          <cell r="BV28">
            <v>0</v>
          </cell>
          <cell r="BW28">
            <v>0</v>
          </cell>
          <cell r="BX28">
            <v>752</v>
          </cell>
          <cell r="BY28">
            <v>0</v>
          </cell>
          <cell r="BZ28">
            <v>0</v>
          </cell>
          <cell r="CA28">
            <v>3907011840</v>
          </cell>
          <cell r="CB28">
            <v>-1</v>
          </cell>
          <cell r="CD28">
            <v>105</v>
          </cell>
          <cell r="CE28">
            <v>118</v>
          </cell>
          <cell r="CF28">
            <v>111</v>
          </cell>
          <cell r="CG28">
            <v>95</v>
          </cell>
          <cell r="CH28">
            <v>94</v>
          </cell>
          <cell r="CI28">
            <v>95</v>
          </cell>
          <cell r="CJ28">
            <v>97</v>
          </cell>
          <cell r="CK28">
            <v>85</v>
          </cell>
          <cell r="CL28">
            <v>113</v>
          </cell>
          <cell r="CM28">
            <v>99</v>
          </cell>
          <cell r="CN28">
            <v>96</v>
          </cell>
          <cell r="CO28">
            <v>84</v>
          </cell>
          <cell r="CP28">
            <v>109</v>
          </cell>
          <cell r="CQ28">
            <v>100</v>
          </cell>
          <cell r="CR28">
            <v>85</v>
          </cell>
          <cell r="CS28">
            <v>64</v>
          </cell>
        </row>
        <row r="29">
          <cell r="AH29">
            <v>1100</v>
          </cell>
          <cell r="AI29">
            <v>40673</v>
          </cell>
          <cell r="AJ29">
            <v>40677</v>
          </cell>
          <cell r="AK29">
            <v>1</v>
          </cell>
          <cell r="AL29">
            <v>529</v>
          </cell>
          <cell r="AM29">
            <v>0</v>
          </cell>
          <cell r="AN29">
            <v>0</v>
          </cell>
          <cell r="AO29">
            <v>50</v>
          </cell>
          <cell r="AP29">
            <v>0</v>
          </cell>
          <cell r="AQ29">
            <v>0</v>
          </cell>
          <cell r="AR29">
            <v>519</v>
          </cell>
          <cell r="AS29">
            <v>0</v>
          </cell>
          <cell r="AT29">
            <v>0</v>
          </cell>
          <cell r="AU29">
            <v>55</v>
          </cell>
          <cell r="AV29">
            <v>0</v>
          </cell>
          <cell r="AW29">
            <v>0</v>
          </cell>
          <cell r="AX29">
            <v>2</v>
          </cell>
          <cell r="AY29">
            <v>35</v>
          </cell>
          <cell r="AZ29">
            <v>28.865469999999998</v>
          </cell>
          <cell r="BA29">
            <v>-82.050430000000006</v>
          </cell>
          <cell r="BB29" t="str">
            <v xml:space="preserve">Seg # 13                                                                        </v>
          </cell>
          <cell r="BC29">
            <v>1100</v>
          </cell>
          <cell r="BD29" t="str">
            <v xml:space="preserve">                    </v>
          </cell>
          <cell r="BE29" t="str">
            <v>D0510008</v>
          </cell>
          <cell r="BF29" t="str">
            <v>VTD</v>
          </cell>
          <cell r="BG29">
            <v>3.7</v>
          </cell>
          <cell r="BH29" t="b">
            <v>0</v>
          </cell>
          <cell r="BI29">
            <v>31</v>
          </cell>
          <cell r="BJ29">
            <v>0</v>
          </cell>
          <cell r="BK29">
            <v>0</v>
          </cell>
          <cell r="BL29">
            <v>41</v>
          </cell>
          <cell r="BM29">
            <v>0</v>
          </cell>
          <cell r="BN29">
            <v>0</v>
          </cell>
          <cell r="BO29">
            <v>0.64583333333333337</v>
          </cell>
          <cell r="BR29">
            <v>0.39583333333333331</v>
          </cell>
          <cell r="BU29">
            <v>105</v>
          </cell>
          <cell r="BV29">
            <v>0</v>
          </cell>
          <cell r="BW29">
            <v>0</v>
          </cell>
          <cell r="BX29">
            <v>72</v>
          </cell>
          <cell r="BY29">
            <v>0</v>
          </cell>
          <cell r="BZ29">
            <v>0</v>
          </cell>
          <cell r="CA29">
            <v>89</v>
          </cell>
          <cell r="CB29">
            <v>-1</v>
          </cell>
          <cell r="CD29">
            <v>18</v>
          </cell>
          <cell r="CE29">
            <v>6</v>
          </cell>
          <cell r="CF29">
            <v>8</v>
          </cell>
          <cell r="CG29">
            <v>10</v>
          </cell>
          <cell r="CH29">
            <v>8</v>
          </cell>
          <cell r="CI29">
            <v>12</v>
          </cell>
          <cell r="CJ29">
            <v>7</v>
          </cell>
          <cell r="CK29">
            <v>8</v>
          </cell>
          <cell r="CL29">
            <v>14</v>
          </cell>
          <cell r="CM29">
            <v>14</v>
          </cell>
          <cell r="CN29">
            <v>13</v>
          </cell>
          <cell r="CO29">
            <v>12</v>
          </cell>
          <cell r="CP29">
            <v>18</v>
          </cell>
          <cell r="CQ29">
            <v>9</v>
          </cell>
          <cell r="CR29">
            <v>7</v>
          </cell>
          <cell r="CS29">
            <v>8</v>
          </cell>
        </row>
        <row r="30">
          <cell r="AH30">
            <v>1120</v>
          </cell>
          <cell r="AI30">
            <v>40688</v>
          </cell>
          <cell r="AJ30">
            <v>40691</v>
          </cell>
          <cell r="AK30">
            <v>1</v>
          </cell>
          <cell r="AL30">
            <v>647</v>
          </cell>
          <cell r="AM30">
            <v>0</v>
          </cell>
          <cell r="AN30">
            <v>0</v>
          </cell>
          <cell r="AO30">
            <v>60</v>
          </cell>
          <cell r="AP30">
            <v>0</v>
          </cell>
          <cell r="AQ30">
            <v>0</v>
          </cell>
          <cell r="AR30">
            <v>648</v>
          </cell>
          <cell r="AS30">
            <v>0</v>
          </cell>
          <cell r="AT30">
            <v>0</v>
          </cell>
          <cell r="AU30">
            <v>52</v>
          </cell>
          <cell r="AV30">
            <v>0</v>
          </cell>
          <cell r="AW30">
            <v>0</v>
          </cell>
          <cell r="AX30">
            <v>4</v>
          </cell>
          <cell r="AY30">
            <v>35</v>
          </cell>
          <cell r="AZ30">
            <v>28.852049999999998</v>
          </cell>
          <cell r="BA30">
            <v>-82.03058</v>
          </cell>
          <cell r="BB30" t="str">
            <v xml:space="preserve">Seg # V93 [Sumter Co Sta # 9]                                                   </v>
          </cell>
          <cell r="BC30">
            <v>1120</v>
          </cell>
          <cell r="BD30" t="str">
            <v xml:space="preserve">                    </v>
          </cell>
          <cell r="BE30" t="str">
            <v>D0525008</v>
          </cell>
          <cell r="BF30" t="str">
            <v>VTD</v>
          </cell>
          <cell r="BG30">
            <v>3.7</v>
          </cell>
          <cell r="BH30" t="b">
            <v>0</v>
          </cell>
          <cell r="BI30">
            <v>60</v>
          </cell>
          <cell r="BJ30">
            <v>0</v>
          </cell>
          <cell r="BK30">
            <v>0</v>
          </cell>
          <cell r="BL30">
            <v>61</v>
          </cell>
          <cell r="BM30">
            <v>0</v>
          </cell>
          <cell r="BN30">
            <v>0</v>
          </cell>
          <cell r="BO30">
            <v>0.625</v>
          </cell>
          <cell r="BR30">
            <v>0.30208333333333331</v>
          </cell>
          <cell r="BU30">
            <v>112</v>
          </cell>
          <cell r="BV30">
            <v>0</v>
          </cell>
          <cell r="BW30">
            <v>0</v>
          </cell>
          <cell r="BX30">
            <v>121</v>
          </cell>
          <cell r="BY30">
            <v>0</v>
          </cell>
          <cell r="BZ30">
            <v>0</v>
          </cell>
          <cell r="CA30">
            <v>5010301</v>
          </cell>
          <cell r="CB30">
            <v>-1</v>
          </cell>
          <cell r="CD30">
            <v>9</v>
          </cell>
          <cell r="CE30">
            <v>15</v>
          </cell>
          <cell r="CF30">
            <v>10</v>
          </cell>
          <cell r="CG30">
            <v>9</v>
          </cell>
          <cell r="CH30">
            <v>11</v>
          </cell>
          <cell r="CI30">
            <v>11</v>
          </cell>
          <cell r="CJ30">
            <v>15</v>
          </cell>
          <cell r="CK30">
            <v>13</v>
          </cell>
          <cell r="CL30">
            <v>16</v>
          </cell>
          <cell r="CM30">
            <v>10</v>
          </cell>
          <cell r="CN30">
            <v>6</v>
          </cell>
          <cell r="CO30">
            <v>10</v>
          </cell>
          <cell r="CP30">
            <v>12</v>
          </cell>
          <cell r="CQ30">
            <v>15</v>
          </cell>
          <cell r="CR30">
            <v>11</v>
          </cell>
          <cell r="CS30">
            <v>18</v>
          </cell>
        </row>
        <row r="31">
          <cell r="AH31">
            <v>1200</v>
          </cell>
          <cell r="AI31">
            <v>40681</v>
          </cell>
          <cell r="AJ31">
            <v>40684</v>
          </cell>
          <cell r="AK31">
            <v>1</v>
          </cell>
          <cell r="AL31">
            <v>7222</v>
          </cell>
          <cell r="AM31">
            <v>0</v>
          </cell>
          <cell r="AN31">
            <v>0</v>
          </cell>
          <cell r="AO31">
            <v>485</v>
          </cell>
          <cell r="AP31">
            <v>0</v>
          </cell>
          <cell r="AQ31">
            <v>0</v>
          </cell>
          <cell r="AR31">
            <v>7163</v>
          </cell>
          <cell r="AS31">
            <v>0</v>
          </cell>
          <cell r="AT31">
            <v>0</v>
          </cell>
          <cell r="AU31">
            <v>571</v>
          </cell>
          <cell r="AV31">
            <v>0</v>
          </cell>
          <cell r="AW31">
            <v>0</v>
          </cell>
          <cell r="AX31">
            <v>4</v>
          </cell>
          <cell r="AY31">
            <v>45</v>
          </cell>
          <cell r="AZ31">
            <v>28.84722</v>
          </cell>
          <cell r="BA31">
            <v>-82.052149999999997</v>
          </cell>
          <cell r="BB31" t="str">
            <v xml:space="preserve">Seg # 14                                                                        </v>
          </cell>
          <cell r="BC31">
            <v>62</v>
          </cell>
          <cell r="BD31" t="str">
            <v xml:space="preserve">                    </v>
          </cell>
          <cell r="BE31" t="str">
            <v>D0518011</v>
          </cell>
          <cell r="BF31" t="str">
            <v>VTD</v>
          </cell>
          <cell r="BG31">
            <v>3.7</v>
          </cell>
          <cell r="BH31" t="b">
            <v>0</v>
          </cell>
          <cell r="BI31">
            <v>559</v>
          </cell>
          <cell r="BJ31">
            <v>0</v>
          </cell>
          <cell r="BK31">
            <v>0</v>
          </cell>
          <cell r="BL31">
            <v>478</v>
          </cell>
          <cell r="BM31">
            <v>0</v>
          </cell>
          <cell r="BN31">
            <v>0</v>
          </cell>
          <cell r="BO31">
            <v>0.69791666666666663</v>
          </cell>
          <cell r="BR31">
            <v>0.33333333333333331</v>
          </cell>
          <cell r="BU31">
            <v>1056</v>
          </cell>
          <cell r="BV31">
            <v>0</v>
          </cell>
          <cell r="BW31">
            <v>0</v>
          </cell>
          <cell r="BX31">
            <v>1037</v>
          </cell>
          <cell r="BY31">
            <v>0</v>
          </cell>
          <cell r="BZ31">
            <v>0</v>
          </cell>
          <cell r="CA31">
            <v>62</v>
          </cell>
          <cell r="CB31">
            <v>-1</v>
          </cell>
          <cell r="CD31">
            <v>114</v>
          </cell>
          <cell r="CE31">
            <v>132</v>
          </cell>
          <cell r="CF31">
            <v>124</v>
          </cell>
          <cell r="CG31">
            <v>113</v>
          </cell>
          <cell r="CH31">
            <v>120</v>
          </cell>
          <cell r="CI31">
            <v>130</v>
          </cell>
          <cell r="CJ31">
            <v>122</v>
          </cell>
          <cell r="CK31">
            <v>94</v>
          </cell>
          <cell r="CL31">
            <v>144</v>
          </cell>
          <cell r="CM31">
            <v>147</v>
          </cell>
          <cell r="CN31">
            <v>117</v>
          </cell>
          <cell r="CO31">
            <v>142</v>
          </cell>
          <cell r="CP31">
            <v>138</v>
          </cell>
          <cell r="CQ31">
            <v>150</v>
          </cell>
          <cell r="CR31">
            <v>141</v>
          </cell>
          <cell r="CS31">
            <v>104</v>
          </cell>
        </row>
        <row r="32">
          <cell r="AH32">
            <v>1220</v>
          </cell>
          <cell r="AI32">
            <v>40681</v>
          </cell>
          <cell r="AJ32">
            <v>40684</v>
          </cell>
          <cell r="AK32">
            <v>1</v>
          </cell>
          <cell r="AL32">
            <v>6753</v>
          </cell>
          <cell r="AM32">
            <v>0</v>
          </cell>
          <cell r="AN32">
            <v>0</v>
          </cell>
          <cell r="AO32">
            <v>457</v>
          </cell>
          <cell r="AP32">
            <v>0</v>
          </cell>
          <cell r="AQ32">
            <v>0</v>
          </cell>
          <cell r="AR32">
            <v>7057</v>
          </cell>
          <cell r="AS32">
            <v>0</v>
          </cell>
          <cell r="AT32">
            <v>0</v>
          </cell>
          <cell r="AU32">
            <v>603</v>
          </cell>
          <cell r="AV32">
            <v>0</v>
          </cell>
          <cell r="AW32">
            <v>0</v>
          </cell>
          <cell r="AX32">
            <v>4</v>
          </cell>
          <cell r="AY32">
            <v>45</v>
          </cell>
          <cell r="AZ32">
            <v>28.847159999999999</v>
          </cell>
          <cell r="BA32">
            <v>-82.042019999999994</v>
          </cell>
          <cell r="BB32" t="str">
            <v xml:space="preserve">Seg # V95                                                                       </v>
          </cell>
          <cell r="BC32">
            <v>1220</v>
          </cell>
          <cell r="BD32" t="str">
            <v xml:space="preserve">                    </v>
          </cell>
          <cell r="BE32" t="str">
            <v>D0518006</v>
          </cell>
          <cell r="BF32" t="str">
            <v>VTD</v>
          </cell>
          <cell r="BG32">
            <v>3.7</v>
          </cell>
          <cell r="BH32" t="b">
            <v>0</v>
          </cell>
          <cell r="BI32">
            <v>423</v>
          </cell>
          <cell r="BJ32">
            <v>0</v>
          </cell>
          <cell r="BK32">
            <v>0</v>
          </cell>
          <cell r="BL32">
            <v>508</v>
          </cell>
          <cell r="BM32">
            <v>0</v>
          </cell>
          <cell r="BN32">
            <v>0</v>
          </cell>
          <cell r="BO32">
            <v>0.69791666666666663</v>
          </cell>
          <cell r="BR32">
            <v>0.42708333333333331</v>
          </cell>
          <cell r="BU32">
            <v>1060</v>
          </cell>
          <cell r="BV32">
            <v>0</v>
          </cell>
          <cell r="BW32">
            <v>0</v>
          </cell>
          <cell r="BX32">
            <v>931</v>
          </cell>
          <cell r="BY32">
            <v>0</v>
          </cell>
          <cell r="BZ32">
            <v>0</v>
          </cell>
          <cell r="CA32">
            <v>28</v>
          </cell>
          <cell r="CB32">
            <v>-1</v>
          </cell>
          <cell r="CD32">
            <v>123</v>
          </cell>
          <cell r="CE32">
            <v>129</v>
          </cell>
          <cell r="CF32">
            <v>109</v>
          </cell>
          <cell r="CG32">
            <v>106</v>
          </cell>
          <cell r="CH32">
            <v>108</v>
          </cell>
          <cell r="CI32">
            <v>117</v>
          </cell>
          <cell r="CJ32">
            <v>126</v>
          </cell>
          <cell r="CK32">
            <v>104</v>
          </cell>
          <cell r="CL32">
            <v>162</v>
          </cell>
          <cell r="CM32">
            <v>134</v>
          </cell>
          <cell r="CN32">
            <v>126</v>
          </cell>
          <cell r="CO32">
            <v>155</v>
          </cell>
          <cell r="CP32">
            <v>141</v>
          </cell>
          <cell r="CQ32">
            <v>188</v>
          </cell>
          <cell r="CR32">
            <v>119</v>
          </cell>
          <cell r="CS32">
            <v>126</v>
          </cell>
        </row>
        <row r="33">
          <cell r="AH33">
            <v>1240</v>
          </cell>
          <cell r="AI33">
            <v>40681</v>
          </cell>
          <cell r="AJ33">
            <v>40684</v>
          </cell>
          <cell r="AK33">
            <v>1</v>
          </cell>
          <cell r="AL33">
            <v>7804</v>
          </cell>
          <cell r="AM33">
            <v>0</v>
          </cell>
          <cell r="AN33">
            <v>0</v>
          </cell>
          <cell r="AO33">
            <v>556</v>
          </cell>
          <cell r="AP33">
            <v>0</v>
          </cell>
          <cell r="AQ33">
            <v>0</v>
          </cell>
          <cell r="AR33">
            <v>7692</v>
          </cell>
          <cell r="AS33">
            <v>0</v>
          </cell>
          <cell r="AT33">
            <v>0</v>
          </cell>
          <cell r="AU33">
            <v>688</v>
          </cell>
          <cell r="AV33">
            <v>0</v>
          </cell>
          <cell r="AW33">
            <v>0</v>
          </cell>
          <cell r="AX33">
            <v>4</v>
          </cell>
          <cell r="AY33">
            <v>55</v>
          </cell>
          <cell r="AZ33">
            <v>28.821269999999998</v>
          </cell>
          <cell r="BA33">
            <v>-81.956819999999993</v>
          </cell>
          <cell r="BB33" t="str">
            <v xml:space="preserve">Seg # V94                                                                       </v>
          </cell>
          <cell r="BC33">
            <v>1240</v>
          </cell>
          <cell r="BD33" t="str">
            <v xml:space="preserve">                    </v>
          </cell>
          <cell r="BE33" t="str">
            <v>D0518001</v>
          </cell>
          <cell r="BF33" t="str">
            <v>VTD</v>
          </cell>
          <cell r="BG33">
            <v>3.7</v>
          </cell>
          <cell r="BH33" t="b">
            <v>0</v>
          </cell>
          <cell r="BI33">
            <v>677</v>
          </cell>
          <cell r="BJ33">
            <v>0</v>
          </cell>
          <cell r="BK33">
            <v>0</v>
          </cell>
          <cell r="BL33">
            <v>408</v>
          </cell>
          <cell r="BM33">
            <v>0</v>
          </cell>
          <cell r="BN33">
            <v>0</v>
          </cell>
          <cell r="BO33">
            <v>0.69791666666666663</v>
          </cell>
          <cell r="BR33">
            <v>0.3125</v>
          </cell>
          <cell r="BU33">
            <v>1244</v>
          </cell>
          <cell r="BV33">
            <v>0</v>
          </cell>
          <cell r="BW33">
            <v>0</v>
          </cell>
          <cell r="BX33">
            <v>1085</v>
          </cell>
          <cell r="BY33">
            <v>0</v>
          </cell>
          <cell r="BZ33">
            <v>0</v>
          </cell>
          <cell r="CA33">
            <v>25050428</v>
          </cell>
          <cell r="CB33">
            <v>-1</v>
          </cell>
          <cell r="CD33">
            <v>163</v>
          </cell>
          <cell r="CE33">
            <v>128</v>
          </cell>
          <cell r="CF33">
            <v>125</v>
          </cell>
          <cell r="CG33">
            <v>126</v>
          </cell>
          <cell r="CH33">
            <v>137</v>
          </cell>
          <cell r="CI33">
            <v>152</v>
          </cell>
          <cell r="CJ33">
            <v>141</v>
          </cell>
          <cell r="CK33">
            <v>132</v>
          </cell>
          <cell r="CL33">
            <v>167</v>
          </cell>
          <cell r="CM33">
            <v>161</v>
          </cell>
          <cell r="CN33">
            <v>149</v>
          </cell>
          <cell r="CO33">
            <v>145</v>
          </cell>
          <cell r="CP33">
            <v>212</v>
          </cell>
          <cell r="CQ33">
            <v>192</v>
          </cell>
          <cell r="CR33">
            <v>139</v>
          </cell>
          <cell r="CS33">
            <v>132</v>
          </cell>
        </row>
        <row r="34">
          <cell r="AH34">
            <v>1300</v>
          </cell>
          <cell r="AI34">
            <v>40624</v>
          </cell>
          <cell r="AJ34">
            <v>40628</v>
          </cell>
          <cell r="AK34">
            <v>2</v>
          </cell>
          <cell r="AL34">
            <v>1502</v>
          </cell>
          <cell r="AM34">
            <v>1538</v>
          </cell>
          <cell r="AN34">
            <v>0</v>
          </cell>
          <cell r="AO34">
            <v>137</v>
          </cell>
          <cell r="AP34">
            <v>125</v>
          </cell>
          <cell r="AQ34">
            <v>0</v>
          </cell>
          <cell r="AR34">
            <v>1541</v>
          </cell>
          <cell r="AS34">
            <v>1497</v>
          </cell>
          <cell r="AT34">
            <v>0</v>
          </cell>
          <cell r="AU34">
            <v>161</v>
          </cell>
          <cell r="AV34">
            <v>150</v>
          </cell>
          <cell r="AW34">
            <v>0</v>
          </cell>
          <cell r="AX34">
            <v>2</v>
          </cell>
          <cell r="AY34">
            <v>45</v>
          </cell>
          <cell r="AZ34">
            <v>28.79975</v>
          </cell>
          <cell r="BA34">
            <v>-82.046499999999995</v>
          </cell>
          <cell r="BB34" t="str">
            <v xml:space="preserve">Seg # 15 [Sumter Co Sta # 53]                                                   </v>
          </cell>
          <cell r="BC34">
            <v>53</v>
          </cell>
          <cell r="BD34" t="str">
            <v xml:space="preserve">                    </v>
          </cell>
          <cell r="BE34" t="str">
            <v>D0322011</v>
          </cell>
          <cell r="BF34" t="str">
            <v>VTD</v>
          </cell>
          <cell r="BG34">
            <v>3.7</v>
          </cell>
          <cell r="BH34" t="b">
            <v>0</v>
          </cell>
          <cell r="BI34">
            <v>167</v>
          </cell>
          <cell r="BJ34">
            <v>156</v>
          </cell>
          <cell r="BK34">
            <v>0</v>
          </cell>
          <cell r="BL34">
            <v>93</v>
          </cell>
          <cell r="BM34">
            <v>117</v>
          </cell>
          <cell r="BN34">
            <v>0</v>
          </cell>
          <cell r="BO34">
            <v>0.63541666666666663</v>
          </cell>
          <cell r="BP34">
            <v>0.63541666666666663</v>
          </cell>
          <cell r="BR34">
            <v>0.29166666666666669</v>
          </cell>
          <cell r="BS34">
            <v>0.30208333333333331</v>
          </cell>
          <cell r="BU34">
            <v>298</v>
          </cell>
          <cell r="BV34">
            <v>275</v>
          </cell>
          <cell r="BW34">
            <v>0</v>
          </cell>
          <cell r="BX34">
            <v>260</v>
          </cell>
          <cell r="BY34">
            <v>273</v>
          </cell>
          <cell r="BZ34">
            <v>0</v>
          </cell>
          <cell r="CA34">
            <v>11111111680</v>
          </cell>
          <cell r="CB34">
            <v>-1</v>
          </cell>
          <cell r="CD34">
            <v>26.5</v>
          </cell>
          <cell r="CE34">
            <v>36</v>
          </cell>
          <cell r="CF34">
            <v>25</v>
          </cell>
          <cell r="CG34">
            <v>22.5</v>
          </cell>
          <cell r="CH34">
            <v>28</v>
          </cell>
          <cell r="CI34">
            <v>30</v>
          </cell>
          <cell r="CJ34">
            <v>27</v>
          </cell>
          <cell r="CK34">
            <v>26</v>
          </cell>
          <cell r="CL34">
            <v>54.5</v>
          </cell>
          <cell r="CM34">
            <v>31</v>
          </cell>
          <cell r="CN34">
            <v>30</v>
          </cell>
          <cell r="CO34">
            <v>27</v>
          </cell>
          <cell r="CP34">
            <v>39</v>
          </cell>
          <cell r="CQ34">
            <v>23</v>
          </cell>
          <cell r="CR34">
            <v>28.5</v>
          </cell>
          <cell r="CS34">
            <v>21.5</v>
          </cell>
        </row>
        <row r="35">
          <cell r="AH35">
            <v>1320</v>
          </cell>
          <cell r="AI35">
            <v>40624</v>
          </cell>
          <cell r="AJ35">
            <v>40628</v>
          </cell>
          <cell r="AK35">
            <v>2</v>
          </cell>
          <cell r="AL35">
            <v>1961</v>
          </cell>
          <cell r="AM35">
            <v>1939</v>
          </cell>
          <cell r="AN35">
            <v>0</v>
          </cell>
          <cell r="AO35">
            <v>161</v>
          </cell>
          <cell r="AP35">
            <v>137</v>
          </cell>
          <cell r="AQ35">
            <v>0</v>
          </cell>
          <cell r="AR35">
            <v>1853</v>
          </cell>
          <cell r="AS35">
            <v>1756</v>
          </cell>
          <cell r="AT35">
            <v>0</v>
          </cell>
          <cell r="AU35">
            <v>163</v>
          </cell>
          <cell r="AV35">
            <v>197</v>
          </cell>
          <cell r="AW35">
            <v>0</v>
          </cell>
          <cell r="AX35">
            <v>2</v>
          </cell>
          <cell r="AY35">
            <v>45</v>
          </cell>
          <cell r="AZ35">
            <v>28.818110000000001</v>
          </cell>
          <cell r="BA35">
            <v>-81.978039999999993</v>
          </cell>
          <cell r="BB35" t="str">
            <v xml:space="preserve">Seg # V97 [Sumter Co Sta # 50]                                                  </v>
          </cell>
          <cell r="BC35">
            <v>50</v>
          </cell>
          <cell r="BD35" t="str">
            <v xml:space="preserve">                    </v>
          </cell>
          <cell r="BE35" t="str">
            <v>D0322021</v>
          </cell>
          <cell r="BF35" t="str">
            <v>VTD</v>
          </cell>
          <cell r="BG35">
            <v>1.5</v>
          </cell>
          <cell r="BH35" t="b">
            <v>0</v>
          </cell>
          <cell r="BI35">
            <v>157</v>
          </cell>
          <cell r="BJ35">
            <v>162</v>
          </cell>
          <cell r="BK35">
            <v>0</v>
          </cell>
          <cell r="BL35">
            <v>91</v>
          </cell>
          <cell r="BM35">
            <v>72</v>
          </cell>
          <cell r="BN35">
            <v>0</v>
          </cell>
          <cell r="BO35">
            <v>0.625</v>
          </cell>
          <cell r="BP35">
            <v>0.69791666666666663</v>
          </cell>
          <cell r="BR35">
            <v>0.29166666666666669</v>
          </cell>
          <cell r="BS35">
            <v>0.34375</v>
          </cell>
          <cell r="BU35">
            <v>324</v>
          </cell>
          <cell r="BV35">
            <v>334</v>
          </cell>
          <cell r="BW35">
            <v>0</v>
          </cell>
          <cell r="BX35">
            <v>248</v>
          </cell>
          <cell r="BY35">
            <v>234</v>
          </cell>
          <cell r="BZ35">
            <v>0</v>
          </cell>
          <cell r="CA35">
            <v>27</v>
          </cell>
          <cell r="CB35">
            <v>-1</v>
          </cell>
          <cell r="CD35">
            <v>38.5</v>
          </cell>
          <cell r="CE35">
            <v>38.5</v>
          </cell>
          <cell r="CF35">
            <v>34.5</v>
          </cell>
          <cell r="CG35">
            <v>28.5</v>
          </cell>
          <cell r="CH35">
            <v>34</v>
          </cell>
          <cell r="CI35">
            <v>37.5</v>
          </cell>
          <cell r="CJ35">
            <v>32.5</v>
          </cell>
          <cell r="CK35">
            <v>24.5</v>
          </cell>
          <cell r="CL35">
            <v>33.5</v>
          </cell>
          <cell r="CM35">
            <v>37</v>
          </cell>
          <cell r="CN35">
            <v>36.5</v>
          </cell>
          <cell r="CO35">
            <v>43.5</v>
          </cell>
          <cell r="CP35">
            <v>47</v>
          </cell>
          <cell r="CQ35">
            <v>42.5</v>
          </cell>
          <cell r="CR35">
            <v>44</v>
          </cell>
          <cell r="CS35">
            <v>38</v>
          </cell>
        </row>
        <row r="36">
          <cell r="AH36">
            <v>1400</v>
          </cell>
          <cell r="AI36">
            <v>40638</v>
          </cell>
          <cell r="AJ36">
            <v>40642</v>
          </cell>
          <cell r="AK36">
            <v>2</v>
          </cell>
          <cell r="AL36">
            <v>2943</v>
          </cell>
          <cell r="AM36">
            <v>3165</v>
          </cell>
          <cell r="AN36">
            <v>0</v>
          </cell>
          <cell r="AO36">
            <v>297</v>
          </cell>
          <cell r="AP36">
            <v>311</v>
          </cell>
          <cell r="AQ36">
            <v>0</v>
          </cell>
          <cell r="AR36">
            <v>2843</v>
          </cell>
          <cell r="AS36">
            <v>3892</v>
          </cell>
          <cell r="AT36">
            <v>0</v>
          </cell>
          <cell r="AU36">
            <v>201</v>
          </cell>
          <cell r="AV36">
            <v>445</v>
          </cell>
          <cell r="AW36">
            <v>0</v>
          </cell>
          <cell r="AX36">
            <v>2</v>
          </cell>
          <cell r="AY36">
            <v>55</v>
          </cell>
          <cell r="AZ36">
            <v>28.755769999999998</v>
          </cell>
          <cell r="BA36">
            <v>-82.009799999999998</v>
          </cell>
          <cell r="BB36" t="str">
            <v xml:space="preserve">Seg # 16 [Sumter Co Sta # 58]                                                   </v>
          </cell>
          <cell r="BC36">
            <v>580000</v>
          </cell>
          <cell r="BD36" t="str">
            <v xml:space="preserve">                    </v>
          </cell>
          <cell r="BE36" t="str">
            <v>D0405040</v>
          </cell>
          <cell r="BF36" t="str">
            <v>VTD</v>
          </cell>
          <cell r="BG36">
            <v>3.7</v>
          </cell>
          <cell r="BH36" t="b">
            <v>0</v>
          </cell>
          <cell r="BI36">
            <v>245</v>
          </cell>
          <cell r="BJ36">
            <v>271</v>
          </cell>
          <cell r="BK36">
            <v>0</v>
          </cell>
          <cell r="BL36">
            <v>328</v>
          </cell>
          <cell r="BM36">
            <v>290</v>
          </cell>
          <cell r="BN36">
            <v>0</v>
          </cell>
          <cell r="BO36">
            <v>0.64583333333333337</v>
          </cell>
          <cell r="BP36">
            <v>0.65625</v>
          </cell>
          <cell r="BR36">
            <v>0.30208333333333331</v>
          </cell>
          <cell r="BS36">
            <v>0.30208333333333331</v>
          </cell>
          <cell r="BU36">
            <v>498</v>
          </cell>
          <cell r="BV36">
            <v>756</v>
          </cell>
          <cell r="BW36">
            <v>0</v>
          </cell>
          <cell r="BX36">
            <v>573</v>
          </cell>
          <cell r="BY36">
            <v>561</v>
          </cell>
          <cell r="BZ36">
            <v>0</v>
          </cell>
          <cell r="CA36">
            <v>70</v>
          </cell>
          <cell r="CB36">
            <v>-1</v>
          </cell>
          <cell r="CD36">
            <v>88.5</v>
          </cell>
          <cell r="CE36">
            <v>59.5</v>
          </cell>
          <cell r="CF36">
            <v>51.5</v>
          </cell>
          <cell r="CG36">
            <v>53</v>
          </cell>
          <cell r="CH36">
            <v>62</v>
          </cell>
          <cell r="CI36">
            <v>57</v>
          </cell>
          <cell r="CJ36">
            <v>46.5</v>
          </cell>
          <cell r="CK36">
            <v>35</v>
          </cell>
          <cell r="CL36">
            <v>81</v>
          </cell>
          <cell r="CM36">
            <v>78</v>
          </cell>
          <cell r="CN36">
            <v>85.5</v>
          </cell>
          <cell r="CO36">
            <v>70</v>
          </cell>
          <cell r="CP36">
            <v>97</v>
          </cell>
          <cell r="CQ36">
            <v>69.5</v>
          </cell>
          <cell r="CR36">
            <v>57.5</v>
          </cell>
          <cell r="CS36">
            <v>63</v>
          </cell>
        </row>
        <row r="37">
          <cell r="AH37">
            <v>1420</v>
          </cell>
          <cell r="AI37">
            <v>40638</v>
          </cell>
          <cell r="AJ37">
            <v>40642</v>
          </cell>
          <cell r="AK37">
            <v>2</v>
          </cell>
          <cell r="AL37">
            <v>2728</v>
          </cell>
          <cell r="AM37">
            <v>3125</v>
          </cell>
          <cell r="AN37">
            <v>0</v>
          </cell>
          <cell r="AO37">
            <v>304</v>
          </cell>
          <cell r="AP37">
            <v>339</v>
          </cell>
          <cell r="AQ37">
            <v>0</v>
          </cell>
          <cell r="AR37">
            <v>2668</v>
          </cell>
          <cell r="AS37">
            <v>2762</v>
          </cell>
          <cell r="AT37">
            <v>0</v>
          </cell>
          <cell r="AU37">
            <v>189</v>
          </cell>
          <cell r="AV37">
            <v>182</v>
          </cell>
          <cell r="AW37">
            <v>0</v>
          </cell>
          <cell r="AX37">
            <v>2</v>
          </cell>
          <cell r="AY37">
            <v>55</v>
          </cell>
          <cell r="AZ37">
            <v>28.755759999999999</v>
          </cell>
          <cell r="BA37">
            <v>-81.993020000000001</v>
          </cell>
          <cell r="BB37" t="str">
            <v xml:space="preserve">Seg # 17 [Sumter Co Sta # 59]                                                   </v>
          </cell>
          <cell r="BC37">
            <v>590000</v>
          </cell>
          <cell r="BD37" t="str">
            <v xml:space="preserve">                    </v>
          </cell>
          <cell r="BE37" t="str">
            <v>D0405035</v>
          </cell>
          <cell r="BF37" t="str">
            <v>VTD</v>
          </cell>
          <cell r="BG37">
            <v>3.7</v>
          </cell>
          <cell r="BH37" t="b">
            <v>0</v>
          </cell>
          <cell r="BI37">
            <v>213</v>
          </cell>
          <cell r="BJ37">
            <v>248</v>
          </cell>
          <cell r="BK37">
            <v>0</v>
          </cell>
          <cell r="BL37">
            <v>322</v>
          </cell>
          <cell r="BM37">
            <v>277</v>
          </cell>
          <cell r="BN37">
            <v>0</v>
          </cell>
          <cell r="BO37">
            <v>0.64583333333333337</v>
          </cell>
          <cell r="BP37">
            <v>0.64583333333333337</v>
          </cell>
          <cell r="BR37">
            <v>0.29166666666666669</v>
          </cell>
          <cell r="BS37">
            <v>0.30208333333333331</v>
          </cell>
          <cell r="BU37">
            <v>493</v>
          </cell>
          <cell r="BV37">
            <v>521</v>
          </cell>
          <cell r="BW37">
            <v>0</v>
          </cell>
          <cell r="BX37">
            <v>535</v>
          </cell>
          <cell r="BY37">
            <v>525</v>
          </cell>
          <cell r="BZ37">
            <v>0</v>
          </cell>
          <cell r="CA37">
            <v>23</v>
          </cell>
          <cell r="CB37">
            <v>-1</v>
          </cell>
          <cell r="CD37">
            <v>91.5</v>
          </cell>
          <cell r="CE37">
            <v>58</v>
          </cell>
          <cell r="CF37">
            <v>50.5</v>
          </cell>
          <cell r="CG37">
            <v>48.5</v>
          </cell>
          <cell r="CH37">
            <v>63.5</v>
          </cell>
          <cell r="CI37">
            <v>46.5</v>
          </cell>
          <cell r="CJ37">
            <v>43</v>
          </cell>
          <cell r="CK37">
            <v>31.5</v>
          </cell>
          <cell r="CL37">
            <v>45</v>
          </cell>
          <cell r="CM37">
            <v>44</v>
          </cell>
          <cell r="CN37">
            <v>51.5</v>
          </cell>
          <cell r="CO37">
            <v>51.5</v>
          </cell>
          <cell r="CP37">
            <v>60</v>
          </cell>
          <cell r="CQ37">
            <v>47.5</v>
          </cell>
          <cell r="CR37">
            <v>39.5</v>
          </cell>
          <cell r="CS37">
            <v>43.5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Reed, Caleb" id="{493AA6B0-B13C-44D2-9989-C73E1D483F4A}" userId="S::Caleb.Reed@kimley-horn.com::673d9bf3-fba2-4b7e-9033-09ac05080fa6" providerId="AD"/>
  <person displayName="Spahr, Vincent" id="{97471DE3-F3B3-4FF9-833F-812E65A1B6D9}" userId="S::Vincent.Spahr@kimley-horn.com::f8494383-de65-4d4c-a34a-00d78058cab6" providerId="AD"/>
  <person displayName="Santiago, Demily" id="{21AAFDAD-5E17-42EB-97EE-5A56A2A74B82}" userId="S::Demily.Santiago@kimley-horn.com::bf4a043a-eb5b-4fc6-8cf9-37f3b6c0470e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M22" dT="2020-10-08T17:37:46.06" personId="{21AAFDAD-5E17-42EB-97EE-5A56A2A74B82}" id="{252D032C-FD50-4081-9979-61B87B94708C}">
    <text>3938</text>
  </threadedComment>
  <threadedComment ref="M27" dT="2020-10-08T17:38:04.02" personId="{21AAFDAD-5E17-42EB-97EE-5A56A2A74B82}" id="{CA8D2B81-8686-4292-876F-1E2D2D06ABA3}">
    <text>3638</text>
  </threadedComment>
  <threadedComment ref="L46" dT="2020-10-08T17:37:30.28" personId="{21AAFDAD-5E17-42EB-97EE-5A56A2A74B82}" id="{D226E84D-F66C-46F1-AF42-F0284D8760E4}">
    <text>7905</text>
  </threadedComment>
  <threadedComment ref="B247" dT="2022-06-30T11:54:33.03" personId="{493AA6B0-B13C-44D2-9989-C73E1D483F4A}" id="{1B177086-17B3-4CDE-AF24-71A176436916}">
    <text>2022 - assumed Linear forecast again for 2022 counts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34" dT="2022-08-01T14:59:27.25" personId="{493AA6B0-B13C-44D2-9989-C73E1D483F4A}" id="{0B6F18B2-6A45-4647-BA8A-159615F8DFDD}">
    <text>2027 - TLs added with future construction</text>
  </threadedComment>
  <threadedComment ref="BP34" dT="2022-08-01T14:58:57.28" personId="{493AA6B0-B13C-44D2-9989-C73E1D483F4A}" id="{3AA4027E-9497-425C-B722-60AC8BFF7B3A}">
    <text>2027 service volumes - turn lanes added with future construction</text>
  </threadedComment>
  <threadedComment ref="CC34" dT="2022-08-01T15:08:54.77" personId="{493AA6B0-B13C-44D2-9989-C73E1D483F4A}" id="{2781A84E-BCAE-4663-B37D-256F220153D4}">
    <text>2027 service volumes adjusted for future TLs</text>
  </threadedComment>
  <threadedComment ref="CP91" dT="2021-02-04T02:01:26.72" personId="{97471DE3-F3B3-4FF9-833F-812E65A1B6D9}" id="{220732C9-0B26-4ECA-97CD-306966471146}">
    <text>manually input. Was "Not Congested" because LOS F capacity is undefined.</text>
  </threadedComment>
  <threadedComment ref="U151" dT="2021-01-19T22:45:04.83" personId="{97471DE3-F3B3-4FF9-833F-812E65A1B6D9}" id="{757458E0-E09C-45A9-8103-85262487786A}">
    <text>hard-coded</text>
  </threadedComment>
  <threadedComment ref="CP163" dT="2021-02-04T01:52:54.78" personId="{97471DE3-F3B3-4FF9-833F-812E65A1B6D9}" id="{941F1F9E-8B7C-41C6-975A-C732712C98E6}">
    <text>manually input. Was showing Not Congested, since LOS F capacity is undefined.</text>
  </threadedComment>
  <threadedComment ref="CP226" dT="2021-02-04T02:01:26.72" personId="{97471DE3-F3B3-4FF9-833F-812E65A1B6D9}" id="{210987C3-6F55-4C22-9C2E-D07585E6EC7F}">
    <text>manually input. Was "Not Congested" because LOS F capacity is undefined.</text>
  </threadedComment>
  <threadedComment ref="CP227" dT="2021-02-04T02:01:26.72" personId="{97471DE3-F3B3-4FF9-833F-812E65A1B6D9}" id="{9CA82D5B-19AB-49DF-ACE5-3D030A90B10B}">
    <text>manually input. Was "Not Congested" because LOS F capacity is undefined.</text>
  </threadedComment>
  <threadedComment ref="CP228" dT="2021-02-04T02:01:26.72" personId="{97471DE3-F3B3-4FF9-833F-812E65A1B6D9}" id="{A5F9CED6-D95B-4482-BBC0-75E3CEBC4B9F}">
    <text>manually input. Was "Not Congested" because LOS F capacity is undefined.</text>
  </threadedComment>
  <threadedComment ref="U239" dT="2022-07-06T12:55:12.81" personId="{493AA6B0-B13C-44D2-9989-C73E1D483F4A}" id="{2073B70D-EC18-43DC-871B-B23193A576A4}">
    <text>Hard-coded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CP9" dT="2021-02-04T02:01:26.72" personId="{97471DE3-F3B3-4FF9-833F-812E65A1B6D9}" id="{BB93394B-ECC4-4FA2-BC5E-1563B61AD52E}">
    <text>manually input. Was "Not Congested" because LOS F capacity is undefined.</text>
  </threadedComment>
  <threadedComment ref="CP10" dT="2021-02-04T01:52:54.78" personId="{97471DE3-F3B3-4FF9-833F-812E65A1B6D9}" id="{8E45773A-6831-4D6A-A7DF-E6E626340263}">
    <text>manually input. Was showing Not Congested, since LOS F capacity is undefined.</text>
  </threadedComment>
  <threadedComment ref="CP15" dT="2021-02-04T02:01:26.72" personId="{97471DE3-F3B3-4FF9-833F-812E65A1B6D9}" id="{EE75791C-34AD-427B-BAC1-3FDFA771C7F8}">
    <text>manually input. Was "Not Congested" because LOS F capacity is undefined.</text>
  </threadedComment>
  <threadedComment ref="CP16" dT="2021-02-04T02:01:26.72" personId="{97471DE3-F3B3-4FF9-833F-812E65A1B6D9}" id="{E870C2E7-D7A3-4D3A-924F-9C4CC1CF19CB}">
    <text>manually input. Was "Not Congested" because LOS F capacity is undefined.</text>
  </threadedComment>
  <threadedComment ref="CP17" dT="2021-02-04T02:01:26.72" personId="{97471DE3-F3B3-4FF9-833F-812E65A1B6D9}" id="{6F1F6A4E-17CC-4BBF-8F13-3DF8BCA181EB}">
    <text>manually input. Was "Not Congested" because LOS F capacity is undefined.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3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714E3-D75B-4FFA-8D42-FC0522345188}">
  <sheetPr>
    <tabColor rgb="FF00B050"/>
    <pageSetUpPr fitToPage="1"/>
  </sheetPr>
  <dimension ref="A1:BF357"/>
  <sheetViews>
    <sheetView zoomScale="90" zoomScaleNormal="90" workbookViewId="0">
      <pane xSplit="3" ySplit="5" topLeftCell="D216" activePane="bottomRight" state="frozen"/>
      <selection activeCell="Q226" sqref="Q226"/>
      <selection pane="topRight" activeCell="Q226" sqref="Q226"/>
      <selection pane="bottomLeft" activeCell="Q226" sqref="Q226"/>
      <selection pane="bottomRight" activeCell="Q226" sqref="Q226"/>
    </sheetView>
  </sheetViews>
  <sheetFormatPr defaultColWidth="9.140625" defaultRowHeight="12.75" outlineLevelRow="1"/>
  <cols>
    <col min="1" max="1" width="14.5703125" style="168" hidden="1" customWidth="1"/>
    <col min="2" max="3" width="14.5703125" style="168" customWidth="1"/>
    <col min="4" max="4" width="30.7109375" style="101" customWidth="1"/>
    <col min="5" max="5" width="34.7109375" style="101" customWidth="1"/>
    <col min="6" max="6" width="12.140625" style="101" customWidth="1"/>
    <col min="7" max="7" width="10.85546875" style="101" customWidth="1"/>
    <col min="8" max="8" width="9.5703125" style="101" customWidth="1"/>
    <col min="9" max="9" width="9.5703125" style="101" bestFit="1" customWidth="1"/>
    <col min="10" max="10" width="10" style="101" customWidth="1"/>
    <col min="11" max="13" width="9.5703125" style="101" bestFit="1" customWidth="1"/>
    <col min="14" max="15" width="10.140625" style="101" customWidth="1"/>
    <col min="16" max="16" width="9.5703125" style="101" bestFit="1" customWidth="1"/>
    <col min="17" max="20" width="9.5703125" style="101" customWidth="1"/>
    <col min="21" max="21" width="9.85546875" style="101" hidden="1" customWidth="1"/>
    <col min="22" max="22" width="9" style="101" hidden="1" customWidth="1"/>
    <col min="23" max="23" width="7.7109375" style="101" hidden="1" customWidth="1"/>
    <col min="24" max="24" width="8.7109375" style="101" hidden="1" customWidth="1"/>
    <col min="25" max="25" width="9.42578125" style="101" hidden="1" customWidth="1"/>
    <col min="26" max="26" width="8.5703125" style="101" hidden="1" customWidth="1"/>
    <col min="27" max="27" width="10.140625" style="101" customWidth="1"/>
    <col min="28" max="28" width="9" style="101" bestFit="1" customWidth="1"/>
    <col min="29" max="29" width="8.7109375" style="101" customWidth="1"/>
    <col min="30" max="30" width="9.7109375" style="101" customWidth="1"/>
    <col min="31" max="31" width="10.42578125" style="101" customWidth="1"/>
    <col min="32" max="33" width="7.28515625" style="101" bestFit="1" customWidth="1"/>
    <col min="34" max="34" width="8.5703125" style="101" customWidth="1"/>
    <col min="35" max="35" width="9" style="101" hidden="1" customWidth="1"/>
    <col min="36" max="37" width="8.140625" style="101" hidden="1" customWidth="1"/>
    <col min="38" max="40" width="9.140625" style="101" hidden="1" customWidth="1"/>
    <col min="41" max="41" width="25.85546875" style="101" customWidth="1"/>
    <col min="42" max="42" width="25.28515625" style="101" customWidth="1"/>
    <col min="43" max="16384" width="9.140625" style="101"/>
  </cols>
  <sheetData>
    <row r="1" spans="1:42" ht="15.75">
      <c r="A1" s="101"/>
      <c r="B1" s="346"/>
      <c r="C1" s="507" t="s">
        <v>244</v>
      </c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7"/>
      <c r="Y1" s="507"/>
      <c r="Z1" s="507"/>
      <c r="AA1" s="507"/>
      <c r="AB1" s="507"/>
      <c r="AC1" s="507"/>
      <c r="AD1" s="507"/>
      <c r="AE1" s="507"/>
      <c r="AF1" s="507"/>
      <c r="AG1" s="507"/>
      <c r="AH1" s="507"/>
      <c r="AI1" s="507"/>
      <c r="AJ1" s="507"/>
      <c r="AK1" s="507"/>
      <c r="AL1" s="507"/>
      <c r="AM1" s="507"/>
      <c r="AN1" s="507"/>
    </row>
    <row r="2" spans="1:42" ht="15.75">
      <c r="A2" s="351"/>
      <c r="B2" s="353"/>
      <c r="C2" s="507" t="s">
        <v>899</v>
      </c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  <c r="R2" s="507"/>
      <c r="S2" s="507"/>
      <c r="T2" s="507"/>
      <c r="U2" s="507"/>
      <c r="V2" s="507"/>
      <c r="W2" s="507"/>
      <c r="X2" s="507"/>
      <c r="Y2" s="507"/>
      <c r="Z2" s="507"/>
      <c r="AA2" s="507"/>
      <c r="AB2" s="507"/>
      <c r="AC2" s="507"/>
      <c r="AD2" s="507"/>
      <c r="AE2" s="507"/>
      <c r="AF2" s="507"/>
      <c r="AG2" s="507"/>
      <c r="AH2" s="507"/>
      <c r="AI2" s="507"/>
      <c r="AJ2" s="507"/>
      <c r="AK2" s="507"/>
      <c r="AL2" s="507"/>
      <c r="AM2" s="507"/>
      <c r="AN2" s="507"/>
    </row>
    <row r="3" spans="1:42" ht="10.5" customHeight="1" thickBot="1">
      <c r="A3" s="351"/>
      <c r="B3" s="351"/>
      <c r="C3" s="101"/>
      <c r="U3" s="513" t="s">
        <v>1094</v>
      </c>
      <c r="V3" s="513"/>
      <c r="W3" s="513"/>
      <c r="X3" s="513"/>
      <c r="Y3" s="513"/>
      <c r="Z3" s="513"/>
    </row>
    <row r="4" spans="1:42" s="163" customFormat="1" ht="14.45" customHeight="1">
      <c r="A4" s="102" t="s">
        <v>785</v>
      </c>
      <c r="B4" s="102" t="s">
        <v>786</v>
      </c>
      <c r="C4" s="102" t="s">
        <v>785</v>
      </c>
      <c r="D4" s="103"/>
      <c r="E4" s="103"/>
      <c r="F4" s="104" t="s">
        <v>246</v>
      </c>
      <c r="G4" s="105" t="s">
        <v>247</v>
      </c>
      <c r="H4" s="508"/>
      <c r="I4" s="509"/>
      <c r="J4" s="509"/>
      <c r="K4" s="509"/>
      <c r="L4" s="509"/>
      <c r="M4" s="509"/>
      <c r="N4" s="509"/>
      <c r="O4" s="509"/>
      <c r="P4" s="509"/>
      <c r="Q4" s="368"/>
      <c r="R4" s="473"/>
      <c r="S4" s="367"/>
      <c r="T4" s="159"/>
      <c r="U4" s="209" t="s">
        <v>248</v>
      </c>
      <c r="V4" s="208"/>
      <c r="W4" s="207"/>
      <c r="X4" s="207"/>
      <c r="Y4" s="207"/>
      <c r="Z4" s="206"/>
      <c r="AA4" s="209" t="s">
        <v>249</v>
      </c>
      <c r="AB4" s="208"/>
      <c r="AC4" s="207"/>
      <c r="AD4" s="207"/>
      <c r="AE4" s="207"/>
      <c r="AF4" s="206"/>
      <c r="AG4" s="102" t="s">
        <v>250</v>
      </c>
      <c r="AH4" s="105" t="s">
        <v>251</v>
      </c>
      <c r="AI4" s="510" t="s">
        <v>252</v>
      </c>
      <c r="AJ4" s="511"/>
      <c r="AK4" s="511"/>
      <c r="AL4" s="511"/>
      <c r="AM4" s="511"/>
      <c r="AN4" s="512"/>
      <c r="AO4" s="158"/>
      <c r="AP4" s="160"/>
    </row>
    <row r="5" spans="1:42" s="163" customFormat="1" ht="13.5" thickBot="1">
      <c r="A5" s="106" t="s">
        <v>253</v>
      </c>
      <c r="B5" s="106" t="s">
        <v>253</v>
      </c>
      <c r="C5" s="106" t="s">
        <v>253</v>
      </c>
      <c r="D5" s="107" t="s">
        <v>254</v>
      </c>
      <c r="E5" s="107" t="s">
        <v>255</v>
      </c>
      <c r="F5" s="108" t="s">
        <v>256</v>
      </c>
      <c r="G5" s="109" t="s">
        <v>257</v>
      </c>
      <c r="H5" s="110">
        <v>2012</v>
      </c>
      <c r="I5" s="111">
        <v>2013</v>
      </c>
      <c r="J5" s="111">
        <v>2014</v>
      </c>
      <c r="K5" s="111">
        <v>2015</v>
      </c>
      <c r="L5" s="112">
        <v>2016</v>
      </c>
      <c r="M5" s="113">
        <v>2017</v>
      </c>
      <c r="N5" s="114">
        <v>2018</v>
      </c>
      <c r="O5" s="115">
        <v>2019</v>
      </c>
      <c r="P5" s="116">
        <v>2020</v>
      </c>
      <c r="Q5" s="134">
        <v>2021</v>
      </c>
      <c r="R5" s="477">
        <v>2022</v>
      </c>
      <c r="S5" s="134">
        <v>2027</v>
      </c>
      <c r="T5" s="134" t="s">
        <v>676</v>
      </c>
      <c r="U5" s="117" t="s">
        <v>258</v>
      </c>
      <c r="V5" s="118" t="s">
        <v>259</v>
      </c>
      <c r="W5" s="118" t="s">
        <v>260</v>
      </c>
      <c r="X5" s="118" t="s">
        <v>261</v>
      </c>
      <c r="Y5" s="118" t="s">
        <v>262</v>
      </c>
      <c r="Z5" s="118" t="s">
        <v>263</v>
      </c>
      <c r="AA5" s="117" t="s">
        <v>258</v>
      </c>
      <c r="AB5" s="118" t="s">
        <v>259</v>
      </c>
      <c r="AC5" s="118" t="s">
        <v>260</v>
      </c>
      <c r="AD5" s="118" t="s">
        <v>261</v>
      </c>
      <c r="AE5" s="118" t="s">
        <v>262</v>
      </c>
      <c r="AF5" s="118" t="s">
        <v>263</v>
      </c>
      <c r="AG5" s="119" t="s">
        <v>264</v>
      </c>
      <c r="AH5" s="109" t="s">
        <v>265</v>
      </c>
      <c r="AI5" s="120">
        <v>2015</v>
      </c>
      <c r="AJ5" s="121">
        <v>2016</v>
      </c>
      <c r="AK5" s="121">
        <v>2017</v>
      </c>
      <c r="AL5" s="122">
        <v>2018</v>
      </c>
      <c r="AM5" s="123">
        <v>2019</v>
      </c>
      <c r="AN5" s="124">
        <v>2020</v>
      </c>
      <c r="AO5" s="129" t="s">
        <v>549</v>
      </c>
      <c r="AP5" s="130" t="s">
        <v>548</v>
      </c>
    </row>
    <row r="6" spans="1:42" s="205" customFormat="1" ht="18.95" customHeight="1" thickBot="1">
      <c r="A6" s="169">
        <v>486</v>
      </c>
      <c r="B6" s="169">
        <f>VLOOKUP(C6,'station changes (20-21)'!$A$3:$D$298,4,)</f>
        <v>1</v>
      </c>
      <c r="C6" s="169">
        <v>486</v>
      </c>
      <c r="D6" s="170" t="s">
        <v>515</v>
      </c>
      <c r="E6" s="170" t="s">
        <v>516</v>
      </c>
      <c r="F6" s="171">
        <v>43859</v>
      </c>
      <c r="G6" s="172" t="s">
        <v>267</v>
      </c>
      <c r="H6" s="173" t="s">
        <v>243</v>
      </c>
      <c r="I6" s="174">
        <v>745</v>
      </c>
      <c r="J6" s="174">
        <v>1649</v>
      </c>
      <c r="K6" s="174">
        <v>2517</v>
      </c>
      <c r="L6" s="174">
        <v>3606</v>
      </c>
      <c r="M6" s="174">
        <v>3831</v>
      </c>
      <c r="N6" s="174">
        <v>3953</v>
      </c>
      <c r="O6" s="174">
        <v>4453</v>
      </c>
      <c r="P6" s="174">
        <v>3699</v>
      </c>
      <c r="Q6" s="174">
        <v>3613</v>
      </c>
      <c r="R6" s="174">
        <f>VLOOKUP(B6,'2022 Count Table'!A6:X189,11)</f>
        <v>3976</v>
      </c>
      <c r="S6" s="175">
        <f>_xlfn.FORECAST.LINEAR($S$5,$N6:$R6,$N$5:$R$5)</f>
        <v>3382.9999999999709</v>
      </c>
      <c r="T6" s="176">
        <f>IF(S6&lt;R6,0,MROUND((S6/R6)^(1/5)-1,0.0025))</f>
        <v>0</v>
      </c>
      <c r="U6" s="177">
        <v>0.46875</v>
      </c>
      <c r="V6" s="178">
        <v>414</v>
      </c>
      <c r="W6" s="178">
        <v>262</v>
      </c>
      <c r="X6" s="178">
        <v>152</v>
      </c>
      <c r="Y6" s="179">
        <v>0.11192214111922141</v>
      </c>
      <c r="Z6" s="180">
        <v>0.63285024154589375</v>
      </c>
      <c r="AA6" s="177">
        <f>VLOOKUP($B6,'2022 Count Table'!A6:X189,19)</f>
        <v>0.5</v>
      </c>
      <c r="AB6" s="337">
        <f>VLOOKUP($B6,'2022 Count Table'!A6:X189,20)</f>
        <v>396</v>
      </c>
      <c r="AC6" s="337">
        <f>VLOOKUP($B6,'2022 Count Table'!A6:X189,21)</f>
        <v>199</v>
      </c>
      <c r="AD6" s="337">
        <f>VLOOKUP($B6,'2022 Count Table'!A6:X189,22)</f>
        <v>197</v>
      </c>
      <c r="AE6" s="179">
        <f>VLOOKUP($B6,'2022 Count Table'!A6:X189,23)</f>
        <v>9.9597585513078471E-2</v>
      </c>
      <c r="AF6" s="180">
        <f>VLOOKUP($B6,'2022 Count Table'!A6:X189,24)</f>
        <v>0.50252525252525249</v>
      </c>
      <c r="AG6" s="337">
        <v>2</v>
      </c>
      <c r="AH6" s="341">
        <v>30</v>
      </c>
      <c r="AI6" s="181" t="s">
        <v>268</v>
      </c>
      <c r="AJ6" s="178" t="s">
        <v>268</v>
      </c>
      <c r="AK6" s="178" t="s">
        <v>268</v>
      </c>
      <c r="AL6" s="178" t="s">
        <v>268</v>
      </c>
      <c r="AM6" s="178" t="s">
        <v>268</v>
      </c>
      <c r="AN6" s="182" t="s">
        <v>268</v>
      </c>
      <c r="AO6" s="183">
        <f>AVERAGE(N6:R6)+_xlfn.STDEV.P(N6:R6)*1.75</f>
        <v>4451.7839568641502</v>
      </c>
      <c r="AP6" s="182">
        <f>AVERAGE(N6:R6)-_xlfn.STDEV.P(N6:R6)*1.75</f>
        <v>3425.8160431358501</v>
      </c>
    </row>
    <row r="7" spans="1:42" s="162" customFormat="1" ht="18.95" customHeight="1">
      <c r="A7" s="125">
        <v>249</v>
      </c>
      <c r="B7" s="125">
        <f>VLOOKUP(C7,'station changes (20-21)'!$A$3:$D$298,4,)</f>
        <v>2</v>
      </c>
      <c r="C7" s="125">
        <v>249</v>
      </c>
      <c r="D7" s="126" t="s">
        <v>397</v>
      </c>
      <c r="E7" s="126" t="s">
        <v>398</v>
      </c>
      <c r="F7" s="17">
        <v>43887</v>
      </c>
      <c r="G7" s="127" t="s">
        <v>267</v>
      </c>
      <c r="H7" s="18">
        <v>3516</v>
      </c>
      <c r="I7" s="16">
        <v>10774</v>
      </c>
      <c r="J7" s="16">
        <v>10420</v>
      </c>
      <c r="K7" s="16">
        <v>8014</v>
      </c>
      <c r="L7" s="202">
        <v>10034</v>
      </c>
      <c r="M7" s="202">
        <v>12768</v>
      </c>
      <c r="N7" s="202">
        <v>12033</v>
      </c>
      <c r="O7" s="202">
        <v>10981</v>
      </c>
      <c r="P7" s="202">
        <v>10758</v>
      </c>
      <c r="Q7" s="202">
        <v>10390</v>
      </c>
      <c r="R7" s="202">
        <f>VLOOKUP(B7,'2022 Count Table'!A7:X190,11)</f>
        <v>8045</v>
      </c>
      <c r="S7" s="19">
        <f t="shared" ref="S7:S70" si="0">_xlfn.FORECAST.LINEAR($S$5,$N7:$R7,$N$5:$R$5)</f>
        <v>4444.4999999997672</v>
      </c>
      <c r="T7" s="20">
        <f t="shared" ref="T7:T70" si="1">IF(S7&lt;R7,0,MROUND((S7/R7)^(1/5)-1,0.0025))</f>
        <v>0</v>
      </c>
      <c r="U7" s="21">
        <v>0.48958333333333298</v>
      </c>
      <c r="V7" s="16">
        <v>1162</v>
      </c>
      <c r="W7" s="16">
        <v>539</v>
      </c>
      <c r="X7" s="16">
        <v>623</v>
      </c>
      <c r="Y7" s="22">
        <v>0.10801264175497305</v>
      </c>
      <c r="Z7" s="23">
        <v>0.53614457831325302</v>
      </c>
      <c r="AA7" s="177">
        <f>VLOOKUP(B7,'2022 Count Table'!A7:X190,19)</f>
        <v>0.5</v>
      </c>
      <c r="AB7" s="337">
        <f>VLOOKUP($B7,'2022 Count Table'!A7:X190,20)</f>
        <v>789</v>
      </c>
      <c r="AC7" s="337">
        <f>VLOOKUP($B7,'2022 Count Table'!A7:X190,21)</f>
        <v>389</v>
      </c>
      <c r="AD7" s="337">
        <f>VLOOKUP($B7,'2022 Count Table'!A7:X190,22)</f>
        <v>400</v>
      </c>
      <c r="AE7" s="22">
        <f>VLOOKUP($B7,'2022 Count Table'!A7:X190,23)</f>
        <v>9.8073337476693598E-2</v>
      </c>
      <c r="AF7" s="23">
        <f>VLOOKUP($B7,'2022 Count Table'!A7:X190,24)</f>
        <v>0.50697084917617241</v>
      </c>
      <c r="AG7" s="24">
        <v>2</v>
      </c>
      <c r="AH7" s="25">
        <v>25</v>
      </c>
      <c r="AI7" s="18">
        <v>3277</v>
      </c>
      <c r="AJ7" s="16">
        <v>2544</v>
      </c>
      <c r="AK7" s="16" t="s">
        <v>268</v>
      </c>
      <c r="AL7" s="16" t="s">
        <v>268</v>
      </c>
      <c r="AM7" s="16" t="s">
        <v>268</v>
      </c>
      <c r="AN7" s="128" t="s">
        <v>268</v>
      </c>
      <c r="AO7" s="132">
        <f t="shared" ref="AO7:AO70" si="2">AVERAGE(N7:R7)+_xlfn.STDEV.P(N7:R7)*1.75</f>
        <v>12745.820997777966</v>
      </c>
      <c r="AP7" s="133">
        <f t="shared" ref="AP7:AP70" si="3">AVERAGE(N7:R7)-_xlfn.STDEV.P(N7:R7)*1.75</f>
        <v>8136.9790022220332</v>
      </c>
    </row>
    <row r="8" spans="1:42" s="205" customFormat="1" ht="18.95" customHeight="1">
      <c r="A8" s="184">
        <v>252</v>
      </c>
      <c r="B8" s="184">
        <f>VLOOKUP(C8,'station changes (20-21)'!$A$3:$D$298,4,)</f>
        <v>3</v>
      </c>
      <c r="C8" s="184">
        <v>252</v>
      </c>
      <c r="D8" s="185" t="s">
        <v>397</v>
      </c>
      <c r="E8" s="185" t="s">
        <v>399</v>
      </c>
      <c r="F8" s="186">
        <v>43887</v>
      </c>
      <c r="G8" s="187" t="s">
        <v>267</v>
      </c>
      <c r="H8" s="188">
        <v>8560</v>
      </c>
      <c r="I8" s="189">
        <v>3447</v>
      </c>
      <c r="J8" s="189">
        <v>8630</v>
      </c>
      <c r="K8" s="189">
        <v>7810</v>
      </c>
      <c r="L8" s="174">
        <v>8070</v>
      </c>
      <c r="M8" s="189">
        <v>10578</v>
      </c>
      <c r="N8" s="189">
        <v>11262</v>
      </c>
      <c r="O8" s="189">
        <v>10453</v>
      </c>
      <c r="P8" s="191">
        <v>10139</v>
      </c>
      <c r="Q8" s="191">
        <v>9635</v>
      </c>
      <c r="R8" s="191">
        <f>VLOOKUP(B8,'2022 Count Table'!A8:X191,11)</f>
        <v>9416</v>
      </c>
      <c r="S8" s="175">
        <f t="shared" si="0"/>
        <v>7024</v>
      </c>
      <c r="T8" s="176">
        <f t="shared" si="1"/>
        <v>0</v>
      </c>
      <c r="U8" s="192">
        <v>0.35416666666666702</v>
      </c>
      <c r="V8" s="189">
        <v>1056</v>
      </c>
      <c r="W8" s="189">
        <v>586</v>
      </c>
      <c r="X8" s="189">
        <v>470</v>
      </c>
      <c r="Y8" s="193">
        <v>0.10415228326264918</v>
      </c>
      <c r="Z8" s="194">
        <v>0.55492424242424243</v>
      </c>
      <c r="AA8" s="192">
        <f>VLOOKUP(B8,'2022 Count Table'!A8:X191,19)</f>
        <v>0.5</v>
      </c>
      <c r="AB8" s="189">
        <f>VLOOKUP($B8,'2022 Count Table'!A8:X191,20)</f>
        <v>927</v>
      </c>
      <c r="AC8" s="189">
        <f>VLOOKUP($B8,'2022 Count Table'!A8:X191,21)</f>
        <v>492</v>
      </c>
      <c r="AD8" s="189">
        <f>VLOOKUP($B8,'2022 Count Table'!A8:X191,22)</f>
        <v>435</v>
      </c>
      <c r="AE8" s="193">
        <f>VLOOKUP($B8,'2022 Count Table'!A8:X191,23)</f>
        <v>9.8449447748513164E-2</v>
      </c>
      <c r="AF8" s="194">
        <f>VLOOKUP($B8,'2022 Count Table'!A8:X191,24)</f>
        <v>0.53074433656957931</v>
      </c>
      <c r="AG8" s="195">
        <v>2</v>
      </c>
      <c r="AH8" s="196">
        <v>30</v>
      </c>
      <c r="AI8" s="188">
        <v>2162</v>
      </c>
      <c r="AJ8" s="189" t="s">
        <v>268</v>
      </c>
      <c r="AK8" s="189">
        <v>1778</v>
      </c>
      <c r="AL8" s="189">
        <v>1769</v>
      </c>
      <c r="AM8" s="189">
        <v>2417</v>
      </c>
      <c r="AN8" s="197">
        <v>2692</v>
      </c>
      <c r="AO8" s="198">
        <f t="shared" si="2"/>
        <v>11322.571559298847</v>
      </c>
      <c r="AP8" s="197">
        <f t="shared" si="3"/>
        <v>9039.4284407011528</v>
      </c>
    </row>
    <row r="9" spans="1:42" s="162" customFormat="1" ht="18.95" customHeight="1">
      <c r="A9" s="125">
        <v>255</v>
      </c>
      <c r="B9" s="125">
        <f>VLOOKUP(C9,'station changes (20-21)'!$A$3:$D$298,4,)</f>
        <v>4</v>
      </c>
      <c r="C9" s="125">
        <v>255</v>
      </c>
      <c r="D9" s="126" t="s">
        <v>397</v>
      </c>
      <c r="E9" s="126" t="s">
        <v>400</v>
      </c>
      <c r="F9" s="17">
        <v>43879</v>
      </c>
      <c r="G9" s="127" t="s">
        <v>267</v>
      </c>
      <c r="H9" s="18">
        <v>2804</v>
      </c>
      <c r="I9" s="16">
        <v>9374</v>
      </c>
      <c r="J9" s="16">
        <v>2785</v>
      </c>
      <c r="K9" s="16">
        <v>1624</v>
      </c>
      <c r="L9" s="202">
        <v>2952</v>
      </c>
      <c r="M9" s="202">
        <v>4034</v>
      </c>
      <c r="N9" s="202">
        <v>3840</v>
      </c>
      <c r="O9" s="202">
        <v>3543</v>
      </c>
      <c r="P9" s="202">
        <v>3797</v>
      </c>
      <c r="Q9" s="202">
        <v>3822</v>
      </c>
      <c r="R9" s="202">
        <f>VLOOKUP(B9,'2022 Count Table'!A9:X192,11)</f>
        <v>3848</v>
      </c>
      <c r="S9" s="19">
        <f t="shared" si="0"/>
        <v>3976.5</v>
      </c>
      <c r="T9" s="20">
        <f t="shared" si="1"/>
        <v>7.4999999999999997E-3</v>
      </c>
      <c r="U9" s="21">
        <v>0.45833333333333298</v>
      </c>
      <c r="V9" s="16">
        <v>364</v>
      </c>
      <c r="W9" s="16">
        <v>168</v>
      </c>
      <c r="X9" s="16">
        <v>196</v>
      </c>
      <c r="Y9" s="22">
        <v>9.5865156702659993E-2</v>
      </c>
      <c r="Z9" s="23">
        <v>0.53846153846153844</v>
      </c>
      <c r="AA9" s="21">
        <f>VLOOKUP(B9,'2022 Count Table'!A9:X192,19)</f>
        <v>0.625</v>
      </c>
      <c r="AB9" s="16">
        <f>VLOOKUP($B9,'2022 Count Table'!A9:X192,20)</f>
        <v>379</v>
      </c>
      <c r="AC9" s="16">
        <f>VLOOKUP($B9,'2022 Count Table'!A9:X192,21)</f>
        <v>192</v>
      </c>
      <c r="AD9" s="16">
        <f>VLOOKUP($B9,'2022 Count Table'!A9:X192,22)</f>
        <v>187</v>
      </c>
      <c r="AE9" s="22">
        <f>VLOOKUP($B9,'2022 Count Table'!A9:X192,23)</f>
        <v>9.8492723492723491E-2</v>
      </c>
      <c r="AF9" s="23">
        <f>VLOOKUP($B9,'2022 Count Table'!A9:X192,24)</f>
        <v>0.50659630606860162</v>
      </c>
      <c r="AG9" s="24">
        <v>2</v>
      </c>
      <c r="AH9" s="25">
        <v>20</v>
      </c>
      <c r="AI9" s="18">
        <v>1658</v>
      </c>
      <c r="AJ9" s="16" t="s">
        <v>268</v>
      </c>
      <c r="AK9" s="16" t="s">
        <v>268</v>
      </c>
      <c r="AL9" s="16" t="s">
        <v>268</v>
      </c>
      <c r="AM9" s="16" t="s">
        <v>268</v>
      </c>
      <c r="AN9" s="128" t="s">
        <v>268</v>
      </c>
      <c r="AO9" s="131">
        <f t="shared" si="2"/>
        <v>3970.977424105296</v>
      </c>
      <c r="AP9" s="128">
        <f t="shared" si="3"/>
        <v>3569.022575894704</v>
      </c>
    </row>
    <row r="10" spans="1:42" s="205" customFormat="1" ht="18.95" customHeight="1">
      <c r="A10" s="184">
        <v>258</v>
      </c>
      <c r="B10" s="184">
        <f>VLOOKUP(C10,'station changes (20-21)'!$A$3:$D$298,4,)</f>
        <v>5</v>
      </c>
      <c r="C10" s="184">
        <v>258</v>
      </c>
      <c r="D10" s="185" t="s">
        <v>397</v>
      </c>
      <c r="E10" s="185" t="s">
        <v>401</v>
      </c>
      <c r="F10" s="186">
        <v>43865</v>
      </c>
      <c r="G10" s="187" t="s">
        <v>267</v>
      </c>
      <c r="H10" s="188">
        <v>3118</v>
      </c>
      <c r="I10" s="189">
        <v>3462</v>
      </c>
      <c r="J10" s="189">
        <v>4203</v>
      </c>
      <c r="K10" s="189">
        <v>5197</v>
      </c>
      <c r="L10" s="174">
        <v>5078</v>
      </c>
      <c r="M10" s="174">
        <v>5741</v>
      </c>
      <c r="N10" s="174">
        <v>5439</v>
      </c>
      <c r="O10" s="174">
        <v>5423</v>
      </c>
      <c r="P10" s="174">
        <v>5848</v>
      </c>
      <c r="Q10" s="174">
        <v>5620</v>
      </c>
      <c r="R10" s="174">
        <f>VLOOKUP(B10,'2022 Count Table'!A10:X193,11)</f>
        <v>4706</v>
      </c>
      <c r="S10" s="175">
        <f t="shared" si="0"/>
        <v>4518.8999999999942</v>
      </c>
      <c r="T10" s="176">
        <f t="shared" si="1"/>
        <v>0</v>
      </c>
      <c r="U10" s="192">
        <v>0.45833333333333298</v>
      </c>
      <c r="V10" s="189">
        <v>576</v>
      </c>
      <c r="W10" s="189">
        <v>315</v>
      </c>
      <c r="X10" s="189">
        <v>261</v>
      </c>
      <c r="Y10" s="193">
        <v>9.8495212038303692E-2</v>
      </c>
      <c r="Z10" s="194">
        <v>0.546875</v>
      </c>
      <c r="AA10" s="192">
        <f>VLOOKUP(B10,'2022 Count Table'!A10:X193,19)</f>
        <v>0.5</v>
      </c>
      <c r="AB10" s="189">
        <f>VLOOKUP($B10,'2022 Count Table'!A10:X193,20)</f>
        <v>499</v>
      </c>
      <c r="AC10" s="189">
        <f>VLOOKUP($B10,'2022 Count Table'!A10:X193,21)</f>
        <v>241</v>
      </c>
      <c r="AD10" s="189">
        <f>VLOOKUP($B10,'2022 Count Table'!A10:X193,22)</f>
        <v>258</v>
      </c>
      <c r="AE10" s="193">
        <f>VLOOKUP($B10,'2022 Count Table'!A10:X193,23)</f>
        <v>0.10603484912877179</v>
      </c>
      <c r="AF10" s="194">
        <f>VLOOKUP($B10,'2022 Count Table'!A10:X193,24)</f>
        <v>0.51703406813627251</v>
      </c>
      <c r="AG10" s="195">
        <v>2</v>
      </c>
      <c r="AH10" s="196">
        <v>20</v>
      </c>
      <c r="AI10" s="188">
        <v>1792</v>
      </c>
      <c r="AJ10" s="189" t="s">
        <v>268</v>
      </c>
      <c r="AK10" s="189" t="s">
        <v>268</v>
      </c>
      <c r="AL10" s="189" t="s">
        <v>268</v>
      </c>
      <c r="AM10" s="189" t="s">
        <v>268</v>
      </c>
      <c r="AN10" s="197" t="s">
        <v>268</v>
      </c>
      <c r="AO10" s="198">
        <f t="shared" si="2"/>
        <v>6077.0321543491318</v>
      </c>
      <c r="AP10" s="197">
        <f t="shared" si="3"/>
        <v>4737.3678456508678</v>
      </c>
    </row>
    <row r="11" spans="1:42" s="226" customFormat="1" ht="18.95" customHeight="1">
      <c r="A11" s="210">
        <v>185</v>
      </c>
      <c r="B11" s="210">
        <f>VLOOKUP(C11,'station changes (20-21)'!$A$3:$D$298,4,)</f>
        <v>6</v>
      </c>
      <c r="C11" s="210">
        <v>185</v>
      </c>
      <c r="D11" s="211" t="s">
        <v>381</v>
      </c>
      <c r="E11" s="211" t="s">
        <v>382</v>
      </c>
      <c r="F11" s="212">
        <v>43844</v>
      </c>
      <c r="G11" s="213" t="s">
        <v>267</v>
      </c>
      <c r="H11" s="214">
        <v>9253</v>
      </c>
      <c r="I11" s="215">
        <v>8197</v>
      </c>
      <c r="J11" s="215">
        <v>9456</v>
      </c>
      <c r="K11" s="215">
        <v>7888</v>
      </c>
      <c r="L11" s="215">
        <v>13169</v>
      </c>
      <c r="M11" s="215">
        <v>9035</v>
      </c>
      <c r="N11" s="215">
        <v>8960</v>
      </c>
      <c r="O11" s="215">
        <v>11502</v>
      </c>
      <c r="P11" s="245">
        <v>9193</v>
      </c>
      <c r="Q11" s="245">
        <v>9125</v>
      </c>
      <c r="R11" s="245">
        <f>VLOOKUP(B11,'2022 Count Table'!A11:X194,11)</f>
        <v>9830</v>
      </c>
      <c r="S11" s="217">
        <f t="shared" si="0"/>
        <v>9276.0999999999913</v>
      </c>
      <c r="T11" s="218">
        <f t="shared" si="1"/>
        <v>0</v>
      </c>
      <c r="U11" s="219">
        <v>0.44791666666666702</v>
      </c>
      <c r="V11" s="215">
        <v>687</v>
      </c>
      <c r="W11" s="215">
        <v>355</v>
      </c>
      <c r="X11" s="215">
        <v>332</v>
      </c>
      <c r="Y11" s="220">
        <v>7.4730773414554558E-2</v>
      </c>
      <c r="Z11" s="221">
        <v>0.51673944687045126</v>
      </c>
      <c r="AA11" s="219">
        <f>VLOOKUP(B11,'2022 Count Table'!A11:X194,19)</f>
        <v>0.60416666666666663</v>
      </c>
      <c r="AB11" s="215">
        <f>VLOOKUP($B11,'2022 Count Table'!A11:X194,20)</f>
        <v>1061</v>
      </c>
      <c r="AC11" s="215">
        <f>VLOOKUP($B11,'2022 Count Table'!A11:X194,21)</f>
        <v>531</v>
      </c>
      <c r="AD11" s="215">
        <f>VLOOKUP($B11,'2022 Count Table'!A11:X194,22)</f>
        <v>530</v>
      </c>
      <c r="AE11" s="220">
        <f>VLOOKUP($B11,'2022 Count Table'!A11:X194,23)</f>
        <v>0.10793489318413022</v>
      </c>
      <c r="AF11" s="221">
        <f>VLOOKUP($B11,'2022 Count Table'!A11:X194,24)</f>
        <v>0.50047125353440147</v>
      </c>
      <c r="AG11" s="222">
        <v>2</v>
      </c>
      <c r="AH11" s="223">
        <v>30</v>
      </c>
      <c r="AI11" s="214">
        <v>2774</v>
      </c>
      <c r="AJ11" s="215" t="s">
        <v>268</v>
      </c>
      <c r="AK11" s="215" t="s">
        <v>268</v>
      </c>
      <c r="AL11" s="215" t="s">
        <v>268</v>
      </c>
      <c r="AM11" s="215" t="s">
        <v>268</v>
      </c>
      <c r="AN11" s="224" t="s">
        <v>268</v>
      </c>
      <c r="AO11" s="225">
        <f t="shared" si="2"/>
        <v>11363.077930812549</v>
      </c>
      <c r="AP11" s="224">
        <f t="shared" si="3"/>
        <v>8080.9220691874507</v>
      </c>
    </row>
    <row r="12" spans="1:42" s="205" customFormat="1" ht="18.95" customHeight="1">
      <c r="A12" s="184">
        <v>187</v>
      </c>
      <c r="B12" s="184">
        <f>VLOOKUP(C12,'station changes (20-21)'!$A$3:$D$298,4,)</f>
        <v>7</v>
      </c>
      <c r="C12" s="184">
        <v>187</v>
      </c>
      <c r="D12" s="185" t="s">
        <v>381</v>
      </c>
      <c r="E12" s="185" t="s">
        <v>383</v>
      </c>
      <c r="F12" s="186">
        <v>43845</v>
      </c>
      <c r="G12" s="187" t="s">
        <v>267</v>
      </c>
      <c r="H12" s="188">
        <v>5898</v>
      </c>
      <c r="I12" s="189">
        <v>7432</v>
      </c>
      <c r="J12" s="189">
        <v>6384</v>
      </c>
      <c r="K12" s="189">
        <v>6269</v>
      </c>
      <c r="L12" s="174">
        <v>6029</v>
      </c>
      <c r="M12" s="174"/>
      <c r="N12" s="174">
        <v>7948</v>
      </c>
      <c r="O12" s="174">
        <v>7855</v>
      </c>
      <c r="P12" s="174">
        <v>7909</v>
      </c>
      <c r="Q12" s="174">
        <v>7571</v>
      </c>
      <c r="R12" s="174">
        <f>VLOOKUP(B12,'2022 Count Table'!A12:X195,11)</f>
        <v>7685</v>
      </c>
      <c r="S12" s="175">
        <f t="shared" si="0"/>
        <v>7226.6000000000058</v>
      </c>
      <c r="T12" s="176">
        <f t="shared" si="1"/>
        <v>0</v>
      </c>
      <c r="U12" s="192">
        <v>0.46875</v>
      </c>
      <c r="V12" s="189">
        <v>845</v>
      </c>
      <c r="W12" s="189">
        <v>436</v>
      </c>
      <c r="X12" s="189">
        <v>409</v>
      </c>
      <c r="Y12" s="193">
        <v>0.10684030850929321</v>
      </c>
      <c r="Z12" s="194">
        <v>0.51597633136094678</v>
      </c>
      <c r="AA12" s="192">
        <f>VLOOKUP(B12,'2022 Count Table'!A12:X195,19)</f>
        <v>0.55208333333333337</v>
      </c>
      <c r="AB12" s="189">
        <f>VLOOKUP($B12,'2022 Count Table'!A12:X195,20)</f>
        <v>796</v>
      </c>
      <c r="AC12" s="189">
        <f>VLOOKUP($B12,'2022 Count Table'!A12:X195,21)</f>
        <v>436</v>
      </c>
      <c r="AD12" s="189">
        <f>VLOOKUP($B12,'2022 Count Table'!A12:X195,22)</f>
        <v>360</v>
      </c>
      <c r="AE12" s="193">
        <f>VLOOKUP($B12,'2022 Count Table'!A12:X195,23)</f>
        <v>0.10357839947950553</v>
      </c>
      <c r="AF12" s="194">
        <f>VLOOKUP($B12,'2022 Count Table'!A12:X195,24)</f>
        <v>0.54773869346733672</v>
      </c>
      <c r="AG12" s="195">
        <v>2</v>
      </c>
      <c r="AH12" s="196">
        <v>30</v>
      </c>
      <c r="AI12" s="188">
        <v>3689</v>
      </c>
      <c r="AJ12" s="189">
        <v>2441</v>
      </c>
      <c r="AK12" s="189">
        <v>1599</v>
      </c>
      <c r="AL12" s="189">
        <v>1707</v>
      </c>
      <c r="AM12" s="189">
        <v>1864</v>
      </c>
      <c r="AN12" s="197">
        <v>2070</v>
      </c>
      <c r="AO12" s="198">
        <f t="shared" si="2"/>
        <v>8043.8820608833166</v>
      </c>
      <c r="AP12" s="197">
        <f t="shared" si="3"/>
        <v>7543.3179391166841</v>
      </c>
    </row>
    <row r="13" spans="1:42" s="162" customFormat="1" ht="18.95" customHeight="1">
      <c r="A13" s="125">
        <v>326</v>
      </c>
      <c r="B13" s="125">
        <f>VLOOKUP(C13,'station changes (20-21)'!$A$3:$D$298,4,)</f>
        <v>8</v>
      </c>
      <c r="C13" s="125">
        <v>326</v>
      </c>
      <c r="D13" s="126" t="s">
        <v>428</v>
      </c>
      <c r="E13" s="126" t="s">
        <v>429</v>
      </c>
      <c r="F13" s="17">
        <v>43865</v>
      </c>
      <c r="G13" s="127" t="s">
        <v>267</v>
      </c>
      <c r="H13" s="18">
        <v>3057</v>
      </c>
      <c r="I13" s="16">
        <v>2889</v>
      </c>
      <c r="J13" s="16">
        <v>3390</v>
      </c>
      <c r="K13" s="16">
        <v>3747</v>
      </c>
      <c r="L13" s="202">
        <v>4725</v>
      </c>
      <c r="M13" s="202">
        <v>4479</v>
      </c>
      <c r="N13" s="202">
        <v>4267</v>
      </c>
      <c r="O13" s="202">
        <v>4349</v>
      </c>
      <c r="P13" s="202">
        <v>4585</v>
      </c>
      <c r="Q13" s="202">
        <v>4595</v>
      </c>
      <c r="R13" s="202">
        <f>VLOOKUP(B13,'2022 Count Table'!A13:X196,11)</f>
        <v>4689</v>
      </c>
      <c r="S13" s="19">
        <f t="shared" si="0"/>
        <v>5260</v>
      </c>
      <c r="T13" s="20">
        <f t="shared" si="1"/>
        <v>2.2499999999999999E-2</v>
      </c>
      <c r="U13" s="21">
        <v>0.48958333333333298</v>
      </c>
      <c r="V13" s="16">
        <v>438</v>
      </c>
      <c r="W13" s="16">
        <v>228</v>
      </c>
      <c r="X13" s="16">
        <v>210</v>
      </c>
      <c r="Y13" s="22">
        <v>9.5528898582333696E-2</v>
      </c>
      <c r="Z13" s="23">
        <v>0.52054794520547942</v>
      </c>
      <c r="AA13" s="21">
        <f>VLOOKUP(B13,'2022 Count Table'!A13:X196,19)</f>
        <v>0.5</v>
      </c>
      <c r="AB13" s="16">
        <f>VLOOKUP($B13,'2022 Count Table'!A13:X196,20)</f>
        <v>461</v>
      </c>
      <c r="AC13" s="16">
        <f>VLOOKUP($B13,'2022 Count Table'!A13:X196,21)</f>
        <v>243</v>
      </c>
      <c r="AD13" s="16">
        <f>VLOOKUP($B13,'2022 Count Table'!A13:X196,22)</f>
        <v>218</v>
      </c>
      <c r="AE13" s="22">
        <f>VLOOKUP($B13,'2022 Count Table'!A13:X196,23)</f>
        <v>9.8315205800810407E-2</v>
      </c>
      <c r="AF13" s="23">
        <f>VLOOKUP($B13,'2022 Count Table'!A13:X196,24)</f>
        <v>0.52711496746203901</v>
      </c>
      <c r="AG13" s="24">
        <v>2</v>
      </c>
      <c r="AH13" s="25">
        <v>20</v>
      </c>
      <c r="AI13" s="18">
        <v>965</v>
      </c>
      <c r="AJ13" s="16" t="s">
        <v>268</v>
      </c>
      <c r="AK13" s="16" t="s">
        <v>268</v>
      </c>
      <c r="AL13" s="16" t="s">
        <v>268</v>
      </c>
      <c r="AM13" s="16" t="s">
        <v>268</v>
      </c>
      <c r="AN13" s="128" t="s">
        <v>268</v>
      </c>
      <c r="AO13" s="131">
        <f t="shared" si="2"/>
        <v>4778.1090535717412</v>
      </c>
      <c r="AP13" s="128">
        <f t="shared" si="3"/>
        <v>4215.8909464282588</v>
      </c>
    </row>
    <row r="14" spans="1:42" s="226" customFormat="1" ht="18.95" customHeight="1">
      <c r="A14" s="184">
        <v>329</v>
      </c>
      <c r="B14" s="184">
        <f>VLOOKUP(C14,'station changes (20-21)'!$A$3:$D$298,4,)</f>
        <v>9</v>
      </c>
      <c r="C14" s="184">
        <v>329</v>
      </c>
      <c r="D14" s="185" t="s">
        <v>428</v>
      </c>
      <c r="E14" s="185" t="s">
        <v>430</v>
      </c>
      <c r="F14" s="186">
        <v>43879</v>
      </c>
      <c r="G14" s="187" t="s">
        <v>267</v>
      </c>
      <c r="H14" s="188">
        <v>3210</v>
      </c>
      <c r="I14" s="189">
        <v>3014</v>
      </c>
      <c r="J14" s="189">
        <v>3664</v>
      </c>
      <c r="K14" s="189">
        <v>3152</v>
      </c>
      <c r="L14" s="174">
        <v>3829</v>
      </c>
      <c r="M14" s="174">
        <v>4326</v>
      </c>
      <c r="N14" s="174">
        <v>4562</v>
      </c>
      <c r="O14" s="174">
        <v>3804</v>
      </c>
      <c r="P14" s="174">
        <v>5757</v>
      </c>
      <c r="Q14" s="174">
        <v>5554</v>
      </c>
      <c r="R14" s="174">
        <f>VLOOKUP(B14,'2022 Count Table'!A14:X197,11)</f>
        <v>5040</v>
      </c>
      <c r="S14" s="175">
        <f t="shared" si="0"/>
        <v>6837.6000000000931</v>
      </c>
      <c r="T14" s="176">
        <f t="shared" si="1"/>
        <v>6.25E-2</v>
      </c>
      <c r="U14" s="192">
        <v>0.46875</v>
      </c>
      <c r="V14" s="189">
        <v>571</v>
      </c>
      <c r="W14" s="189">
        <v>254</v>
      </c>
      <c r="X14" s="189">
        <v>317</v>
      </c>
      <c r="Y14" s="193">
        <v>9.9183602570783388E-2</v>
      </c>
      <c r="Z14" s="194">
        <v>0.55516637478108577</v>
      </c>
      <c r="AA14" s="192">
        <f>VLOOKUP(B14,'2022 Count Table'!A14:X197,19)</f>
        <v>0.51041666666666663</v>
      </c>
      <c r="AB14" s="189">
        <f>VLOOKUP($B14,'2022 Count Table'!A14:X197,20)</f>
        <v>487</v>
      </c>
      <c r="AC14" s="189">
        <f>VLOOKUP($B14,'2022 Count Table'!A14:X197,21)</f>
        <v>260</v>
      </c>
      <c r="AD14" s="189">
        <f>VLOOKUP($B14,'2022 Count Table'!A14:X197,22)</f>
        <v>227</v>
      </c>
      <c r="AE14" s="193">
        <f>VLOOKUP($B14,'2022 Count Table'!A14:X197,23)</f>
        <v>9.6626984126984131E-2</v>
      </c>
      <c r="AF14" s="194">
        <f>VLOOKUP($B14,'2022 Count Table'!A14:X197,24)</f>
        <v>0.53388090349075978</v>
      </c>
      <c r="AG14" s="195">
        <v>2</v>
      </c>
      <c r="AH14" s="196">
        <v>20</v>
      </c>
      <c r="AI14" s="188">
        <v>451</v>
      </c>
      <c r="AJ14" s="189" t="s">
        <v>268</v>
      </c>
      <c r="AK14" s="189" t="s">
        <v>268</v>
      </c>
      <c r="AL14" s="189" t="s">
        <v>268</v>
      </c>
      <c r="AM14" s="189" t="s">
        <v>268</v>
      </c>
      <c r="AN14" s="197" t="s">
        <v>268</v>
      </c>
      <c r="AO14" s="198">
        <f t="shared" si="2"/>
        <v>6177.8156147748614</v>
      </c>
      <c r="AP14" s="197">
        <f t="shared" si="3"/>
        <v>3708.9843852251379</v>
      </c>
    </row>
    <row r="15" spans="1:42" s="162" customFormat="1" ht="18.95" customHeight="1">
      <c r="A15" s="125">
        <v>146</v>
      </c>
      <c r="B15" s="125">
        <f>VLOOKUP(C15,'station changes (20-21)'!$A$3:$D$298,4,)</f>
        <v>10</v>
      </c>
      <c r="C15" s="125">
        <v>146</v>
      </c>
      <c r="D15" s="126" t="s">
        <v>369</v>
      </c>
      <c r="E15" s="126" t="s">
        <v>370</v>
      </c>
      <c r="F15" s="17">
        <v>43865</v>
      </c>
      <c r="G15" s="127" t="s">
        <v>267</v>
      </c>
      <c r="H15" s="18">
        <v>11585</v>
      </c>
      <c r="I15" s="16">
        <v>12712</v>
      </c>
      <c r="J15" s="16">
        <v>11277</v>
      </c>
      <c r="K15" s="16">
        <v>13430</v>
      </c>
      <c r="L15" s="16">
        <v>11120</v>
      </c>
      <c r="M15" s="16">
        <v>11254</v>
      </c>
      <c r="N15" s="16">
        <v>10695</v>
      </c>
      <c r="O15" s="16">
        <v>10612</v>
      </c>
      <c r="P15" s="201">
        <v>11004</v>
      </c>
      <c r="Q15" s="201">
        <v>10502</v>
      </c>
      <c r="R15" s="201">
        <f>VLOOKUP(B15,'2022 Count Table'!A15:X198,11)</f>
        <v>9956</v>
      </c>
      <c r="S15" s="19">
        <f t="shared" si="0"/>
        <v>9442.1999999999534</v>
      </c>
      <c r="T15" s="20">
        <f t="shared" si="1"/>
        <v>0</v>
      </c>
      <c r="U15" s="21">
        <v>0.47916666666666702</v>
      </c>
      <c r="V15" s="16">
        <v>1013</v>
      </c>
      <c r="W15" s="16">
        <v>462</v>
      </c>
      <c r="X15" s="16">
        <v>551</v>
      </c>
      <c r="Y15" s="22">
        <v>9.205743366048709E-2</v>
      </c>
      <c r="Z15" s="23">
        <v>0.54392892398815396</v>
      </c>
      <c r="AA15" s="21">
        <f>VLOOKUP(B15,'2022 Count Table'!A15:X198,19)</f>
        <v>0.58333333333333337</v>
      </c>
      <c r="AB15" s="16">
        <f>VLOOKUP($B15,'2022 Count Table'!A15:X198,20)</f>
        <v>977</v>
      </c>
      <c r="AC15" s="16">
        <f>VLOOKUP($B15,'2022 Count Table'!A15:X198,21)</f>
        <v>429</v>
      </c>
      <c r="AD15" s="16">
        <f>VLOOKUP($B15,'2022 Count Table'!A15:X198,22)</f>
        <v>548</v>
      </c>
      <c r="AE15" s="22">
        <f>VLOOKUP($B15,'2022 Count Table'!A15:X198,23)</f>
        <v>9.8131779831257537E-2</v>
      </c>
      <c r="AF15" s="23">
        <f>VLOOKUP($B15,'2022 Count Table'!A15:X198,24)</f>
        <v>0.5609007164790174</v>
      </c>
      <c r="AG15" s="24">
        <v>4</v>
      </c>
      <c r="AH15" s="25">
        <v>30</v>
      </c>
      <c r="AI15" s="18" t="s">
        <v>268</v>
      </c>
      <c r="AJ15" s="16" t="s">
        <v>268</v>
      </c>
      <c r="AK15" s="16" t="s">
        <v>268</v>
      </c>
      <c r="AL15" s="16" t="s">
        <v>268</v>
      </c>
      <c r="AM15" s="16" t="s">
        <v>268</v>
      </c>
      <c r="AN15" s="128" t="s">
        <v>268</v>
      </c>
      <c r="AO15" s="131">
        <f t="shared" si="2"/>
        <v>11152.93048662207</v>
      </c>
      <c r="AP15" s="128">
        <f t="shared" si="3"/>
        <v>9954.6695133779285</v>
      </c>
    </row>
    <row r="16" spans="1:42" s="226" customFormat="1" ht="18.95" customHeight="1">
      <c r="A16" s="184">
        <v>478</v>
      </c>
      <c r="B16" s="184">
        <f>VLOOKUP(C16,'station changes (20-21)'!$A$3:$D$298,4,)</f>
        <v>11</v>
      </c>
      <c r="C16" s="184">
        <v>478</v>
      </c>
      <c r="D16" s="185" t="s">
        <v>508</v>
      </c>
      <c r="E16" s="185" t="s">
        <v>509</v>
      </c>
      <c r="F16" s="186">
        <v>43887</v>
      </c>
      <c r="G16" s="187" t="s">
        <v>267</v>
      </c>
      <c r="H16" s="188">
        <v>3659</v>
      </c>
      <c r="I16" s="189">
        <v>3543.9371069182389</v>
      </c>
      <c r="J16" s="189">
        <v>5241</v>
      </c>
      <c r="K16" s="189">
        <v>3975</v>
      </c>
      <c r="L16" s="174">
        <v>4925</v>
      </c>
      <c r="M16" s="174">
        <v>4697</v>
      </c>
      <c r="N16" s="174">
        <v>4962</v>
      </c>
      <c r="O16" s="174">
        <v>5432</v>
      </c>
      <c r="P16" s="174">
        <v>4701</v>
      </c>
      <c r="Q16" s="174">
        <v>4477</v>
      </c>
      <c r="R16" s="174">
        <f>VLOOKUP(B16,'2022 Count Table'!A16:X199,11)</f>
        <v>5707</v>
      </c>
      <c r="S16" s="175">
        <f t="shared" si="0"/>
        <v>5430.3000000000029</v>
      </c>
      <c r="T16" s="176">
        <f t="shared" si="1"/>
        <v>0</v>
      </c>
      <c r="U16" s="192">
        <v>0.48958333333333298</v>
      </c>
      <c r="V16" s="189">
        <v>454</v>
      </c>
      <c r="W16" s="189">
        <v>270</v>
      </c>
      <c r="X16" s="189">
        <v>184</v>
      </c>
      <c r="Y16" s="193">
        <v>9.6575196766645388E-2</v>
      </c>
      <c r="Z16" s="194">
        <v>0.59471365638766516</v>
      </c>
      <c r="AA16" s="192">
        <f>VLOOKUP(B16,'2022 Count Table'!A16:X199,19)</f>
        <v>0.54166666666666663</v>
      </c>
      <c r="AB16" s="189">
        <f>VLOOKUP($B16,'2022 Count Table'!A16:X199,20)</f>
        <v>620</v>
      </c>
      <c r="AC16" s="189">
        <f>VLOOKUP($B16,'2022 Count Table'!A16:X199,21)</f>
        <v>280</v>
      </c>
      <c r="AD16" s="189">
        <f>VLOOKUP($B16,'2022 Count Table'!A16:X199,22)</f>
        <v>340</v>
      </c>
      <c r="AE16" s="193">
        <f>VLOOKUP($B16,'2022 Count Table'!A16:X199,23)</f>
        <v>0.10863851410548449</v>
      </c>
      <c r="AF16" s="194">
        <f>VLOOKUP($B16,'2022 Count Table'!A16:X199,24)</f>
        <v>0.54838709677419351</v>
      </c>
      <c r="AG16" s="195">
        <v>2</v>
      </c>
      <c r="AH16" s="196">
        <v>20</v>
      </c>
      <c r="AI16" s="188">
        <v>1639</v>
      </c>
      <c r="AJ16" s="189" t="s">
        <v>268</v>
      </c>
      <c r="AK16" s="189" t="s">
        <v>268</v>
      </c>
      <c r="AL16" s="189" t="s">
        <v>268</v>
      </c>
      <c r="AM16" s="189" t="s">
        <v>268</v>
      </c>
      <c r="AN16" s="197" t="s">
        <v>268</v>
      </c>
      <c r="AO16" s="198">
        <f t="shared" si="2"/>
        <v>5852.1091516490314</v>
      </c>
      <c r="AP16" s="197">
        <f t="shared" si="3"/>
        <v>4259.4908483509689</v>
      </c>
    </row>
    <row r="17" spans="1:42" s="162" customFormat="1" ht="18.95" customHeight="1">
      <c r="A17" s="125">
        <v>8</v>
      </c>
      <c r="B17" s="125">
        <f>VLOOKUP(C17,'station changes (20-21)'!$A$3:$D$298,4,)</f>
        <v>12</v>
      </c>
      <c r="C17" s="125">
        <v>8</v>
      </c>
      <c r="D17" s="126" t="s">
        <v>24</v>
      </c>
      <c r="E17" s="126" t="s">
        <v>269</v>
      </c>
      <c r="F17" s="17">
        <v>43860</v>
      </c>
      <c r="G17" s="127" t="s">
        <v>267</v>
      </c>
      <c r="H17" s="18">
        <v>995</v>
      </c>
      <c r="I17" s="16">
        <v>3110</v>
      </c>
      <c r="J17" s="16">
        <v>816</v>
      </c>
      <c r="K17" s="16">
        <v>1077</v>
      </c>
      <c r="L17" s="202">
        <v>1301</v>
      </c>
      <c r="M17" s="202">
        <v>1372</v>
      </c>
      <c r="N17" s="202">
        <v>1075</v>
      </c>
      <c r="O17" s="202">
        <v>1298</v>
      </c>
      <c r="P17" s="202">
        <v>1522</v>
      </c>
      <c r="Q17" s="202">
        <v>1532</v>
      </c>
      <c r="R17" s="202">
        <f>VLOOKUP(B17,'2022 Count Table'!A17:X200,11)</f>
        <v>1599</v>
      </c>
      <c r="S17" s="19">
        <f t="shared" si="0"/>
        <v>2302.6000000000058</v>
      </c>
      <c r="T17" s="20">
        <f t="shared" si="1"/>
        <v>7.4999999999999997E-2</v>
      </c>
      <c r="U17" s="21">
        <v>0.34375</v>
      </c>
      <c r="V17" s="16">
        <v>109</v>
      </c>
      <c r="W17" s="16">
        <v>73</v>
      </c>
      <c r="X17" s="16">
        <v>36</v>
      </c>
      <c r="Y17" s="22">
        <v>7.1616294349540074E-2</v>
      </c>
      <c r="Z17" s="23">
        <v>0.66972477064220182</v>
      </c>
      <c r="AA17" s="21">
        <f>VLOOKUP(B17,'2022 Count Table'!A17:X200,19)</f>
        <v>0.70833333333333337</v>
      </c>
      <c r="AB17" s="16">
        <f>VLOOKUP($B17,'2022 Count Table'!A17:X200,20)</f>
        <v>168</v>
      </c>
      <c r="AC17" s="16">
        <f>VLOOKUP($B17,'2022 Count Table'!A17:X200,21)</f>
        <v>65</v>
      </c>
      <c r="AD17" s="16">
        <f>VLOOKUP($B17,'2022 Count Table'!A17:X200,22)</f>
        <v>103</v>
      </c>
      <c r="AE17" s="22">
        <f>VLOOKUP($B17,'2022 Count Table'!A17:X200,23)</f>
        <v>0.1050656660412758</v>
      </c>
      <c r="AF17" s="23">
        <f>VLOOKUP($B17,'2022 Count Table'!A17:X200,24)</f>
        <v>0.61309523809523814</v>
      </c>
      <c r="AG17" s="24">
        <v>2</v>
      </c>
      <c r="AH17" s="25">
        <v>35</v>
      </c>
      <c r="AI17" s="18" t="s">
        <v>268</v>
      </c>
      <c r="AJ17" s="16" t="s">
        <v>268</v>
      </c>
      <c r="AK17" s="16" t="s">
        <v>268</v>
      </c>
      <c r="AL17" s="16" t="s">
        <v>268</v>
      </c>
      <c r="AM17" s="16" t="s">
        <v>268</v>
      </c>
      <c r="AN17" s="128" t="s">
        <v>268</v>
      </c>
      <c r="AO17" s="131">
        <f t="shared" si="2"/>
        <v>1744.3595715883603</v>
      </c>
      <c r="AP17" s="128">
        <f t="shared" si="3"/>
        <v>1066.0404284116398</v>
      </c>
    </row>
    <row r="18" spans="1:42" s="205" customFormat="1" ht="18.95" customHeight="1">
      <c r="A18" s="184">
        <v>9</v>
      </c>
      <c r="B18" s="184">
        <f>VLOOKUP(C18,'station changes (20-21)'!$A$3:$D$298,4,)</f>
        <v>13</v>
      </c>
      <c r="C18" s="184">
        <v>9</v>
      </c>
      <c r="D18" s="185" t="s">
        <v>24</v>
      </c>
      <c r="E18" s="185" t="s">
        <v>270</v>
      </c>
      <c r="F18" s="186" t="s">
        <v>243</v>
      </c>
      <c r="G18" s="187" t="s">
        <v>267</v>
      </c>
      <c r="H18" s="188">
        <v>1428</v>
      </c>
      <c r="I18" s="189">
        <v>2324</v>
      </c>
      <c r="J18" s="189">
        <v>4180</v>
      </c>
      <c r="K18" s="189">
        <v>5621</v>
      </c>
      <c r="L18" s="174">
        <v>6127</v>
      </c>
      <c r="M18" s="309">
        <v>7279</v>
      </c>
      <c r="N18" s="309">
        <v>7215</v>
      </c>
      <c r="O18" s="309">
        <v>6664</v>
      </c>
      <c r="P18" s="174">
        <f>_xlfn.FORECAST.LINEAR($P$5,$K18:$O18,$K$5:$O$5)</f>
        <v>7533.4000000000233</v>
      </c>
      <c r="Q18" s="174">
        <v>5926</v>
      </c>
      <c r="R18" s="174">
        <f>VLOOKUP(B18,'2022 Count Table'!A18:X201,11)</f>
        <v>7827</v>
      </c>
      <c r="S18" s="175">
        <f t="shared" si="0"/>
        <v>7373.2799999999988</v>
      </c>
      <c r="T18" s="176">
        <f t="shared" si="1"/>
        <v>0</v>
      </c>
      <c r="U18" s="192">
        <v>0.44791666666666702</v>
      </c>
      <c r="V18" s="189">
        <v>573</v>
      </c>
      <c r="W18" s="189">
        <v>306</v>
      </c>
      <c r="X18" s="189">
        <v>267</v>
      </c>
      <c r="Y18" s="193">
        <v>8.5984393757502997E-2</v>
      </c>
      <c r="Z18" s="194">
        <v>0.53403141361256545</v>
      </c>
      <c r="AA18" s="192">
        <f>VLOOKUP(B18,'2022 Count Table'!A18:X201,19)</f>
        <v>0.58333333333333337</v>
      </c>
      <c r="AB18" s="189">
        <f>VLOOKUP($B18,'2022 Count Table'!A18:X201,20)</f>
        <v>681</v>
      </c>
      <c r="AC18" s="189">
        <f>VLOOKUP($B18,'2022 Count Table'!A18:X201,21)</f>
        <v>307</v>
      </c>
      <c r="AD18" s="189">
        <f>VLOOKUP($B18,'2022 Count Table'!A18:X201,22)</f>
        <v>374</v>
      </c>
      <c r="AE18" s="193">
        <f>VLOOKUP($B18,'2022 Count Table'!A18:X201,23)</f>
        <v>8.700651590647758E-2</v>
      </c>
      <c r="AF18" s="194">
        <f>VLOOKUP($B18,'2022 Count Table'!A18:X201,24)</f>
        <v>0.54919236417033779</v>
      </c>
      <c r="AG18" s="195">
        <v>4</v>
      </c>
      <c r="AH18" s="196">
        <v>35</v>
      </c>
      <c r="AI18" s="188" t="s">
        <v>268</v>
      </c>
      <c r="AJ18" s="189" t="s">
        <v>268</v>
      </c>
      <c r="AK18" s="189" t="s">
        <v>268</v>
      </c>
      <c r="AL18" s="189" t="s">
        <v>268</v>
      </c>
      <c r="AM18" s="189" t="s">
        <v>268</v>
      </c>
      <c r="AN18" s="197" t="s">
        <v>268</v>
      </c>
      <c r="AO18" s="198">
        <f t="shared" si="2"/>
        <v>8213.6674399636922</v>
      </c>
      <c r="AP18" s="197">
        <f t="shared" si="3"/>
        <v>5852.4925600363167</v>
      </c>
    </row>
    <row r="19" spans="1:42" s="162" customFormat="1" ht="18.95" customHeight="1">
      <c r="A19" s="125">
        <v>354</v>
      </c>
      <c r="B19" s="125">
        <f>VLOOKUP(C19,'station changes (20-21)'!$A$3:$D$298,4,)</f>
        <v>14</v>
      </c>
      <c r="C19" s="125">
        <v>354</v>
      </c>
      <c r="D19" s="126" t="s">
        <v>24</v>
      </c>
      <c r="E19" s="126" t="s">
        <v>443</v>
      </c>
      <c r="F19" s="17">
        <v>43887</v>
      </c>
      <c r="G19" s="127" t="s">
        <v>267</v>
      </c>
      <c r="H19" s="18">
        <v>830</v>
      </c>
      <c r="I19" s="16">
        <v>1122</v>
      </c>
      <c r="J19" s="16">
        <v>1262</v>
      </c>
      <c r="K19" s="16">
        <v>1113</v>
      </c>
      <c r="L19" s="202">
        <v>859</v>
      </c>
      <c r="M19" s="202">
        <v>1433</v>
      </c>
      <c r="N19" s="202">
        <v>1478</v>
      </c>
      <c r="O19" s="202">
        <v>1532</v>
      </c>
      <c r="P19" s="202">
        <v>1604</v>
      </c>
      <c r="Q19" s="202">
        <v>2312</v>
      </c>
      <c r="R19" s="202">
        <f>VLOOKUP(B19,'2022 Count Table'!A19:X202,11)</f>
        <v>3155</v>
      </c>
      <c r="S19" s="19">
        <f t="shared" si="0"/>
        <v>4909.9999999998836</v>
      </c>
      <c r="T19" s="20">
        <f t="shared" si="1"/>
        <v>9.2499999999999999E-2</v>
      </c>
      <c r="U19" s="21">
        <v>0.32291666666666702</v>
      </c>
      <c r="V19" s="16">
        <v>148</v>
      </c>
      <c r="W19" s="16">
        <v>55</v>
      </c>
      <c r="X19" s="16">
        <v>93</v>
      </c>
      <c r="Y19" s="22">
        <v>9.2269326683291769E-2</v>
      </c>
      <c r="Z19" s="23">
        <v>0.6283783783783784</v>
      </c>
      <c r="AA19" s="21">
        <f>VLOOKUP(B19,'2022 Count Table'!A19:X202,19)</f>
        <v>0.625</v>
      </c>
      <c r="AB19" s="16">
        <f>VLOOKUP($B19,'2022 Count Table'!A19:X202,20)</f>
        <v>293</v>
      </c>
      <c r="AC19" s="16">
        <f>VLOOKUP($B19,'2022 Count Table'!A19:X202,21)</f>
        <v>119</v>
      </c>
      <c r="AD19" s="16">
        <f>VLOOKUP($B19,'2022 Count Table'!A19:X202,22)</f>
        <v>174</v>
      </c>
      <c r="AE19" s="22">
        <f>VLOOKUP($B19,'2022 Count Table'!A19:X202,23)</f>
        <v>9.2868462757527734E-2</v>
      </c>
      <c r="AF19" s="23">
        <f>VLOOKUP($B19,'2022 Count Table'!A19:X202,24)</f>
        <v>0.59385665529010234</v>
      </c>
      <c r="AG19" s="24">
        <v>2</v>
      </c>
      <c r="AH19" s="25">
        <v>25</v>
      </c>
      <c r="AI19" s="18" t="s">
        <v>268</v>
      </c>
      <c r="AJ19" s="16" t="s">
        <v>268</v>
      </c>
      <c r="AK19" s="16" t="s">
        <v>268</v>
      </c>
      <c r="AL19" s="16" t="s">
        <v>268</v>
      </c>
      <c r="AM19" s="16" t="s">
        <v>268</v>
      </c>
      <c r="AN19" s="128" t="s">
        <v>268</v>
      </c>
      <c r="AO19" s="131">
        <f t="shared" si="2"/>
        <v>3144.4766681980091</v>
      </c>
      <c r="AP19" s="128">
        <f t="shared" si="3"/>
        <v>887.92333180199125</v>
      </c>
    </row>
    <row r="20" spans="1:42" s="205" customFormat="1" ht="18.95" customHeight="1">
      <c r="A20" s="125">
        <v>1120</v>
      </c>
      <c r="B20" s="125">
        <f>VLOOKUP(C20,'station changes (20-21)'!$A$3:$D$298,4,)</f>
        <v>15</v>
      </c>
      <c r="C20" s="125">
        <v>1120</v>
      </c>
      <c r="D20" s="126" t="s">
        <v>24</v>
      </c>
      <c r="E20" s="126" t="s">
        <v>526</v>
      </c>
      <c r="F20" s="17">
        <v>43860</v>
      </c>
      <c r="G20" s="127" t="s">
        <v>267</v>
      </c>
      <c r="H20" s="18">
        <v>1565</v>
      </c>
      <c r="I20" s="16">
        <v>1583</v>
      </c>
      <c r="J20" s="16">
        <v>2602</v>
      </c>
      <c r="K20" s="16">
        <v>2915</v>
      </c>
      <c r="L20" s="202">
        <v>2686</v>
      </c>
      <c r="M20" s="202"/>
      <c r="N20" s="202">
        <v>3141</v>
      </c>
      <c r="O20" s="202">
        <v>3032</v>
      </c>
      <c r="P20" s="202">
        <v>3161</v>
      </c>
      <c r="Q20" s="202">
        <v>3025</v>
      </c>
      <c r="R20" s="202">
        <f>VLOOKUP(B20,'2022 Count Table'!A20:X203,11)</f>
        <v>3462</v>
      </c>
      <c r="S20" s="19">
        <f t="shared" si="0"/>
        <v>3608.6999999999971</v>
      </c>
      <c r="T20" s="20">
        <f t="shared" si="1"/>
        <v>7.4999999999999997E-3</v>
      </c>
      <c r="U20" s="21">
        <v>0.48958333333333298</v>
      </c>
      <c r="V20" s="16">
        <v>279</v>
      </c>
      <c r="W20" s="16">
        <v>138</v>
      </c>
      <c r="X20" s="16">
        <v>141</v>
      </c>
      <c r="Y20" s="22">
        <v>8.8263207845618474E-2</v>
      </c>
      <c r="Z20" s="23">
        <v>0.5053763440860215</v>
      </c>
      <c r="AA20" s="21">
        <f>VLOOKUP(B20,'2022 Count Table'!A20:X203,19)</f>
        <v>0.64583333333333337</v>
      </c>
      <c r="AB20" s="16">
        <f>VLOOKUP($B20,'2022 Count Table'!A20:X203,20)</f>
        <v>322</v>
      </c>
      <c r="AC20" s="16">
        <f>VLOOKUP($B20,'2022 Count Table'!A20:X203,21)</f>
        <v>178</v>
      </c>
      <c r="AD20" s="16">
        <f>VLOOKUP($B20,'2022 Count Table'!A20:X203,22)</f>
        <v>144</v>
      </c>
      <c r="AE20" s="22">
        <f>VLOOKUP($B20,'2022 Count Table'!A20:X203,23)</f>
        <v>9.3009820912767188E-2</v>
      </c>
      <c r="AF20" s="23">
        <f>VLOOKUP($B20,'2022 Count Table'!A20:X203,24)</f>
        <v>0.55279503105590067</v>
      </c>
      <c r="AG20" s="24">
        <v>4</v>
      </c>
      <c r="AH20" s="25">
        <v>35</v>
      </c>
      <c r="AI20" s="18" t="s">
        <v>268</v>
      </c>
      <c r="AJ20" s="16" t="s">
        <v>268</v>
      </c>
      <c r="AK20" s="16" t="s">
        <v>268</v>
      </c>
      <c r="AL20" s="16" t="s">
        <v>268</v>
      </c>
      <c r="AM20" s="16" t="s">
        <v>268</v>
      </c>
      <c r="AN20" s="128" t="s">
        <v>268</v>
      </c>
      <c r="AO20" s="131">
        <f t="shared" si="2"/>
        <v>3442.0995591936048</v>
      </c>
      <c r="AP20" s="128">
        <f t="shared" si="3"/>
        <v>2886.3004408063948</v>
      </c>
    </row>
    <row r="21" spans="1:42" s="162" customFormat="1" ht="18.95" customHeight="1">
      <c r="A21" s="184">
        <v>11</v>
      </c>
      <c r="B21" s="184">
        <f>VLOOKUP(C21,'station changes (20-21)'!$A$3:$D$298,4,)</f>
        <v>16</v>
      </c>
      <c r="C21" s="184">
        <v>11</v>
      </c>
      <c r="D21" s="185" t="s">
        <v>272</v>
      </c>
      <c r="E21" s="185" t="s">
        <v>273</v>
      </c>
      <c r="F21" s="186">
        <v>43860</v>
      </c>
      <c r="G21" s="187" t="s">
        <v>267</v>
      </c>
      <c r="H21" s="188">
        <v>692</v>
      </c>
      <c r="I21" s="189">
        <v>488</v>
      </c>
      <c r="J21" s="189">
        <v>621</v>
      </c>
      <c r="K21" s="189">
        <v>587</v>
      </c>
      <c r="L21" s="174">
        <v>498</v>
      </c>
      <c r="M21" s="174">
        <v>1151</v>
      </c>
      <c r="N21" s="174">
        <v>802</v>
      </c>
      <c r="O21" s="174">
        <v>825</v>
      </c>
      <c r="P21" s="174">
        <v>776</v>
      </c>
      <c r="Q21" s="174">
        <v>780</v>
      </c>
      <c r="R21" s="174">
        <f>VLOOKUP(B21,'2022 Count Table'!A21:X204,11)</f>
        <v>844</v>
      </c>
      <c r="S21" s="175">
        <f t="shared" si="0"/>
        <v>832.69999999999982</v>
      </c>
      <c r="T21" s="176">
        <f t="shared" si="1"/>
        <v>0</v>
      </c>
      <c r="U21" s="192">
        <v>0.4375</v>
      </c>
      <c r="V21" s="189">
        <v>68</v>
      </c>
      <c r="W21" s="189">
        <v>49</v>
      </c>
      <c r="X21" s="189">
        <v>19</v>
      </c>
      <c r="Y21" s="193">
        <v>8.7628865979381437E-2</v>
      </c>
      <c r="Z21" s="194">
        <v>0.72058823529411764</v>
      </c>
      <c r="AA21" s="192">
        <f>VLOOKUP(B21,'2022 Count Table'!A21:X204,19)</f>
        <v>0.6875</v>
      </c>
      <c r="AB21" s="189">
        <f>VLOOKUP($B21,'2022 Count Table'!A21:X204,20)</f>
        <v>91</v>
      </c>
      <c r="AC21" s="189">
        <f>VLOOKUP($B21,'2022 Count Table'!A21:X204,21)</f>
        <v>19</v>
      </c>
      <c r="AD21" s="189">
        <f>VLOOKUP($B21,'2022 Count Table'!A21:X204,22)</f>
        <v>72</v>
      </c>
      <c r="AE21" s="193">
        <f>VLOOKUP($B21,'2022 Count Table'!A21:X204,23)</f>
        <v>0.10781990521327015</v>
      </c>
      <c r="AF21" s="194">
        <f>VLOOKUP($B21,'2022 Count Table'!A21:X204,24)</f>
        <v>0.79120879120879117</v>
      </c>
      <c r="AG21" s="195">
        <v>2</v>
      </c>
      <c r="AH21" s="196">
        <v>45</v>
      </c>
      <c r="AI21" s="188" t="s">
        <v>268</v>
      </c>
      <c r="AJ21" s="189" t="s">
        <v>268</v>
      </c>
      <c r="AK21" s="189" t="s">
        <v>268</v>
      </c>
      <c r="AL21" s="189" t="s">
        <v>268</v>
      </c>
      <c r="AM21" s="189" t="s">
        <v>268</v>
      </c>
      <c r="AN21" s="197" t="s">
        <v>268</v>
      </c>
      <c r="AO21" s="198">
        <f t="shared" si="2"/>
        <v>851.00219292972656</v>
      </c>
      <c r="AP21" s="197">
        <f t="shared" si="3"/>
        <v>759.79780707027339</v>
      </c>
    </row>
    <row r="22" spans="1:42" s="205" customFormat="1" ht="18.95" customHeight="1">
      <c r="A22" s="184">
        <v>13</v>
      </c>
      <c r="B22" s="184">
        <f>VLOOKUP(C22,'station changes (20-21)'!$A$3:$D$298,4,)</f>
        <v>17</v>
      </c>
      <c r="C22" s="184">
        <v>13</v>
      </c>
      <c r="D22" s="185" t="s">
        <v>274</v>
      </c>
      <c r="E22" s="185" t="s">
        <v>276</v>
      </c>
      <c r="F22" s="186">
        <v>43879</v>
      </c>
      <c r="G22" s="187" t="s">
        <v>267</v>
      </c>
      <c r="H22" s="188">
        <v>2196</v>
      </c>
      <c r="I22" s="189">
        <v>2138</v>
      </c>
      <c r="J22" s="189">
        <v>2291</v>
      </c>
      <c r="K22" s="189">
        <v>2540</v>
      </c>
      <c r="L22" s="174">
        <v>2502</v>
      </c>
      <c r="M22" s="174"/>
      <c r="N22" s="174">
        <v>2644</v>
      </c>
      <c r="O22" s="174">
        <v>2888</v>
      </c>
      <c r="P22" s="174">
        <v>3117</v>
      </c>
      <c r="Q22" s="174">
        <v>3037</v>
      </c>
      <c r="R22" s="174">
        <f>VLOOKUP(B22,'2022 Count Table'!A22:X205,11)</f>
        <v>2842</v>
      </c>
      <c r="S22" s="175">
        <f>_xlfn.FORECAST.LINEAR($S$5,$N22:$R22,$N$5:$R$5)</f>
        <v>3287.1000000000058</v>
      </c>
      <c r="T22" s="176">
        <f t="shared" si="1"/>
        <v>0.03</v>
      </c>
      <c r="U22" s="192">
        <v>0.3125</v>
      </c>
      <c r="V22" s="189">
        <v>301</v>
      </c>
      <c r="W22" s="189">
        <v>190</v>
      </c>
      <c r="X22" s="189">
        <v>111</v>
      </c>
      <c r="Y22" s="193">
        <v>9.6567212062880978E-2</v>
      </c>
      <c r="Z22" s="194">
        <v>0.6312292358803987</v>
      </c>
      <c r="AA22" s="192">
        <f>VLOOKUP(B22,'2022 Count Table'!A22:X205,19)</f>
        <v>0.69791666666666663</v>
      </c>
      <c r="AB22" s="189">
        <f>VLOOKUP($B22,'2022 Count Table'!A22:X205,20)</f>
        <v>361</v>
      </c>
      <c r="AC22" s="189">
        <f>VLOOKUP($B22,'2022 Count Table'!A22:X205,21)</f>
        <v>111</v>
      </c>
      <c r="AD22" s="189">
        <f>VLOOKUP($B22,'2022 Count Table'!A22:X205,22)</f>
        <v>250</v>
      </c>
      <c r="AE22" s="193">
        <f>VLOOKUP($B22,'2022 Count Table'!A22:X205,23)</f>
        <v>0.12702322308233638</v>
      </c>
      <c r="AF22" s="194">
        <f>VLOOKUP($B22,'2022 Count Table'!A22:X205,24)</f>
        <v>0.69252077562326875</v>
      </c>
      <c r="AG22" s="195">
        <v>2</v>
      </c>
      <c r="AH22" s="196">
        <v>45</v>
      </c>
      <c r="AI22" s="188" t="s">
        <v>268</v>
      </c>
      <c r="AJ22" s="189" t="s">
        <v>268</v>
      </c>
      <c r="AK22" s="189" t="s">
        <v>268</v>
      </c>
      <c r="AL22" s="189" t="s">
        <v>268</v>
      </c>
      <c r="AM22" s="189" t="s">
        <v>268</v>
      </c>
      <c r="AN22" s="197" t="s">
        <v>268</v>
      </c>
      <c r="AO22" s="198">
        <f t="shared" si="2"/>
        <v>3192.8828484264245</v>
      </c>
      <c r="AP22" s="197">
        <f t="shared" si="3"/>
        <v>2618.3171515735753</v>
      </c>
    </row>
    <row r="23" spans="1:42" s="162" customFormat="1" ht="18.95" customHeight="1">
      <c r="A23" s="125">
        <v>14</v>
      </c>
      <c r="B23" s="125">
        <f>VLOOKUP(C23,'station changes (20-21)'!$A$3:$D$298,4,)</f>
        <v>18</v>
      </c>
      <c r="C23" s="125">
        <v>14</v>
      </c>
      <c r="D23" s="126" t="s">
        <v>274</v>
      </c>
      <c r="E23" s="126" t="s">
        <v>277</v>
      </c>
      <c r="F23" s="17">
        <v>43873</v>
      </c>
      <c r="G23" s="127" t="s">
        <v>267</v>
      </c>
      <c r="H23" s="18">
        <v>2456</v>
      </c>
      <c r="I23" s="16">
        <v>2458</v>
      </c>
      <c r="J23" s="16">
        <v>2450</v>
      </c>
      <c r="K23" s="16">
        <v>2856</v>
      </c>
      <c r="L23" s="202">
        <v>3109</v>
      </c>
      <c r="M23" s="202">
        <v>3044</v>
      </c>
      <c r="N23" s="202">
        <v>3331</v>
      </c>
      <c r="O23" s="202">
        <v>3385</v>
      </c>
      <c r="P23" s="202">
        <v>3140</v>
      </c>
      <c r="Q23" s="202">
        <v>3255</v>
      </c>
      <c r="R23" s="202">
        <f>VLOOKUP(B23,'2022 Count Table'!A23:X206,11)</f>
        <v>3348</v>
      </c>
      <c r="S23" s="19">
        <f t="shared" si="0"/>
        <v>3224.5999999999985</v>
      </c>
      <c r="T23" s="20">
        <f t="shared" si="1"/>
        <v>0</v>
      </c>
      <c r="U23" s="21">
        <v>0.29166666666666702</v>
      </c>
      <c r="V23" s="16">
        <v>259</v>
      </c>
      <c r="W23" s="16">
        <v>195</v>
      </c>
      <c r="X23" s="16">
        <v>64</v>
      </c>
      <c r="Y23" s="22">
        <v>8.2484076433121015E-2</v>
      </c>
      <c r="Z23" s="23">
        <v>0.75289575289575295</v>
      </c>
      <c r="AA23" s="21">
        <f>VLOOKUP(B23,'2022 Count Table'!A23:X206,19)</f>
        <v>0.69791666666666663</v>
      </c>
      <c r="AB23" s="16">
        <f>VLOOKUP($B23,'2022 Count Table'!A23:X206,20)</f>
        <v>398</v>
      </c>
      <c r="AC23" s="16">
        <f>VLOOKUP($B23,'2022 Count Table'!A23:X206,21)</f>
        <v>112</v>
      </c>
      <c r="AD23" s="16">
        <f>VLOOKUP($B23,'2022 Count Table'!A23:X206,22)</f>
        <v>286</v>
      </c>
      <c r="AE23" s="22">
        <f>VLOOKUP($B23,'2022 Count Table'!A23:X206,23)</f>
        <v>0.11887694145758662</v>
      </c>
      <c r="AF23" s="23">
        <f>VLOOKUP($B23,'2022 Count Table'!A23:X206,24)</f>
        <v>0.71859296482412061</v>
      </c>
      <c r="AG23" s="24">
        <v>2</v>
      </c>
      <c r="AH23" s="25">
        <v>55</v>
      </c>
      <c r="AI23" s="18" t="s">
        <v>268</v>
      </c>
      <c r="AJ23" s="16" t="s">
        <v>268</v>
      </c>
      <c r="AK23" s="16" t="s">
        <v>268</v>
      </c>
      <c r="AL23" s="16" t="s">
        <v>268</v>
      </c>
      <c r="AM23" s="16" t="s">
        <v>268</v>
      </c>
      <c r="AN23" s="128" t="s">
        <v>268</v>
      </c>
      <c r="AO23" s="131">
        <f t="shared" si="2"/>
        <v>3443.9167807968602</v>
      </c>
      <c r="AP23" s="128">
        <f t="shared" si="3"/>
        <v>3139.6832192031402</v>
      </c>
    </row>
    <row r="24" spans="1:42" s="205" customFormat="1" ht="18.95" customHeight="1">
      <c r="A24" s="210">
        <v>15</v>
      </c>
      <c r="B24" s="210">
        <f>VLOOKUP(C24,'station changes (20-21)'!$A$3:$D$298,4,)</f>
        <v>19</v>
      </c>
      <c r="C24" s="210">
        <v>15</v>
      </c>
      <c r="D24" s="211" t="s">
        <v>274</v>
      </c>
      <c r="E24" s="211" t="s">
        <v>278</v>
      </c>
      <c r="F24" s="212">
        <v>43860</v>
      </c>
      <c r="G24" s="213" t="s">
        <v>267</v>
      </c>
      <c r="H24" s="214">
        <v>5965</v>
      </c>
      <c r="I24" s="215">
        <v>6561.5</v>
      </c>
      <c r="J24" s="215">
        <v>8545</v>
      </c>
      <c r="K24" s="215">
        <v>9051</v>
      </c>
      <c r="L24" s="216">
        <v>8865</v>
      </c>
      <c r="M24" s="216">
        <v>9819</v>
      </c>
      <c r="N24" s="216">
        <v>10876</v>
      </c>
      <c r="O24" s="216">
        <v>12120</v>
      </c>
      <c r="P24" s="216">
        <v>11882</v>
      </c>
      <c r="Q24" s="216">
        <v>11417</v>
      </c>
      <c r="R24" s="216">
        <f>VLOOKUP(B24,'2022 Count Table'!A24:X207,11)</f>
        <v>11646</v>
      </c>
      <c r="S24" s="217">
        <f t="shared" si="0"/>
        <v>12174.100000000006</v>
      </c>
      <c r="T24" s="218">
        <f t="shared" si="1"/>
        <v>0.01</v>
      </c>
      <c r="U24" s="219">
        <v>0.46875</v>
      </c>
      <c r="V24" s="215">
        <v>879</v>
      </c>
      <c r="W24" s="215">
        <v>424</v>
      </c>
      <c r="X24" s="215">
        <v>455</v>
      </c>
      <c r="Y24" s="220">
        <v>7.3977444874600229E-2</v>
      </c>
      <c r="Z24" s="221">
        <v>0.51763367463026166</v>
      </c>
      <c r="AA24" s="219">
        <f>VLOOKUP(B24,'2022 Count Table'!A24:X207,19)</f>
        <v>0.6875</v>
      </c>
      <c r="AB24" s="215">
        <f>VLOOKUP($B24,'2022 Count Table'!A24:X207,20)</f>
        <v>1131</v>
      </c>
      <c r="AC24" s="215">
        <f>VLOOKUP($B24,'2022 Count Table'!A24:X207,21)</f>
        <v>406</v>
      </c>
      <c r="AD24" s="215">
        <f>VLOOKUP($B24,'2022 Count Table'!A24:X207,22)</f>
        <v>725</v>
      </c>
      <c r="AE24" s="220">
        <f>VLOOKUP($B24,'2022 Count Table'!A24:X207,23)</f>
        <v>9.7114889232354451E-2</v>
      </c>
      <c r="AF24" s="221">
        <f>VLOOKUP($B24,'2022 Count Table'!A24:X207,24)</f>
        <v>0.64102564102564108</v>
      </c>
      <c r="AG24" s="222">
        <v>2</v>
      </c>
      <c r="AH24" s="223">
        <v>45</v>
      </c>
      <c r="AI24" s="214" t="s">
        <v>268</v>
      </c>
      <c r="AJ24" s="215" t="s">
        <v>268</v>
      </c>
      <c r="AK24" s="215" t="s">
        <v>268</v>
      </c>
      <c r="AL24" s="215" t="s">
        <v>268</v>
      </c>
      <c r="AM24" s="215" t="s">
        <v>268</v>
      </c>
      <c r="AN24" s="224" t="s">
        <v>268</v>
      </c>
      <c r="AO24" s="225">
        <f t="shared" si="2"/>
        <v>12334.368807978464</v>
      </c>
      <c r="AP24" s="224">
        <f t="shared" si="3"/>
        <v>10842.031192021537</v>
      </c>
    </row>
    <row r="25" spans="1:42" s="162" customFormat="1" ht="18.95" customHeight="1">
      <c r="A25" s="210">
        <v>17</v>
      </c>
      <c r="B25" s="210">
        <f>VLOOKUP(C25,'station changes (20-21)'!$A$3:$D$298,4,)</f>
        <v>20</v>
      </c>
      <c r="C25" s="210">
        <v>17</v>
      </c>
      <c r="D25" s="211" t="s">
        <v>274</v>
      </c>
      <c r="E25" s="211" t="s">
        <v>280</v>
      </c>
      <c r="F25" s="212">
        <v>43865</v>
      </c>
      <c r="G25" s="213" t="s">
        <v>267</v>
      </c>
      <c r="H25" s="214">
        <v>7706</v>
      </c>
      <c r="I25" s="215">
        <v>8553</v>
      </c>
      <c r="J25" s="215">
        <v>11194</v>
      </c>
      <c r="K25" s="215">
        <v>11688</v>
      </c>
      <c r="L25" s="216">
        <v>10926</v>
      </c>
      <c r="M25" s="216">
        <v>9833</v>
      </c>
      <c r="N25" s="216">
        <v>10954</v>
      </c>
      <c r="O25" s="216">
        <v>11810</v>
      </c>
      <c r="P25" s="216">
        <v>13297</v>
      </c>
      <c r="Q25" s="216">
        <v>12976</v>
      </c>
      <c r="R25" s="216">
        <f>VLOOKUP(B25,'2022 Count Table'!A25:X208,11)</f>
        <v>13377</v>
      </c>
      <c r="S25" s="217">
        <f t="shared" si="0"/>
        <v>16691.200000000186</v>
      </c>
      <c r="T25" s="218">
        <f t="shared" si="1"/>
        <v>4.4999999999999998E-2</v>
      </c>
      <c r="U25" s="219">
        <v>0.3125</v>
      </c>
      <c r="V25" s="215">
        <v>1102</v>
      </c>
      <c r="W25" s="215">
        <v>456</v>
      </c>
      <c r="X25" s="215">
        <v>646</v>
      </c>
      <c r="Y25" s="220">
        <v>8.2875836654884558E-2</v>
      </c>
      <c r="Z25" s="221">
        <v>0.58620689655172409</v>
      </c>
      <c r="AA25" s="219">
        <f>VLOOKUP(B25,'2022 Count Table'!A25:X208,19)</f>
        <v>0.6875</v>
      </c>
      <c r="AB25" s="215">
        <f>VLOOKUP($B25,'2022 Count Table'!A25:X208,20)</f>
        <v>1166</v>
      </c>
      <c r="AC25" s="215">
        <f>VLOOKUP($B25,'2022 Count Table'!A25:X208,21)</f>
        <v>733</v>
      </c>
      <c r="AD25" s="215">
        <f>VLOOKUP($B25,'2022 Count Table'!A25:X208,22)</f>
        <v>433</v>
      </c>
      <c r="AE25" s="220">
        <f>VLOOKUP($B25,'2022 Count Table'!A25:X208,23)</f>
        <v>8.7164536144127974E-2</v>
      </c>
      <c r="AF25" s="221">
        <f>VLOOKUP($B25,'2022 Count Table'!A25:X208,24)</f>
        <v>0.6286449399656947</v>
      </c>
      <c r="AG25" s="222">
        <v>2</v>
      </c>
      <c r="AH25" s="223">
        <v>45</v>
      </c>
      <c r="AI25" s="214" t="s">
        <v>268</v>
      </c>
      <c r="AJ25" s="215" t="s">
        <v>268</v>
      </c>
      <c r="AK25" s="215" t="s">
        <v>268</v>
      </c>
      <c r="AL25" s="215" t="s">
        <v>268</v>
      </c>
      <c r="AM25" s="215" t="s">
        <v>268</v>
      </c>
      <c r="AN25" s="224" t="s">
        <v>268</v>
      </c>
      <c r="AO25" s="225">
        <f t="shared" si="2"/>
        <v>14142.193297262585</v>
      </c>
      <c r="AP25" s="224">
        <f t="shared" si="3"/>
        <v>10823.406702737413</v>
      </c>
    </row>
    <row r="26" spans="1:42" s="205" customFormat="1" ht="18.95" customHeight="1">
      <c r="A26" s="184">
        <v>356</v>
      </c>
      <c r="B26" s="184">
        <f>VLOOKUP(C26,'station changes (20-21)'!$A$3:$D$298,4,)</f>
        <v>21</v>
      </c>
      <c r="C26" s="184">
        <v>356</v>
      </c>
      <c r="D26" s="185" t="s">
        <v>444</v>
      </c>
      <c r="E26" s="185" t="s">
        <v>445</v>
      </c>
      <c r="F26" s="186">
        <v>43859</v>
      </c>
      <c r="G26" s="187" t="s">
        <v>267</v>
      </c>
      <c r="H26" s="188">
        <v>1535</v>
      </c>
      <c r="I26" s="189">
        <v>1239</v>
      </c>
      <c r="J26" s="189">
        <v>1125</v>
      </c>
      <c r="K26" s="189">
        <v>1443</v>
      </c>
      <c r="L26" s="174">
        <v>1398</v>
      </c>
      <c r="M26" s="174">
        <v>2472</v>
      </c>
      <c r="N26" s="174">
        <v>1638</v>
      </c>
      <c r="O26" s="174">
        <v>1549</v>
      </c>
      <c r="P26" s="174">
        <v>1577</v>
      </c>
      <c r="Q26" s="174">
        <v>1612</v>
      </c>
      <c r="R26" s="174">
        <f>VLOOKUP(B26,'2022 Count Table'!A26:X209,11)</f>
        <v>1651</v>
      </c>
      <c r="S26" s="175">
        <f t="shared" si="0"/>
        <v>1667.6999999999989</v>
      </c>
      <c r="T26" s="176">
        <f t="shared" si="1"/>
        <v>2.5000000000000001E-3</v>
      </c>
      <c r="U26" s="192">
        <v>0.32291666666666702</v>
      </c>
      <c r="V26" s="189">
        <v>125</v>
      </c>
      <c r="W26" s="189">
        <v>93</v>
      </c>
      <c r="X26" s="189">
        <v>32</v>
      </c>
      <c r="Y26" s="193">
        <v>7.9264426125554857E-2</v>
      </c>
      <c r="Z26" s="194">
        <v>0.74399999999999999</v>
      </c>
      <c r="AA26" s="192">
        <f>VLOOKUP(B26,'2022 Count Table'!A26:X209,19)</f>
        <v>0.65625</v>
      </c>
      <c r="AB26" s="189">
        <f>VLOOKUP($B26,'2022 Count Table'!A26:X209,20)</f>
        <v>170</v>
      </c>
      <c r="AC26" s="189">
        <f>VLOOKUP($B26,'2022 Count Table'!A26:X209,21)</f>
        <v>66</v>
      </c>
      <c r="AD26" s="189">
        <f>VLOOKUP($B26,'2022 Count Table'!A26:X209,22)</f>
        <v>104</v>
      </c>
      <c r="AE26" s="193">
        <f>VLOOKUP($B26,'2022 Count Table'!A26:X209,23)</f>
        <v>0.1029678982434888</v>
      </c>
      <c r="AF26" s="194">
        <f>VLOOKUP($B26,'2022 Count Table'!A26:X209,24)</f>
        <v>0.61176470588235299</v>
      </c>
      <c r="AG26" s="195">
        <v>2</v>
      </c>
      <c r="AH26" s="196">
        <v>45</v>
      </c>
      <c r="AI26" s="188" t="s">
        <v>268</v>
      </c>
      <c r="AJ26" s="189" t="s">
        <v>268</v>
      </c>
      <c r="AK26" s="189" t="s">
        <v>268</v>
      </c>
      <c r="AL26" s="189" t="s">
        <v>268</v>
      </c>
      <c r="AM26" s="189" t="s">
        <v>268</v>
      </c>
      <c r="AN26" s="197" t="s">
        <v>268</v>
      </c>
      <c r="AO26" s="198">
        <f t="shared" si="2"/>
        <v>1671.6841232875568</v>
      </c>
      <c r="AP26" s="197">
        <f t="shared" si="3"/>
        <v>1539.1158767124434</v>
      </c>
    </row>
    <row r="27" spans="1:42" s="226" customFormat="1" ht="18.95" customHeight="1">
      <c r="A27" s="184">
        <v>19</v>
      </c>
      <c r="B27" s="184">
        <f>VLOOKUP(C27,'station changes (20-21)'!$A$3:$D$298,4,)</f>
        <v>22</v>
      </c>
      <c r="C27" s="184">
        <v>19</v>
      </c>
      <c r="D27" s="185" t="s">
        <v>16</v>
      </c>
      <c r="E27" s="185" t="s">
        <v>283</v>
      </c>
      <c r="F27" s="186">
        <v>43860</v>
      </c>
      <c r="G27" s="187" t="s">
        <v>267</v>
      </c>
      <c r="H27" s="188">
        <v>4922</v>
      </c>
      <c r="I27" s="189">
        <v>5257</v>
      </c>
      <c r="J27" s="189">
        <v>5232</v>
      </c>
      <c r="K27" s="189">
        <v>6028</v>
      </c>
      <c r="L27" s="174">
        <v>6721</v>
      </c>
      <c r="M27" s="174"/>
      <c r="N27" s="174">
        <v>6854</v>
      </c>
      <c r="O27" s="174">
        <v>7555</v>
      </c>
      <c r="P27" s="174">
        <v>8182</v>
      </c>
      <c r="Q27" s="174">
        <v>7972</v>
      </c>
      <c r="R27" s="174">
        <f>VLOOKUP(B27,'2022 Count Table'!A27:X210,11)</f>
        <v>8716</v>
      </c>
      <c r="S27" s="175">
        <f t="shared" si="0"/>
        <v>10754.500000000116</v>
      </c>
      <c r="T27" s="176">
        <f t="shared" si="1"/>
        <v>4.2500000000000003E-2</v>
      </c>
      <c r="U27" s="192">
        <v>0.28125</v>
      </c>
      <c r="V27" s="189">
        <v>562</v>
      </c>
      <c r="W27" s="189">
        <v>171</v>
      </c>
      <c r="X27" s="189">
        <v>391</v>
      </c>
      <c r="Y27" s="193">
        <v>6.8687362503055488E-2</v>
      </c>
      <c r="Z27" s="194">
        <v>0.69572953736654808</v>
      </c>
      <c r="AA27" s="192">
        <f>VLOOKUP(B27,'2022 Count Table'!A27:X210,19)</f>
        <v>0.65625</v>
      </c>
      <c r="AB27" s="189">
        <f>VLOOKUP($B27,'2022 Count Table'!A27:X210,20)</f>
        <v>764</v>
      </c>
      <c r="AC27" s="189">
        <f>VLOOKUP($B27,'2022 Count Table'!A27:X210,21)</f>
        <v>279</v>
      </c>
      <c r="AD27" s="189">
        <f>VLOOKUP($B27,'2022 Count Table'!A27:X210,22)</f>
        <v>485</v>
      </c>
      <c r="AE27" s="193">
        <f>VLOOKUP($B27,'2022 Count Table'!A27:X210,23)</f>
        <v>8.7654887563102343E-2</v>
      </c>
      <c r="AF27" s="194">
        <f>VLOOKUP($B27,'2022 Count Table'!A27:X210,24)</f>
        <v>0.63481675392670156</v>
      </c>
      <c r="AG27" s="195">
        <v>2</v>
      </c>
      <c r="AH27" s="196">
        <v>55</v>
      </c>
      <c r="AI27" s="188" t="s">
        <v>268</v>
      </c>
      <c r="AJ27" s="189" t="s">
        <v>268</v>
      </c>
      <c r="AK27" s="189" t="s">
        <v>268</v>
      </c>
      <c r="AL27" s="189" t="s">
        <v>268</v>
      </c>
      <c r="AM27" s="189" t="s">
        <v>268</v>
      </c>
      <c r="AN27" s="197" t="s">
        <v>268</v>
      </c>
      <c r="AO27" s="198">
        <f t="shared" si="2"/>
        <v>8949.7772803856569</v>
      </c>
      <c r="AP27" s="197">
        <f t="shared" si="3"/>
        <v>6761.8227196143425</v>
      </c>
    </row>
    <row r="28" spans="1:42" s="226" customFormat="1" ht="18.95" customHeight="1">
      <c r="A28" s="125">
        <v>20</v>
      </c>
      <c r="B28" s="125">
        <f>VLOOKUP(C28,'station changes (20-21)'!$A$3:$D$298,4,)</f>
        <v>23</v>
      </c>
      <c r="C28" s="125">
        <v>20</v>
      </c>
      <c r="D28" s="126" t="s">
        <v>16</v>
      </c>
      <c r="E28" s="126" t="s">
        <v>284</v>
      </c>
      <c r="F28" s="17">
        <v>43865</v>
      </c>
      <c r="G28" s="127" t="s">
        <v>267</v>
      </c>
      <c r="H28" s="18">
        <v>6253</v>
      </c>
      <c r="I28" s="16">
        <v>6471</v>
      </c>
      <c r="J28" s="16">
        <v>7325</v>
      </c>
      <c r="K28" s="16">
        <v>7676</v>
      </c>
      <c r="L28" s="202">
        <v>7117</v>
      </c>
      <c r="M28" s="202" t="s">
        <v>243</v>
      </c>
      <c r="N28" s="202">
        <v>8153</v>
      </c>
      <c r="O28" s="202">
        <v>8726</v>
      </c>
      <c r="P28" s="202">
        <v>8682</v>
      </c>
      <c r="Q28" s="202">
        <v>8946</v>
      </c>
      <c r="R28" s="202">
        <f>VLOOKUP(B28,'2022 Count Table'!A28:X211,11)</f>
        <v>9970</v>
      </c>
      <c r="S28" s="19">
        <f t="shared" si="0"/>
        <v>11593.199999999953</v>
      </c>
      <c r="T28" s="20">
        <f t="shared" si="1"/>
        <v>0.03</v>
      </c>
      <c r="U28" s="21">
        <v>0.32291666666666702</v>
      </c>
      <c r="V28" s="16">
        <v>635</v>
      </c>
      <c r="W28" s="16">
        <v>394</v>
      </c>
      <c r="X28" s="16">
        <v>241</v>
      </c>
      <c r="Y28" s="22">
        <v>7.3139829532365808E-2</v>
      </c>
      <c r="Z28" s="23">
        <v>0.62047244094488185</v>
      </c>
      <c r="AA28" s="21">
        <f>VLOOKUP(B28,'2022 Count Table'!A28:X211,19)</f>
        <v>0.6875</v>
      </c>
      <c r="AB28" s="16">
        <f>VLOOKUP($B28,'2022 Count Table'!A28:X211,20)</f>
        <v>839</v>
      </c>
      <c r="AC28" s="16">
        <f>VLOOKUP($B28,'2022 Count Table'!A28:X211,21)</f>
        <v>362</v>
      </c>
      <c r="AD28" s="16">
        <f>VLOOKUP($B28,'2022 Count Table'!A28:X211,22)</f>
        <v>477</v>
      </c>
      <c r="AE28" s="22">
        <f>VLOOKUP($B28,'2022 Count Table'!A28:X211,23)</f>
        <v>8.4152457372116352E-2</v>
      </c>
      <c r="AF28" s="23">
        <f>VLOOKUP($B28,'2022 Count Table'!A28:X211,24)</f>
        <v>0.56853396901072706</v>
      </c>
      <c r="AG28" s="24">
        <v>2</v>
      </c>
      <c r="AH28" s="25">
        <v>35</v>
      </c>
      <c r="AI28" s="18" t="s">
        <v>268</v>
      </c>
      <c r="AJ28" s="16" t="s">
        <v>268</v>
      </c>
      <c r="AK28" s="16" t="s">
        <v>268</v>
      </c>
      <c r="AL28" s="16" t="s">
        <v>268</v>
      </c>
      <c r="AM28" s="16" t="s">
        <v>268</v>
      </c>
      <c r="AN28" s="128" t="s">
        <v>268</v>
      </c>
      <c r="AO28" s="131">
        <f t="shared" si="2"/>
        <v>9940.3476111269883</v>
      </c>
      <c r="AP28" s="128">
        <f t="shared" si="3"/>
        <v>7850.4523888730109</v>
      </c>
    </row>
    <row r="29" spans="1:42" s="162" customFormat="1" ht="18.95" customHeight="1">
      <c r="A29" s="184">
        <v>22</v>
      </c>
      <c r="B29" s="184">
        <f>VLOOKUP(C29,'station changes (20-21)'!$A$3:$D$298,4,)</f>
        <v>24</v>
      </c>
      <c r="C29" s="184">
        <v>22</v>
      </c>
      <c r="D29" s="185" t="s">
        <v>16</v>
      </c>
      <c r="E29" s="185" t="s">
        <v>285</v>
      </c>
      <c r="F29" s="186">
        <v>43865</v>
      </c>
      <c r="G29" s="187" t="s">
        <v>267</v>
      </c>
      <c r="H29" s="188">
        <v>22379</v>
      </c>
      <c r="I29" s="189">
        <v>19345</v>
      </c>
      <c r="J29" s="189">
        <v>22576</v>
      </c>
      <c r="K29" s="189">
        <v>25799</v>
      </c>
      <c r="L29" s="174">
        <v>24533</v>
      </c>
      <c r="M29" s="174">
        <v>25692</v>
      </c>
      <c r="N29" s="174">
        <v>24995</v>
      </c>
      <c r="O29" s="174">
        <v>25324</v>
      </c>
      <c r="P29" s="174">
        <v>26459</v>
      </c>
      <c r="Q29" s="174">
        <v>25054</v>
      </c>
      <c r="R29" s="174">
        <f>VLOOKUP(B29,'2022 Count Table'!A29:X212,11)</f>
        <v>25468</v>
      </c>
      <c r="S29" s="175">
        <f t="shared" si="0"/>
        <v>25933.199999999983</v>
      </c>
      <c r="T29" s="176">
        <f>IF(S29&lt;R29,0,MROUND((S29/R29)^(1/5)-1,0.0025))</f>
        <v>2.5000000000000001E-3</v>
      </c>
      <c r="U29" s="192">
        <v>0.33333333333333298</v>
      </c>
      <c r="V29" s="189">
        <v>2097</v>
      </c>
      <c r="W29" s="189">
        <v>1078</v>
      </c>
      <c r="X29" s="189">
        <v>1019</v>
      </c>
      <c r="Y29" s="193">
        <v>7.9254695944669107E-2</v>
      </c>
      <c r="Z29" s="194">
        <v>0.51406771578445398</v>
      </c>
      <c r="AA29" s="192">
        <f>VLOOKUP(B29,'2022 Count Table'!A29:X212,19)</f>
        <v>0.58333333333333337</v>
      </c>
      <c r="AB29" s="189">
        <f>VLOOKUP($B29,'2022 Count Table'!A29:X212,20)</f>
        <v>2158</v>
      </c>
      <c r="AC29" s="189">
        <f>VLOOKUP($B29,'2022 Count Table'!A29:X212,21)</f>
        <v>1010</v>
      </c>
      <c r="AD29" s="189">
        <f>VLOOKUP($B29,'2022 Count Table'!A29:X212,22)</f>
        <v>1148</v>
      </c>
      <c r="AE29" s="193">
        <f>VLOOKUP($B29,'2022 Count Table'!A29:X212,23)</f>
        <v>8.4733783571540752E-2</v>
      </c>
      <c r="AF29" s="194">
        <f>VLOOKUP($B29,'2022 Count Table'!A29:X212,24)</f>
        <v>0.53197405004633924</v>
      </c>
      <c r="AG29" s="195">
        <v>5</v>
      </c>
      <c r="AH29" s="196">
        <v>45</v>
      </c>
      <c r="AI29" s="188" t="s">
        <v>268</v>
      </c>
      <c r="AJ29" s="189" t="s">
        <v>268</v>
      </c>
      <c r="AK29" s="189" t="s">
        <v>268</v>
      </c>
      <c r="AL29" s="189" t="s">
        <v>268</v>
      </c>
      <c r="AM29" s="189" t="s">
        <v>268</v>
      </c>
      <c r="AN29" s="197" t="s">
        <v>268</v>
      </c>
      <c r="AO29" s="198">
        <f t="shared" si="2"/>
        <v>26385.22617505127</v>
      </c>
      <c r="AP29" s="197">
        <f t="shared" si="3"/>
        <v>24534.77382494873</v>
      </c>
    </row>
    <row r="30" spans="1:42" s="205" customFormat="1" ht="18.95" customHeight="1">
      <c r="A30" s="184">
        <v>28</v>
      </c>
      <c r="B30" s="184">
        <f>VLOOKUP(C30,'station changes (20-21)'!$A$3:$D$298,4,)</f>
        <v>25</v>
      </c>
      <c r="C30" s="184">
        <v>28</v>
      </c>
      <c r="D30" s="185" t="s">
        <v>16</v>
      </c>
      <c r="E30" s="185" t="s">
        <v>287</v>
      </c>
      <c r="F30" s="186">
        <v>43887</v>
      </c>
      <c r="G30" s="187" t="s">
        <v>267</v>
      </c>
      <c r="H30" s="188">
        <v>24236</v>
      </c>
      <c r="I30" s="189">
        <v>24398</v>
      </c>
      <c r="J30" s="189">
        <v>24914</v>
      </c>
      <c r="K30" s="189">
        <v>27634</v>
      </c>
      <c r="L30" s="174">
        <v>26232</v>
      </c>
      <c r="M30" s="174">
        <v>26729</v>
      </c>
      <c r="N30" s="174">
        <v>24981</v>
      </c>
      <c r="O30" s="174">
        <v>25444</v>
      </c>
      <c r="P30" s="174">
        <v>23530</v>
      </c>
      <c r="Q30" s="174">
        <v>22767</v>
      </c>
      <c r="R30" s="174">
        <f>VLOOKUP(B30,'2022 Count Table'!A30:X213,11)</f>
        <v>24251</v>
      </c>
      <c r="S30" s="175">
        <f t="shared" si="0"/>
        <v>21298.699999999953</v>
      </c>
      <c r="T30" s="176">
        <f t="shared" si="1"/>
        <v>0</v>
      </c>
      <c r="U30" s="192">
        <v>0.48958333333333298</v>
      </c>
      <c r="V30" s="189">
        <v>2224</v>
      </c>
      <c r="W30" s="189">
        <v>1034</v>
      </c>
      <c r="X30" s="189">
        <v>1190</v>
      </c>
      <c r="Y30" s="193">
        <v>9.4517637059073525E-2</v>
      </c>
      <c r="Z30" s="194">
        <v>0.53507194244604317</v>
      </c>
      <c r="AA30" s="192">
        <f>VLOOKUP(B30,'2022 Count Table'!A30:X213,19)</f>
        <v>0.60416666666666663</v>
      </c>
      <c r="AB30" s="189">
        <f>VLOOKUP($B30,'2022 Count Table'!A30:X213,20)</f>
        <v>2252</v>
      </c>
      <c r="AC30" s="189">
        <f>VLOOKUP($B30,'2022 Count Table'!A30:X213,21)</f>
        <v>1121</v>
      </c>
      <c r="AD30" s="189">
        <f>VLOOKUP($B30,'2022 Count Table'!A30:X213,22)</f>
        <v>1131</v>
      </c>
      <c r="AE30" s="193">
        <f>VLOOKUP($B30,'2022 Count Table'!A30:X213,23)</f>
        <v>9.286215001443239E-2</v>
      </c>
      <c r="AF30" s="194">
        <f>VLOOKUP($B30,'2022 Count Table'!A30:X213,24)</f>
        <v>0.50222024866785075</v>
      </c>
      <c r="AG30" s="195">
        <v>5</v>
      </c>
      <c r="AH30" s="196">
        <v>45</v>
      </c>
      <c r="AI30" s="188" t="s">
        <v>268</v>
      </c>
      <c r="AJ30" s="189" t="s">
        <v>268</v>
      </c>
      <c r="AK30" s="189" t="s">
        <v>268</v>
      </c>
      <c r="AL30" s="189" t="s">
        <v>268</v>
      </c>
      <c r="AM30" s="189" t="s">
        <v>268</v>
      </c>
      <c r="AN30" s="197" t="s">
        <v>268</v>
      </c>
      <c r="AO30" s="198">
        <f t="shared" si="2"/>
        <v>25884.476914156767</v>
      </c>
      <c r="AP30" s="197">
        <f t="shared" si="3"/>
        <v>22504.72308584323</v>
      </c>
    </row>
    <row r="31" spans="1:42" s="162" customFormat="1" ht="18.95" customHeight="1">
      <c r="A31" s="125">
        <v>31</v>
      </c>
      <c r="B31" s="125">
        <f>VLOOKUP(C31,'station changes (20-21)'!$A$3:$D$298,4,)</f>
        <v>26</v>
      </c>
      <c r="C31" s="125">
        <v>31</v>
      </c>
      <c r="D31" s="126" t="s">
        <v>16</v>
      </c>
      <c r="E31" s="126" t="s">
        <v>288</v>
      </c>
      <c r="F31" s="17">
        <v>43887</v>
      </c>
      <c r="G31" s="127" t="s">
        <v>267</v>
      </c>
      <c r="H31" s="18">
        <v>29813</v>
      </c>
      <c r="I31" s="16">
        <v>18014</v>
      </c>
      <c r="J31" s="16">
        <v>30289</v>
      </c>
      <c r="K31" s="16">
        <v>21946</v>
      </c>
      <c r="L31" s="202">
        <v>31540</v>
      </c>
      <c r="M31" s="202">
        <v>31523</v>
      </c>
      <c r="N31" s="202">
        <v>29899</v>
      </c>
      <c r="O31" s="202">
        <v>31080</v>
      </c>
      <c r="P31" s="202">
        <v>31176</v>
      </c>
      <c r="Q31" s="202">
        <v>30363</v>
      </c>
      <c r="R31" s="202">
        <f>VLOOKUP(B31,'2022 Count Table'!A31:X214,11)</f>
        <v>27786</v>
      </c>
      <c r="S31" s="19">
        <f t="shared" si="0"/>
        <v>26600.70000000007</v>
      </c>
      <c r="T31" s="20">
        <f t="shared" si="1"/>
        <v>0</v>
      </c>
      <c r="U31" s="21">
        <v>0.45833333333333298</v>
      </c>
      <c r="V31" s="16">
        <v>2430</v>
      </c>
      <c r="W31" s="16">
        <v>1135</v>
      </c>
      <c r="X31" s="16">
        <v>1295</v>
      </c>
      <c r="Y31" s="22">
        <v>7.7944572748267896E-2</v>
      </c>
      <c r="Z31" s="23">
        <v>0.53292181069958844</v>
      </c>
      <c r="AA31" s="21">
        <f>VLOOKUP(B31,'2022 Count Table'!A31:X214,19)</f>
        <v>0.60416666666666663</v>
      </c>
      <c r="AB31" s="16">
        <f>VLOOKUP($B31,'2022 Count Table'!A31:X214,20)</f>
        <v>2485</v>
      </c>
      <c r="AC31" s="16">
        <f>VLOOKUP($B31,'2022 Count Table'!A31:X214,21)</f>
        <v>1228</v>
      </c>
      <c r="AD31" s="16">
        <f>VLOOKUP($B31,'2022 Count Table'!A31:X214,22)</f>
        <v>1257</v>
      </c>
      <c r="AE31" s="22">
        <f>VLOOKUP($B31,'2022 Count Table'!A31:X214,23)</f>
        <v>8.9433527675807964E-2</v>
      </c>
      <c r="AF31" s="23">
        <f>VLOOKUP($B31,'2022 Count Table'!A31:X214,24)</f>
        <v>0.50583501006036213</v>
      </c>
      <c r="AG31" s="24">
        <v>4</v>
      </c>
      <c r="AH31" s="25">
        <v>45</v>
      </c>
      <c r="AI31" s="18" t="s">
        <v>268</v>
      </c>
      <c r="AJ31" s="16" t="s">
        <v>268</v>
      </c>
      <c r="AK31" s="16" t="s">
        <v>268</v>
      </c>
      <c r="AL31" s="16" t="s">
        <v>268</v>
      </c>
      <c r="AM31" s="16" t="s">
        <v>268</v>
      </c>
      <c r="AN31" s="128" t="s">
        <v>268</v>
      </c>
      <c r="AO31" s="131">
        <f t="shared" si="2"/>
        <v>32214.744872785745</v>
      </c>
      <c r="AP31" s="128">
        <f t="shared" si="3"/>
        <v>27906.855127214254</v>
      </c>
    </row>
    <row r="32" spans="1:42" s="205" customFormat="1" ht="18.95" customHeight="1">
      <c r="A32" s="184">
        <v>34</v>
      </c>
      <c r="B32" s="184">
        <f>VLOOKUP(C32,'station changes (20-21)'!$A$3:$D$298,4,)</f>
        <v>27</v>
      </c>
      <c r="C32" s="184">
        <v>34</v>
      </c>
      <c r="D32" s="185" t="s">
        <v>16</v>
      </c>
      <c r="E32" s="185" t="s">
        <v>289</v>
      </c>
      <c r="F32" s="186">
        <v>43844</v>
      </c>
      <c r="G32" s="187" t="s">
        <v>267</v>
      </c>
      <c r="H32" s="188">
        <v>23914</v>
      </c>
      <c r="I32" s="189">
        <v>20988</v>
      </c>
      <c r="J32" s="189">
        <v>23900</v>
      </c>
      <c r="K32" s="189">
        <v>22604</v>
      </c>
      <c r="L32" s="174">
        <v>25097</v>
      </c>
      <c r="M32" s="174">
        <v>24723</v>
      </c>
      <c r="N32" s="174">
        <v>24377</v>
      </c>
      <c r="O32" s="174">
        <v>24879</v>
      </c>
      <c r="P32" s="174">
        <v>23316</v>
      </c>
      <c r="Q32" s="174">
        <v>22600</v>
      </c>
      <c r="R32" s="174">
        <f>VLOOKUP(B32,'2022 Count Table'!A32:X215,11)</f>
        <v>23320</v>
      </c>
      <c r="S32" s="175">
        <f t="shared" si="0"/>
        <v>20623.300000000047</v>
      </c>
      <c r="T32" s="176">
        <f t="shared" si="1"/>
        <v>0</v>
      </c>
      <c r="U32" s="192">
        <v>0.48958333333333298</v>
      </c>
      <c r="V32" s="189">
        <v>1970</v>
      </c>
      <c r="W32" s="189">
        <v>939</v>
      </c>
      <c r="X32" s="189">
        <v>1031</v>
      </c>
      <c r="Y32" s="193">
        <v>8.4491336421341573E-2</v>
      </c>
      <c r="Z32" s="194">
        <v>0.52335025380710665</v>
      </c>
      <c r="AA32" s="192">
        <f>VLOOKUP(B32,'2022 Count Table'!A32:X215,19)</f>
        <v>0.60416666666666663</v>
      </c>
      <c r="AB32" s="189">
        <f>VLOOKUP($B32,'2022 Count Table'!A32:X215,20)</f>
        <v>1985</v>
      </c>
      <c r="AC32" s="189">
        <f>VLOOKUP($B32,'2022 Count Table'!A32:X215,21)</f>
        <v>979</v>
      </c>
      <c r="AD32" s="189">
        <f>VLOOKUP($B32,'2022 Count Table'!A32:X215,22)</f>
        <v>1006</v>
      </c>
      <c r="AE32" s="193">
        <f>VLOOKUP($B32,'2022 Count Table'!A32:X215,23)</f>
        <v>8.5120068610634647E-2</v>
      </c>
      <c r="AF32" s="194">
        <f>VLOOKUP($B32,'2022 Count Table'!A32:X215,24)</f>
        <v>0.50680100755667501</v>
      </c>
      <c r="AG32" s="195">
        <v>4</v>
      </c>
      <c r="AH32" s="196">
        <v>45</v>
      </c>
      <c r="AI32" s="188" t="s">
        <v>268</v>
      </c>
      <c r="AJ32" s="189" t="s">
        <v>268</v>
      </c>
      <c r="AK32" s="189" t="s">
        <v>268</v>
      </c>
      <c r="AL32" s="189" t="s">
        <v>268</v>
      </c>
      <c r="AM32" s="189" t="s">
        <v>268</v>
      </c>
      <c r="AN32" s="197" t="s">
        <v>268</v>
      </c>
      <c r="AO32" s="198">
        <f t="shared" si="2"/>
        <v>25130.882315772171</v>
      </c>
      <c r="AP32" s="197">
        <f t="shared" si="3"/>
        <v>22265.917684227832</v>
      </c>
    </row>
    <row r="33" spans="1:42" s="162" customFormat="1" ht="18.95" customHeight="1">
      <c r="A33" s="125">
        <v>37</v>
      </c>
      <c r="B33" s="125">
        <f>VLOOKUP(C33,'station changes (20-21)'!$A$3:$D$298,4,)</f>
        <v>28</v>
      </c>
      <c r="C33" s="125">
        <v>37</v>
      </c>
      <c r="D33" s="126" t="s">
        <v>16</v>
      </c>
      <c r="E33" s="126" t="s">
        <v>290</v>
      </c>
      <c r="F33" s="17">
        <v>43887</v>
      </c>
      <c r="G33" s="127" t="s">
        <v>267</v>
      </c>
      <c r="H33" s="18">
        <v>25790</v>
      </c>
      <c r="I33" s="16">
        <v>29400.6</v>
      </c>
      <c r="J33" s="16">
        <v>25854</v>
      </c>
      <c r="K33" s="16">
        <v>28037</v>
      </c>
      <c r="L33" s="202">
        <v>27929</v>
      </c>
      <c r="M33" s="202">
        <v>28023</v>
      </c>
      <c r="N33" s="202">
        <v>25763</v>
      </c>
      <c r="O33" s="202">
        <v>27144</v>
      </c>
      <c r="P33" s="202">
        <v>25367</v>
      </c>
      <c r="Q33" s="202">
        <v>24581</v>
      </c>
      <c r="R33" s="202">
        <f>VLOOKUP(B33,'2022 Count Table'!A33:X216,11)</f>
        <v>24669</v>
      </c>
      <c r="S33" s="19">
        <f t="shared" si="0"/>
        <v>22179.099999999977</v>
      </c>
      <c r="T33" s="20">
        <f t="shared" si="1"/>
        <v>0</v>
      </c>
      <c r="U33" s="21">
        <v>0.46875</v>
      </c>
      <c r="V33" s="16">
        <v>2234</v>
      </c>
      <c r="W33" s="16">
        <v>1156</v>
      </c>
      <c r="X33" s="16">
        <v>1078</v>
      </c>
      <c r="Y33" s="22">
        <v>8.8067173887333941E-2</v>
      </c>
      <c r="Z33" s="23">
        <v>0.51745747538048348</v>
      </c>
      <c r="AA33" s="21">
        <f>VLOOKUP(B33,'2022 Count Table'!A33:X216,19)</f>
        <v>0.61458333333333337</v>
      </c>
      <c r="AB33" s="16">
        <f>VLOOKUP($B33,'2022 Count Table'!A33:X216,20)</f>
        <v>2228</v>
      </c>
      <c r="AC33" s="16">
        <f>VLOOKUP($B33,'2022 Count Table'!A33:X216,21)</f>
        <v>1168</v>
      </c>
      <c r="AD33" s="16">
        <f>VLOOKUP($B33,'2022 Count Table'!A33:X216,22)</f>
        <v>1060</v>
      </c>
      <c r="AE33" s="22">
        <f>VLOOKUP($B33,'2022 Count Table'!A33:X216,23)</f>
        <v>9.031578093964085E-2</v>
      </c>
      <c r="AF33" s="23">
        <f>VLOOKUP($B33,'2022 Count Table'!A33:X216,24)</f>
        <v>0.52423698384201078</v>
      </c>
      <c r="AG33" s="24">
        <v>4</v>
      </c>
      <c r="AH33" s="25">
        <v>45</v>
      </c>
      <c r="AI33" s="18" t="s">
        <v>268</v>
      </c>
      <c r="AJ33" s="16" t="s">
        <v>268</v>
      </c>
      <c r="AK33" s="16" t="s">
        <v>268</v>
      </c>
      <c r="AL33" s="16" t="s">
        <v>268</v>
      </c>
      <c r="AM33" s="16" t="s">
        <v>268</v>
      </c>
      <c r="AN33" s="128" t="s">
        <v>268</v>
      </c>
      <c r="AO33" s="131">
        <f t="shared" si="2"/>
        <v>27132.318967631407</v>
      </c>
      <c r="AP33" s="128">
        <f t="shared" si="3"/>
        <v>23877.281032368592</v>
      </c>
    </row>
    <row r="34" spans="1:42" s="205" customFormat="1" ht="18.95" customHeight="1">
      <c r="A34" s="210">
        <v>41</v>
      </c>
      <c r="B34" s="210">
        <f>VLOOKUP(C34,'station changes (20-21)'!$A$3:$D$298,4,)</f>
        <v>29</v>
      </c>
      <c r="C34" s="210">
        <v>41</v>
      </c>
      <c r="D34" s="211" t="s">
        <v>27</v>
      </c>
      <c r="E34" s="211" t="s">
        <v>293</v>
      </c>
      <c r="F34" s="212">
        <v>43865</v>
      </c>
      <c r="G34" s="213" t="s">
        <v>267</v>
      </c>
      <c r="H34" s="214">
        <v>7006</v>
      </c>
      <c r="I34" s="215">
        <v>13132</v>
      </c>
      <c r="J34" s="215">
        <v>15222</v>
      </c>
      <c r="K34" s="215">
        <v>16304</v>
      </c>
      <c r="L34" s="216">
        <v>19085</v>
      </c>
      <c r="M34" s="216">
        <v>18870</v>
      </c>
      <c r="N34" s="216">
        <v>19706</v>
      </c>
      <c r="O34" s="216">
        <v>22776</v>
      </c>
      <c r="P34" s="216">
        <v>24123</v>
      </c>
      <c r="Q34" s="216">
        <v>23165</v>
      </c>
      <c r="R34" s="216">
        <f>VLOOKUP(B34,'2022 Count Table'!A34:X217,11)</f>
        <v>26935</v>
      </c>
      <c r="S34" s="217">
        <f t="shared" si="0"/>
        <v>33733.899999999907</v>
      </c>
      <c r="T34" s="218">
        <f t="shared" si="1"/>
        <v>4.4999999999999998E-2</v>
      </c>
      <c r="U34" s="219">
        <v>0.48958333333333298</v>
      </c>
      <c r="V34" s="215">
        <v>2199</v>
      </c>
      <c r="W34" s="215">
        <v>1078</v>
      </c>
      <c r="X34" s="215">
        <v>1121</v>
      </c>
      <c r="Y34" s="220">
        <v>9.115781619201592E-2</v>
      </c>
      <c r="Z34" s="221">
        <v>0.50977717144156431</v>
      </c>
      <c r="AA34" s="219">
        <f>VLOOKUP(B34,'2022 Count Table'!A34:X217,19)</f>
        <v>0.52083333333333337</v>
      </c>
      <c r="AB34" s="215">
        <f>VLOOKUP($B34,'2022 Count Table'!A34:X217,20)</f>
        <v>2372</v>
      </c>
      <c r="AC34" s="215">
        <f>VLOOKUP($B34,'2022 Count Table'!A34:X217,21)</f>
        <v>1095</v>
      </c>
      <c r="AD34" s="215">
        <f>VLOOKUP($B34,'2022 Count Table'!A34:X217,22)</f>
        <v>1277</v>
      </c>
      <c r="AE34" s="220">
        <f>VLOOKUP($B34,'2022 Count Table'!A34:X217,23)</f>
        <v>8.8063857434564699E-2</v>
      </c>
      <c r="AF34" s="221">
        <f>VLOOKUP($B34,'2022 Count Table'!A34:X217,24)</f>
        <v>0.53836424957841489</v>
      </c>
      <c r="AG34" s="222">
        <v>5</v>
      </c>
      <c r="AH34" s="223">
        <v>45</v>
      </c>
      <c r="AI34" s="214" t="s">
        <v>268</v>
      </c>
      <c r="AJ34" s="215" t="s">
        <v>268</v>
      </c>
      <c r="AK34" s="215" t="s">
        <v>268</v>
      </c>
      <c r="AL34" s="215" t="s">
        <v>268</v>
      </c>
      <c r="AM34" s="215" t="s">
        <v>268</v>
      </c>
      <c r="AN34" s="224" t="s">
        <v>268</v>
      </c>
      <c r="AO34" s="225">
        <f t="shared" si="2"/>
        <v>27414.538869950797</v>
      </c>
      <c r="AP34" s="224">
        <f t="shared" si="3"/>
        <v>19267.461130049203</v>
      </c>
    </row>
    <row r="35" spans="1:42" s="162" customFormat="1" ht="18.95" customHeight="1">
      <c r="A35" s="210">
        <v>43</v>
      </c>
      <c r="B35" s="210">
        <f>VLOOKUP(C35,'station changes (20-21)'!$A$3:$D$298,4,)</f>
        <v>30</v>
      </c>
      <c r="C35" s="210">
        <v>43</v>
      </c>
      <c r="D35" s="211" t="s">
        <v>27</v>
      </c>
      <c r="E35" s="211" t="s">
        <v>294</v>
      </c>
      <c r="F35" s="212">
        <v>43865</v>
      </c>
      <c r="G35" s="213" t="s">
        <v>267</v>
      </c>
      <c r="H35" s="214">
        <v>13638</v>
      </c>
      <c r="I35" s="215">
        <v>13429</v>
      </c>
      <c r="J35" s="215">
        <v>15724</v>
      </c>
      <c r="K35" s="215">
        <v>18289</v>
      </c>
      <c r="L35" s="216">
        <v>19781</v>
      </c>
      <c r="M35" s="216">
        <v>21110</v>
      </c>
      <c r="N35" s="216">
        <v>22940</v>
      </c>
      <c r="O35" s="216">
        <v>25010</v>
      </c>
      <c r="P35" s="216">
        <v>26843</v>
      </c>
      <c r="Q35" s="216">
        <v>25683</v>
      </c>
      <c r="R35" s="216">
        <f>VLOOKUP(B35,'2022 Count Table'!A35:X218,11)</f>
        <v>28605</v>
      </c>
      <c r="S35" s="217">
        <f t="shared" si="0"/>
        <v>34218.300000000279</v>
      </c>
      <c r="T35" s="218">
        <f t="shared" si="1"/>
        <v>3.7499999999999999E-2</v>
      </c>
      <c r="U35" s="219">
        <v>0.46875</v>
      </c>
      <c r="V35" s="215">
        <v>2529</v>
      </c>
      <c r="W35" s="215">
        <v>1215</v>
      </c>
      <c r="X35" s="215">
        <v>1314</v>
      </c>
      <c r="Y35" s="220">
        <v>9.4214506575271015E-2</v>
      </c>
      <c r="Z35" s="221">
        <v>0.5195729537366548</v>
      </c>
      <c r="AA35" s="219">
        <f>VLOOKUP(B35,'2022 Count Table'!A35:X218,19)</f>
        <v>0.51041666666666663</v>
      </c>
      <c r="AB35" s="215">
        <f>VLOOKUP($B35,'2022 Count Table'!A35:X218,20)</f>
        <v>2575</v>
      </c>
      <c r="AC35" s="215">
        <f>VLOOKUP($B35,'2022 Count Table'!A35:X218,21)</f>
        <v>1270</v>
      </c>
      <c r="AD35" s="215">
        <f>VLOOKUP($B35,'2022 Count Table'!A35:X218,22)</f>
        <v>1305</v>
      </c>
      <c r="AE35" s="220">
        <f>VLOOKUP($B35,'2022 Count Table'!A35:X218,23)</f>
        <v>9.0019227407795846E-2</v>
      </c>
      <c r="AF35" s="221">
        <f>VLOOKUP($B35,'2022 Count Table'!A35:X218,24)</f>
        <v>0.50679611650485434</v>
      </c>
      <c r="AG35" s="222">
        <v>4</v>
      </c>
      <c r="AH35" s="223">
        <v>45</v>
      </c>
      <c r="AI35" s="214" t="s">
        <v>268</v>
      </c>
      <c r="AJ35" s="215" t="s">
        <v>268</v>
      </c>
      <c r="AK35" s="215" t="s">
        <v>268</v>
      </c>
      <c r="AL35" s="215" t="s">
        <v>268</v>
      </c>
      <c r="AM35" s="215" t="s">
        <v>268</v>
      </c>
      <c r="AN35" s="224" t="s">
        <v>268</v>
      </c>
      <c r="AO35" s="225">
        <f t="shared" si="2"/>
        <v>29115.490812432272</v>
      </c>
      <c r="AP35" s="224">
        <f t="shared" si="3"/>
        <v>22516.90918756773</v>
      </c>
    </row>
    <row r="36" spans="1:42" s="205" customFormat="1" ht="18.95" customHeight="1">
      <c r="A36" s="125">
        <v>46</v>
      </c>
      <c r="B36" s="125">
        <f>VLOOKUP(C36,'station changes (20-21)'!$A$3:$D$298,4,)</f>
        <v>31</v>
      </c>
      <c r="C36" s="125">
        <v>46</v>
      </c>
      <c r="D36" s="126" t="s">
        <v>27</v>
      </c>
      <c r="E36" s="126" t="s">
        <v>295</v>
      </c>
      <c r="F36" s="17">
        <v>43859</v>
      </c>
      <c r="G36" s="127" t="s">
        <v>267</v>
      </c>
      <c r="H36" s="18">
        <v>13107</v>
      </c>
      <c r="I36" s="16">
        <v>12288</v>
      </c>
      <c r="J36" s="16">
        <v>15099</v>
      </c>
      <c r="K36" s="16">
        <v>15696</v>
      </c>
      <c r="L36" s="202">
        <v>16403</v>
      </c>
      <c r="M36" s="202">
        <v>17032</v>
      </c>
      <c r="N36" s="202">
        <v>17959</v>
      </c>
      <c r="O36" s="202">
        <v>18028</v>
      </c>
      <c r="P36" s="202">
        <v>18455</v>
      </c>
      <c r="Q36" s="202">
        <v>17753</v>
      </c>
      <c r="R36" s="202">
        <f>VLOOKUP(B36,'2022 Count Table'!A36:X219,11)</f>
        <v>19155</v>
      </c>
      <c r="S36" s="19">
        <f t="shared" si="0"/>
        <v>19751.899999999965</v>
      </c>
      <c r="T36" s="20">
        <f t="shared" si="1"/>
        <v>5.0000000000000001E-3</v>
      </c>
      <c r="U36" s="21">
        <v>0.47916666666666702</v>
      </c>
      <c r="V36" s="16">
        <v>1732</v>
      </c>
      <c r="W36" s="16">
        <v>820</v>
      </c>
      <c r="X36" s="16">
        <v>912</v>
      </c>
      <c r="Y36" s="22">
        <v>9.3849905174749393E-2</v>
      </c>
      <c r="Z36" s="23">
        <v>0.52655889145496537</v>
      </c>
      <c r="AA36" s="21">
        <f>VLOOKUP(B36,'2022 Count Table'!A36:X219,19)</f>
        <v>0.5</v>
      </c>
      <c r="AB36" s="16">
        <f>VLOOKUP($B36,'2022 Count Table'!A36:X219,20)</f>
        <v>1737</v>
      </c>
      <c r="AC36" s="16">
        <f>VLOOKUP($B36,'2022 Count Table'!A36:X219,21)</f>
        <v>879</v>
      </c>
      <c r="AD36" s="16">
        <f>VLOOKUP($B36,'2022 Count Table'!A36:X219,22)</f>
        <v>858</v>
      </c>
      <c r="AE36" s="22">
        <f>VLOOKUP($B36,'2022 Count Table'!A36:X219,23)</f>
        <v>9.0681284259984341E-2</v>
      </c>
      <c r="AF36" s="23">
        <f>VLOOKUP($B36,'2022 Count Table'!A36:X219,24)</f>
        <v>0.50604490500863553</v>
      </c>
      <c r="AG36" s="24">
        <v>4</v>
      </c>
      <c r="AH36" s="25">
        <v>45</v>
      </c>
      <c r="AI36" s="18" t="s">
        <v>268</v>
      </c>
      <c r="AJ36" s="16" t="s">
        <v>268</v>
      </c>
      <c r="AK36" s="16" t="s">
        <v>268</v>
      </c>
      <c r="AL36" s="16" t="s">
        <v>268</v>
      </c>
      <c r="AM36" s="16" t="s">
        <v>268</v>
      </c>
      <c r="AN36" s="128" t="s">
        <v>268</v>
      </c>
      <c r="AO36" s="131">
        <f t="shared" si="2"/>
        <v>19141.501405621355</v>
      </c>
      <c r="AP36" s="128">
        <f t="shared" si="3"/>
        <v>17398.498594378645</v>
      </c>
    </row>
    <row r="37" spans="1:42" s="162" customFormat="1" ht="18.95" customHeight="1">
      <c r="A37" s="184">
        <v>49</v>
      </c>
      <c r="B37" s="184">
        <f>VLOOKUP(C37,'station changes (20-21)'!$A$3:$D$298,4,)</f>
        <v>32</v>
      </c>
      <c r="C37" s="184">
        <v>49</v>
      </c>
      <c r="D37" s="185" t="s">
        <v>27</v>
      </c>
      <c r="E37" s="185" t="s">
        <v>296</v>
      </c>
      <c r="F37" s="186">
        <v>43887</v>
      </c>
      <c r="G37" s="187" t="s">
        <v>267</v>
      </c>
      <c r="H37" s="188">
        <v>13318</v>
      </c>
      <c r="I37" s="189">
        <v>14490</v>
      </c>
      <c r="J37" s="189">
        <v>16441</v>
      </c>
      <c r="K37" s="189">
        <v>17960</v>
      </c>
      <c r="L37" s="174">
        <v>18515</v>
      </c>
      <c r="M37" s="174">
        <v>17714</v>
      </c>
      <c r="N37" s="174">
        <v>20240</v>
      </c>
      <c r="O37" s="174">
        <v>19532</v>
      </c>
      <c r="P37" s="191">
        <v>20108</v>
      </c>
      <c r="Q37" s="191">
        <v>19173</v>
      </c>
      <c r="R37" s="191">
        <f>VLOOKUP(B37,'2022 Count Table'!A37:X220,11)</f>
        <v>21232</v>
      </c>
      <c r="S37" s="175">
        <f t="shared" si="0"/>
        <v>21194.5</v>
      </c>
      <c r="T37" s="176">
        <f t="shared" si="1"/>
        <v>0</v>
      </c>
      <c r="U37" s="192">
        <v>0.47916666666666702</v>
      </c>
      <c r="V37" s="189">
        <v>1740</v>
      </c>
      <c r="W37" s="189">
        <v>866</v>
      </c>
      <c r="X37" s="189">
        <v>874</v>
      </c>
      <c r="Y37" s="193">
        <v>8.6532723294211258E-2</v>
      </c>
      <c r="Z37" s="194">
        <v>0.50229885057471269</v>
      </c>
      <c r="AA37" s="192">
        <f>VLOOKUP(B37,'2022 Count Table'!A37:X220,19)</f>
        <v>0.625</v>
      </c>
      <c r="AB37" s="189">
        <f>VLOOKUP($B37,'2022 Count Table'!A37:X220,20)</f>
        <v>1811</v>
      </c>
      <c r="AC37" s="189">
        <f>VLOOKUP($B37,'2022 Count Table'!A37:X220,21)</f>
        <v>785</v>
      </c>
      <c r="AD37" s="189">
        <f>VLOOKUP($B37,'2022 Count Table'!A37:X220,22)</f>
        <v>1026</v>
      </c>
      <c r="AE37" s="193">
        <f>VLOOKUP($B37,'2022 Count Table'!A37:X220,23)</f>
        <v>8.5295779954785225E-2</v>
      </c>
      <c r="AF37" s="194">
        <f>VLOOKUP($B37,'2022 Count Table'!A37:X220,24)</f>
        <v>0.56653782440640532</v>
      </c>
      <c r="AG37" s="195">
        <v>2</v>
      </c>
      <c r="AH37" s="196">
        <v>45</v>
      </c>
      <c r="AI37" s="188" t="s">
        <v>268</v>
      </c>
      <c r="AJ37" s="189" t="s">
        <v>268</v>
      </c>
      <c r="AK37" s="189" t="s">
        <v>268</v>
      </c>
      <c r="AL37" s="189" t="s">
        <v>268</v>
      </c>
      <c r="AM37" s="189" t="s">
        <v>268</v>
      </c>
      <c r="AN37" s="197" t="s">
        <v>268</v>
      </c>
      <c r="AO37" s="198">
        <f t="shared" si="2"/>
        <v>21287.934624584101</v>
      </c>
      <c r="AP37" s="197">
        <f t="shared" si="3"/>
        <v>18826.065375415899</v>
      </c>
    </row>
    <row r="38" spans="1:42" s="205" customFormat="1" ht="18.95" customHeight="1">
      <c r="A38" s="184">
        <v>40</v>
      </c>
      <c r="B38" s="184">
        <f>VLOOKUP(C38,'station changes (20-21)'!$A$3:$D$298,4,)</f>
        <v>33</v>
      </c>
      <c r="C38" s="184">
        <v>40</v>
      </c>
      <c r="D38" s="185" t="s">
        <v>291</v>
      </c>
      <c r="E38" s="185" t="s">
        <v>292</v>
      </c>
      <c r="F38" s="186">
        <v>43860</v>
      </c>
      <c r="G38" s="187" t="s">
        <v>267</v>
      </c>
      <c r="H38" s="188">
        <v>6379</v>
      </c>
      <c r="I38" s="189">
        <v>7997</v>
      </c>
      <c r="J38" s="189" t="s">
        <v>243</v>
      </c>
      <c r="K38" s="189">
        <v>4402</v>
      </c>
      <c r="L38" s="174">
        <v>9163</v>
      </c>
      <c r="M38" s="174">
        <v>10433</v>
      </c>
      <c r="N38" s="174">
        <v>10317</v>
      </c>
      <c r="O38" s="174">
        <v>9137</v>
      </c>
      <c r="P38" s="174">
        <v>10975</v>
      </c>
      <c r="Q38" s="174">
        <v>10671</v>
      </c>
      <c r="R38" s="174">
        <f>VLOOKUP(B38,'2022 Count Table'!A38:X221,11)</f>
        <v>9784</v>
      </c>
      <c r="S38" s="175">
        <f t="shared" si="0"/>
        <v>10504.399999999994</v>
      </c>
      <c r="T38" s="176">
        <f t="shared" si="1"/>
        <v>1.4999999999999999E-2</v>
      </c>
      <c r="U38" s="192">
        <v>0.48958333333333298</v>
      </c>
      <c r="V38" s="189">
        <v>931</v>
      </c>
      <c r="W38" s="189">
        <v>471</v>
      </c>
      <c r="X38" s="189">
        <v>460</v>
      </c>
      <c r="Y38" s="193">
        <v>8.4829157175398628E-2</v>
      </c>
      <c r="Z38" s="194">
        <v>0.50590762620837804</v>
      </c>
      <c r="AA38" s="192">
        <f>VLOOKUP(B38,'2022 Count Table'!A38:X221,19)</f>
        <v>0.5</v>
      </c>
      <c r="AB38" s="189">
        <f>VLOOKUP($B38,'2022 Count Table'!A38:X221,20)</f>
        <v>821</v>
      </c>
      <c r="AC38" s="189">
        <f>VLOOKUP($B38,'2022 Count Table'!A38:X221,21)</f>
        <v>381</v>
      </c>
      <c r="AD38" s="189">
        <f>VLOOKUP($B38,'2022 Count Table'!A38:X221,22)</f>
        <v>440</v>
      </c>
      <c r="AE38" s="193">
        <f>VLOOKUP($B38,'2022 Count Table'!A38:X221,23)</f>
        <v>8.3912510220768607E-2</v>
      </c>
      <c r="AF38" s="194">
        <f>VLOOKUP($B38,'2022 Count Table'!A38:X221,24)</f>
        <v>0.53593179049939099</v>
      </c>
      <c r="AG38" s="195">
        <v>2</v>
      </c>
      <c r="AH38" s="196">
        <v>30</v>
      </c>
      <c r="AI38" s="188" t="s">
        <v>268</v>
      </c>
      <c r="AJ38" s="189" t="s">
        <v>268</v>
      </c>
      <c r="AK38" s="189" t="s">
        <v>268</v>
      </c>
      <c r="AL38" s="189" t="s">
        <v>268</v>
      </c>
      <c r="AM38" s="189" t="s">
        <v>268</v>
      </c>
      <c r="AN38" s="197" t="s">
        <v>268</v>
      </c>
      <c r="AO38" s="198">
        <f t="shared" si="2"/>
        <v>11320.74029127398</v>
      </c>
      <c r="AP38" s="197">
        <f t="shared" si="3"/>
        <v>9032.8597087260187</v>
      </c>
    </row>
    <row r="39" spans="1:42" s="162" customFormat="1" ht="18.95" customHeight="1">
      <c r="A39" s="125">
        <v>50</v>
      </c>
      <c r="B39" s="125">
        <f>VLOOKUP(C39,'station changes (20-21)'!$A$3:$D$298,4,)</f>
        <v>34</v>
      </c>
      <c r="C39" s="125">
        <v>50</v>
      </c>
      <c r="D39" s="126" t="s">
        <v>57</v>
      </c>
      <c r="E39" s="126" t="s">
        <v>297</v>
      </c>
      <c r="F39" s="17">
        <v>43887</v>
      </c>
      <c r="G39" s="127" t="s">
        <v>267</v>
      </c>
      <c r="H39" s="18">
        <v>3841</v>
      </c>
      <c r="I39" s="16">
        <v>3392</v>
      </c>
      <c r="J39" s="16">
        <v>3670</v>
      </c>
      <c r="K39" s="16">
        <v>4401</v>
      </c>
      <c r="L39" s="202">
        <v>4638</v>
      </c>
      <c r="M39" s="202"/>
      <c r="N39" s="202">
        <v>9999</v>
      </c>
      <c r="O39" s="202">
        <v>13344</v>
      </c>
      <c r="P39" s="202">
        <v>12282</v>
      </c>
      <c r="Q39" s="202">
        <v>12506</v>
      </c>
      <c r="R39" s="202">
        <f>VLOOKUP(B39,'2022 Count Table'!A39:X222,11)</f>
        <v>24892</v>
      </c>
      <c r="S39" s="19">
        <f t="shared" si="0"/>
        <v>34868.200000000186</v>
      </c>
      <c r="T39" s="20">
        <f t="shared" si="1"/>
        <v>7.0000000000000007E-2</v>
      </c>
      <c r="U39" s="21">
        <v>0.48958333333333298</v>
      </c>
      <c r="V39" s="16">
        <v>1142</v>
      </c>
      <c r="W39" s="16">
        <v>602</v>
      </c>
      <c r="X39" s="16">
        <v>540</v>
      </c>
      <c r="Y39" s="22">
        <v>9.2981599088096403E-2</v>
      </c>
      <c r="Z39" s="23">
        <v>0.5271453590192644</v>
      </c>
      <c r="AA39" s="21">
        <f>VLOOKUP(B39,'2022 Count Table'!A39:X222,19)</f>
        <v>0.5</v>
      </c>
      <c r="AB39" s="16">
        <f>VLOOKUP($B39,'2022 Count Table'!A39:X222,20)</f>
        <v>2128</v>
      </c>
      <c r="AC39" s="16">
        <f>VLOOKUP($B39,'2022 Count Table'!A39:X222,21)</f>
        <v>1125</v>
      </c>
      <c r="AD39" s="16">
        <f>VLOOKUP($B39,'2022 Count Table'!A39:X222,22)</f>
        <v>1003</v>
      </c>
      <c r="AE39" s="22">
        <f>VLOOKUP($B39,'2022 Count Table'!A39:X222,23)</f>
        <v>8.5489313835770533E-2</v>
      </c>
      <c r="AF39" s="23">
        <f>VLOOKUP($B39,'2022 Count Table'!A39:X222,24)</f>
        <v>0.52866541353383456</v>
      </c>
      <c r="AG39" s="24">
        <v>2</v>
      </c>
      <c r="AH39" s="25">
        <v>45</v>
      </c>
      <c r="AI39" s="18" t="s">
        <v>268</v>
      </c>
      <c r="AJ39" s="16" t="s">
        <v>268</v>
      </c>
      <c r="AK39" s="16" t="s">
        <v>268</v>
      </c>
      <c r="AL39" s="16" t="s">
        <v>268</v>
      </c>
      <c r="AM39" s="16" t="s">
        <v>268</v>
      </c>
      <c r="AN39" s="128" t="s">
        <v>268</v>
      </c>
      <c r="AO39" s="131">
        <f t="shared" si="2"/>
        <v>23812.655511887402</v>
      </c>
      <c r="AP39" s="128">
        <f t="shared" si="3"/>
        <v>5396.5444881125968</v>
      </c>
    </row>
    <row r="40" spans="1:42" s="205" customFormat="1" ht="18.95" customHeight="1">
      <c r="A40" s="184">
        <v>51</v>
      </c>
      <c r="B40" s="184">
        <f>VLOOKUP(C40,'station changes (20-21)'!$A$3:$D$298,4,)</f>
        <v>35</v>
      </c>
      <c r="C40" s="184">
        <v>51</v>
      </c>
      <c r="D40" s="185" t="s">
        <v>57</v>
      </c>
      <c r="E40" s="185" t="s">
        <v>298</v>
      </c>
      <c r="F40" s="186">
        <v>43887</v>
      </c>
      <c r="G40" s="187" t="s">
        <v>267</v>
      </c>
      <c r="H40" s="188">
        <v>2638</v>
      </c>
      <c r="I40" s="189">
        <v>2682</v>
      </c>
      <c r="J40" s="189">
        <v>2956</v>
      </c>
      <c r="K40" s="189">
        <v>3119</v>
      </c>
      <c r="L40" s="174">
        <v>3587</v>
      </c>
      <c r="M40" s="174"/>
      <c r="N40" s="174">
        <v>8991</v>
      </c>
      <c r="O40" s="174">
        <v>10996</v>
      </c>
      <c r="P40" s="174">
        <v>11239</v>
      </c>
      <c r="Q40" s="174">
        <v>11047</v>
      </c>
      <c r="R40" s="174">
        <f>VLOOKUP(B40,'2022 Count Table'!A40:X223,11)</f>
        <v>24291</v>
      </c>
      <c r="S40" s="175">
        <f t="shared" si="0"/>
        <v>34768.5</v>
      </c>
      <c r="T40" s="176">
        <f t="shared" si="1"/>
        <v>7.4999999999999997E-2</v>
      </c>
      <c r="U40" s="192">
        <v>0.47916666666666702</v>
      </c>
      <c r="V40" s="189">
        <v>950</v>
      </c>
      <c r="W40" s="189">
        <v>450</v>
      </c>
      <c r="X40" s="189">
        <v>500</v>
      </c>
      <c r="Y40" s="193">
        <v>8.4527093157754252E-2</v>
      </c>
      <c r="Z40" s="194">
        <v>0.52631578947368418</v>
      </c>
      <c r="AA40" s="192">
        <f>VLOOKUP(B40,'2022 Count Table'!A40:X223,19)</f>
        <v>0.5</v>
      </c>
      <c r="AB40" s="189">
        <f>VLOOKUP($B40,'2022 Count Table'!A40:X223,20)</f>
        <v>2170</v>
      </c>
      <c r="AC40" s="189">
        <f>VLOOKUP($B40,'2022 Count Table'!A40:X223,21)</f>
        <v>1092</v>
      </c>
      <c r="AD40" s="189">
        <f>VLOOKUP($B40,'2022 Count Table'!A40:X223,22)</f>
        <v>1078</v>
      </c>
      <c r="AE40" s="193">
        <f>VLOOKUP($B40,'2022 Count Table'!A40:X223,23)</f>
        <v>8.9333498003375741E-2</v>
      </c>
      <c r="AF40" s="194">
        <f>VLOOKUP($B40,'2022 Count Table'!A40:X223,24)</f>
        <v>0.50322580645161286</v>
      </c>
      <c r="AG40" s="195">
        <v>2</v>
      </c>
      <c r="AH40" s="196">
        <v>55</v>
      </c>
      <c r="AI40" s="188" t="s">
        <v>268</v>
      </c>
      <c r="AJ40" s="189" t="s">
        <v>268</v>
      </c>
      <c r="AK40" s="189" t="s">
        <v>268</v>
      </c>
      <c r="AL40" s="189" t="s">
        <v>268</v>
      </c>
      <c r="AM40" s="189" t="s">
        <v>268</v>
      </c>
      <c r="AN40" s="197" t="s">
        <v>268</v>
      </c>
      <c r="AO40" s="198">
        <f t="shared" si="2"/>
        <v>23024.933874180279</v>
      </c>
      <c r="AP40" s="197">
        <f t="shared" si="3"/>
        <v>3600.6661258197219</v>
      </c>
    </row>
    <row r="41" spans="1:42" s="162" customFormat="1" ht="18.95" customHeight="1">
      <c r="A41" s="184">
        <v>53</v>
      </c>
      <c r="B41" s="184">
        <f>VLOOKUP(C41,'station changes (20-21)'!$A$3:$D$298,4,)</f>
        <v>36</v>
      </c>
      <c r="C41" s="184">
        <v>53</v>
      </c>
      <c r="D41" s="185" t="s">
        <v>57</v>
      </c>
      <c r="E41" s="185" t="s">
        <v>300</v>
      </c>
      <c r="F41" s="186">
        <v>43860</v>
      </c>
      <c r="G41" s="187" t="s">
        <v>267</v>
      </c>
      <c r="H41" s="188">
        <v>3063</v>
      </c>
      <c r="I41" s="189">
        <v>2980</v>
      </c>
      <c r="J41" s="189">
        <v>2987</v>
      </c>
      <c r="K41" s="189">
        <v>3052</v>
      </c>
      <c r="L41" s="174">
        <v>3146</v>
      </c>
      <c r="M41" s="174">
        <v>6732</v>
      </c>
      <c r="N41" s="174">
        <v>6884</v>
      </c>
      <c r="O41" s="174">
        <v>10393</v>
      </c>
      <c r="P41" s="174">
        <v>9271</v>
      </c>
      <c r="Q41" s="174">
        <v>9252</v>
      </c>
      <c r="R41" s="174">
        <f>VLOOKUP(B41,'2022 Count Table'!A41:X224,11)</f>
        <v>11776</v>
      </c>
      <c r="S41" s="175">
        <f t="shared" si="0"/>
        <v>15565.299999999814</v>
      </c>
      <c r="T41" s="176">
        <f t="shared" si="1"/>
        <v>5.7500000000000002E-2</v>
      </c>
      <c r="U41" s="192">
        <v>0.47916666666666702</v>
      </c>
      <c r="V41" s="189">
        <v>736</v>
      </c>
      <c r="W41" s="189">
        <v>350</v>
      </c>
      <c r="X41" s="189">
        <v>386</v>
      </c>
      <c r="Y41" s="193">
        <v>7.9387336856865498E-2</v>
      </c>
      <c r="Z41" s="194">
        <v>0.52445652173913049</v>
      </c>
      <c r="AA41" s="192">
        <f>VLOOKUP(B41,'2022 Count Table'!A41:X224,19)</f>
        <v>0.67708333333333337</v>
      </c>
      <c r="AB41" s="189">
        <f>VLOOKUP($B41,'2022 Count Table'!A41:X224,20)</f>
        <v>1045</v>
      </c>
      <c r="AC41" s="189">
        <f>VLOOKUP($B41,'2022 Count Table'!A41:X224,21)</f>
        <v>477</v>
      </c>
      <c r="AD41" s="189">
        <f>VLOOKUP($B41,'2022 Count Table'!A41:X224,22)</f>
        <v>568</v>
      </c>
      <c r="AE41" s="193">
        <f>VLOOKUP($B41,'2022 Count Table'!A41:X224,23)</f>
        <v>8.8739809782608689E-2</v>
      </c>
      <c r="AF41" s="194">
        <f>VLOOKUP($B41,'2022 Count Table'!A41:X224,24)</f>
        <v>0.54354066985645932</v>
      </c>
      <c r="AG41" s="195">
        <v>2</v>
      </c>
      <c r="AH41" s="196">
        <v>45</v>
      </c>
      <c r="AI41" s="188" t="s">
        <v>268</v>
      </c>
      <c r="AJ41" s="189" t="s">
        <v>268</v>
      </c>
      <c r="AK41" s="189" t="s">
        <v>268</v>
      </c>
      <c r="AL41" s="189" t="s">
        <v>268</v>
      </c>
      <c r="AM41" s="189" t="s">
        <v>268</v>
      </c>
      <c r="AN41" s="197" t="s">
        <v>268</v>
      </c>
      <c r="AO41" s="198">
        <f t="shared" si="2"/>
        <v>12329.804033429926</v>
      </c>
      <c r="AP41" s="197">
        <f t="shared" si="3"/>
        <v>6700.5959665700757</v>
      </c>
    </row>
    <row r="42" spans="1:42" s="205" customFormat="1" ht="18.95" customHeight="1">
      <c r="A42" s="125">
        <v>54</v>
      </c>
      <c r="B42" s="125">
        <f>VLOOKUP(C42,'station changes (20-21)'!$A$3:$D$298,4,)</f>
        <v>37</v>
      </c>
      <c r="C42" s="125">
        <v>54</v>
      </c>
      <c r="D42" s="126" t="s">
        <v>61</v>
      </c>
      <c r="E42" s="126" t="s">
        <v>301</v>
      </c>
      <c r="F42" s="17">
        <v>43852</v>
      </c>
      <c r="G42" s="127" t="s">
        <v>267</v>
      </c>
      <c r="H42" s="18">
        <v>1747</v>
      </c>
      <c r="I42" s="16">
        <v>1749</v>
      </c>
      <c r="J42" s="16">
        <v>1917</v>
      </c>
      <c r="K42" s="16">
        <v>2231</v>
      </c>
      <c r="L42" s="202">
        <v>2596</v>
      </c>
      <c r="M42" s="202">
        <v>3048</v>
      </c>
      <c r="N42" s="202">
        <v>3210</v>
      </c>
      <c r="O42" s="202">
        <v>2766</v>
      </c>
      <c r="P42" s="202">
        <v>3267</v>
      </c>
      <c r="Q42" s="202">
        <v>3165</v>
      </c>
      <c r="R42" s="202">
        <f>VLOOKUP(B42,'2022 Count Table'!A42:X225,11)</f>
        <v>4863</v>
      </c>
      <c r="S42" s="19">
        <f t="shared" si="0"/>
        <v>6047.6999999999534</v>
      </c>
      <c r="T42" s="20">
        <f t="shared" si="1"/>
        <v>4.4999999999999998E-2</v>
      </c>
      <c r="U42" s="21">
        <v>0.26041666666666702</v>
      </c>
      <c r="V42" s="16">
        <v>243</v>
      </c>
      <c r="W42" s="16">
        <v>105</v>
      </c>
      <c r="X42" s="16">
        <v>138</v>
      </c>
      <c r="Y42" s="22">
        <v>7.43801652892562E-2</v>
      </c>
      <c r="Z42" s="23">
        <v>0.5679012345679012</v>
      </c>
      <c r="AA42" s="21">
        <f>VLOOKUP(B42,'2022 Count Table'!A42:X225,19)</f>
        <v>0.53125</v>
      </c>
      <c r="AB42" s="16">
        <f>VLOOKUP($B42,'2022 Count Table'!A42:X225,20)</f>
        <v>359</v>
      </c>
      <c r="AC42" s="16">
        <f>VLOOKUP($B42,'2022 Count Table'!A42:X225,21)</f>
        <v>193</v>
      </c>
      <c r="AD42" s="16">
        <f>VLOOKUP($B42,'2022 Count Table'!A42:X225,22)</f>
        <v>166</v>
      </c>
      <c r="AE42" s="22">
        <f>VLOOKUP($B42,'2022 Count Table'!A42:X225,23)</f>
        <v>7.3822743162656801E-2</v>
      </c>
      <c r="AF42" s="23">
        <f>VLOOKUP($B42,'2022 Count Table'!A42:X225,24)</f>
        <v>0.53760445682451252</v>
      </c>
      <c r="AG42" s="24">
        <v>2</v>
      </c>
      <c r="AH42" s="25">
        <v>55</v>
      </c>
      <c r="AI42" s="18" t="s">
        <v>268</v>
      </c>
      <c r="AJ42" s="16" t="s">
        <v>268</v>
      </c>
      <c r="AK42" s="16" t="s">
        <v>268</v>
      </c>
      <c r="AL42" s="16" t="s">
        <v>268</v>
      </c>
      <c r="AM42" s="16" t="s">
        <v>268</v>
      </c>
      <c r="AN42" s="128" t="s">
        <v>268</v>
      </c>
      <c r="AO42" s="131">
        <f t="shared" si="2"/>
        <v>4725.0062853952204</v>
      </c>
      <c r="AP42" s="128">
        <f t="shared" si="3"/>
        <v>2183.3937146047788</v>
      </c>
    </row>
    <row r="43" spans="1:42" s="162" customFormat="1" ht="18.95" customHeight="1">
      <c r="A43" s="125">
        <v>452</v>
      </c>
      <c r="B43" s="125">
        <f>VLOOKUP(C43,'station changes (20-21)'!$A$3:$D$298,4,)</f>
        <v>38</v>
      </c>
      <c r="C43" s="125">
        <v>452</v>
      </c>
      <c r="D43" s="126" t="s">
        <v>61</v>
      </c>
      <c r="E43" s="126" t="s">
        <v>494</v>
      </c>
      <c r="F43" s="17">
        <v>43852</v>
      </c>
      <c r="G43" s="127" t="s">
        <v>267</v>
      </c>
      <c r="H43" s="18">
        <v>1376</v>
      </c>
      <c r="I43" s="16">
        <v>1429</v>
      </c>
      <c r="J43" s="16">
        <v>1894</v>
      </c>
      <c r="K43" s="16">
        <v>1791</v>
      </c>
      <c r="L43" s="202">
        <v>2150</v>
      </c>
      <c r="M43" s="202">
        <v>3001</v>
      </c>
      <c r="N43" s="202">
        <v>2674</v>
      </c>
      <c r="O43" s="202">
        <v>3100</v>
      </c>
      <c r="P43" s="202">
        <v>2996</v>
      </c>
      <c r="Q43" s="202">
        <v>2986</v>
      </c>
      <c r="R43" s="202">
        <f>VLOOKUP(B43,'2022 Count Table'!A43:X226,11)</f>
        <v>4567</v>
      </c>
      <c r="S43" s="19">
        <f t="shared" si="0"/>
        <v>5835</v>
      </c>
      <c r="T43" s="20">
        <f t="shared" si="1"/>
        <v>0.05</v>
      </c>
      <c r="U43" s="21">
        <v>0.26041666666666702</v>
      </c>
      <c r="V43" s="16">
        <v>231</v>
      </c>
      <c r="W43" s="16">
        <v>90</v>
      </c>
      <c r="X43" s="16">
        <v>141</v>
      </c>
      <c r="Y43" s="22">
        <v>7.7102803738317752E-2</v>
      </c>
      <c r="Z43" s="23">
        <v>0.61038961038961037</v>
      </c>
      <c r="AA43" s="21">
        <f>VLOOKUP(B43,'2022 Count Table'!A43:X226,19)</f>
        <v>0.53125</v>
      </c>
      <c r="AB43" s="16">
        <f>VLOOKUP($B43,'2022 Count Table'!A43:X226,20)</f>
        <v>352</v>
      </c>
      <c r="AC43" s="16">
        <f>VLOOKUP($B43,'2022 Count Table'!A43:X226,21)</f>
        <v>192</v>
      </c>
      <c r="AD43" s="16">
        <f>VLOOKUP($B43,'2022 Count Table'!A43:X226,22)</f>
        <v>160</v>
      </c>
      <c r="AE43" s="22">
        <f>VLOOKUP($B43,'2022 Count Table'!A43:X226,23)</f>
        <v>7.7074666082767682E-2</v>
      </c>
      <c r="AF43" s="23">
        <f>VLOOKUP($B43,'2022 Count Table'!A43:X226,24)</f>
        <v>0.54545454545454541</v>
      </c>
      <c r="AG43" s="24">
        <v>2</v>
      </c>
      <c r="AH43" s="25">
        <v>55</v>
      </c>
      <c r="AI43" s="18" t="s">
        <v>268</v>
      </c>
      <c r="AJ43" s="16" t="s">
        <v>268</v>
      </c>
      <c r="AK43" s="16" t="s">
        <v>268</v>
      </c>
      <c r="AL43" s="16" t="s">
        <v>268</v>
      </c>
      <c r="AM43" s="16" t="s">
        <v>268</v>
      </c>
      <c r="AN43" s="128" t="s">
        <v>268</v>
      </c>
      <c r="AO43" s="131">
        <f t="shared" si="2"/>
        <v>4431.1850204764332</v>
      </c>
      <c r="AP43" s="128">
        <f t="shared" si="3"/>
        <v>2098.0149795235666</v>
      </c>
    </row>
    <row r="44" spans="1:42" s="205" customFormat="1" ht="18.95" customHeight="1">
      <c r="A44" s="184">
        <v>55</v>
      </c>
      <c r="B44" s="184">
        <f>VLOOKUP(C44,'station changes (20-21)'!$A$3:$D$298,4,)</f>
        <v>39</v>
      </c>
      <c r="C44" s="184">
        <v>55</v>
      </c>
      <c r="D44" s="185" t="s">
        <v>117</v>
      </c>
      <c r="E44" s="185" t="s">
        <v>302</v>
      </c>
      <c r="F44" s="186">
        <v>43859</v>
      </c>
      <c r="G44" s="187" t="s">
        <v>267</v>
      </c>
      <c r="H44" s="188">
        <v>6990</v>
      </c>
      <c r="I44" s="189">
        <v>7229</v>
      </c>
      <c r="J44" s="189">
        <v>7763</v>
      </c>
      <c r="K44" s="189">
        <v>7856</v>
      </c>
      <c r="L44" s="174">
        <v>9859</v>
      </c>
      <c r="M44" s="174">
        <v>10851</v>
      </c>
      <c r="N44" s="174">
        <v>12938</v>
      </c>
      <c r="O44" s="174">
        <v>11225</v>
      </c>
      <c r="P44" s="174">
        <v>11414</v>
      </c>
      <c r="Q44" s="174">
        <v>10971</v>
      </c>
      <c r="R44" s="174">
        <f>VLOOKUP(B44,'2022 Count Table'!A44:X227,11)</f>
        <v>17029</v>
      </c>
      <c r="S44" s="175">
        <f t="shared" si="0"/>
        <v>18264.999999999767</v>
      </c>
      <c r="T44" s="176">
        <f t="shared" si="1"/>
        <v>1.4999999999999999E-2</v>
      </c>
      <c r="U44" s="192">
        <v>0.36458333333333298</v>
      </c>
      <c r="V44" s="189">
        <v>875</v>
      </c>
      <c r="W44" s="189">
        <v>500</v>
      </c>
      <c r="X44" s="189">
        <v>375</v>
      </c>
      <c r="Y44" s="193">
        <v>7.6660241808305593E-2</v>
      </c>
      <c r="Z44" s="194">
        <v>0.5714285714285714</v>
      </c>
      <c r="AA44" s="192">
        <f>VLOOKUP(B44,'2022 Count Table'!A44:X227,19)</f>
        <v>0.67708333333333337</v>
      </c>
      <c r="AB44" s="189">
        <f>VLOOKUP($B44,'2022 Count Table'!A44:X227,20)</f>
        <v>1370</v>
      </c>
      <c r="AC44" s="189">
        <f>VLOOKUP($B44,'2022 Count Table'!A44:X227,21)</f>
        <v>685</v>
      </c>
      <c r="AD44" s="189">
        <f>VLOOKUP($B44,'2022 Count Table'!A44:X227,22)</f>
        <v>685</v>
      </c>
      <c r="AE44" s="193">
        <f>VLOOKUP($B44,'2022 Count Table'!A44:X227,23)</f>
        <v>8.045099536085501E-2</v>
      </c>
      <c r="AF44" s="194">
        <f>VLOOKUP($B44,'2022 Count Table'!A44:X227,24)</f>
        <v>0.5</v>
      </c>
      <c r="AG44" s="195">
        <v>2</v>
      </c>
      <c r="AH44" s="196">
        <v>55</v>
      </c>
      <c r="AI44" s="188" t="s">
        <v>268</v>
      </c>
      <c r="AJ44" s="189" t="s">
        <v>268</v>
      </c>
      <c r="AK44" s="189" t="s">
        <v>268</v>
      </c>
      <c r="AL44" s="189" t="s">
        <v>268</v>
      </c>
      <c r="AM44" s="189" t="s">
        <v>268</v>
      </c>
      <c r="AN44" s="197" t="s">
        <v>268</v>
      </c>
      <c r="AO44" s="198">
        <f t="shared" si="2"/>
        <v>16676.323974907875</v>
      </c>
      <c r="AP44" s="197">
        <f t="shared" si="3"/>
        <v>8754.4760250921245</v>
      </c>
    </row>
    <row r="45" spans="1:42" s="162" customFormat="1" ht="18.95" customHeight="1">
      <c r="A45" s="184">
        <v>58</v>
      </c>
      <c r="B45" s="184">
        <f>VLOOKUP(C45,'station changes (20-21)'!$A$3:$D$298,4,)</f>
        <v>40</v>
      </c>
      <c r="C45" s="184">
        <v>58</v>
      </c>
      <c r="D45" s="185" t="s">
        <v>117</v>
      </c>
      <c r="E45" s="185" t="s">
        <v>304</v>
      </c>
      <c r="F45" s="186">
        <v>43860</v>
      </c>
      <c r="G45" s="187" t="s">
        <v>267</v>
      </c>
      <c r="H45" s="188">
        <v>6157</v>
      </c>
      <c r="I45" s="189">
        <v>5451</v>
      </c>
      <c r="J45" s="189">
        <v>6404</v>
      </c>
      <c r="K45" s="189">
        <v>6630</v>
      </c>
      <c r="L45" s="174">
        <v>7905</v>
      </c>
      <c r="M45" s="174">
        <v>9966</v>
      </c>
      <c r="N45" s="174">
        <v>10217</v>
      </c>
      <c r="O45" s="174">
        <v>9939</v>
      </c>
      <c r="P45" s="174">
        <v>11739</v>
      </c>
      <c r="Q45" s="174">
        <v>11299</v>
      </c>
      <c r="R45" s="174">
        <f>VLOOKUP(B45,'2022 Count Table'!A45:X228,11)</f>
        <v>15678</v>
      </c>
      <c r="S45" s="175">
        <f t="shared" si="0"/>
        <v>20371.799999999814</v>
      </c>
      <c r="T45" s="176">
        <f t="shared" si="1"/>
        <v>5.5E-2</v>
      </c>
      <c r="U45" s="192">
        <v>0.27083333333333298</v>
      </c>
      <c r="V45" s="189">
        <v>945</v>
      </c>
      <c r="W45" s="189">
        <v>365</v>
      </c>
      <c r="X45" s="189">
        <v>580</v>
      </c>
      <c r="Y45" s="193">
        <v>8.0500894454382826E-2</v>
      </c>
      <c r="Z45" s="194">
        <v>0.61375661375661372</v>
      </c>
      <c r="AA45" s="192">
        <f>VLOOKUP(B45,'2022 Count Table'!A45:X228,19)</f>
        <v>0.64583333333333337</v>
      </c>
      <c r="AB45" s="189">
        <f>VLOOKUP($B45,'2022 Count Table'!A45:X228,20)</f>
        <v>1112</v>
      </c>
      <c r="AC45" s="189">
        <f>VLOOKUP($B45,'2022 Count Table'!A45:X228,21)</f>
        <v>647</v>
      </c>
      <c r="AD45" s="189">
        <f>VLOOKUP($B45,'2022 Count Table'!A45:X228,22)</f>
        <v>465</v>
      </c>
      <c r="AE45" s="193">
        <f>VLOOKUP($B45,'2022 Count Table'!A45:X228,23)</f>
        <v>7.0927414210996298E-2</v>
      </c>
      <c r="AF45" s="194">
        <f>VLOOKUP($B45,'2022 Count Table'!A45:X228,24)</f>
        <v>0.58183453237410077</v>
      </c>
      <c r="AG45" s="195">
        <v>2</v>
      </c>
      <c r="AH45" s="196">
        <v>55</v>
      </c>
      <c r="AI45" s="188" t="s">
        <v>268</v>
      </c>
      <c r="AJ45" s="189" t="s">
        <v>268</v>
      </c>
      <c r="AK45" s="189" t="s">
        <v>268</v>
      </c>
      <c r="AL45" s="189" t="s">
        <v>268</v>
      </c>
      <c r="AM45" s="189" t="s">
        <v>268</v>
      </c>
      <c r="AN45" s="197" t="s">
        <v>268</v>
      </c>
      <c r="AO45" s="198">
        <f t="shared" si="2"/>
        <v>15382.927090101999</v>
      </c>
      <c r="AP45" s="197">
        <f t="shared" si="3"/>
        <v>8165.8729098980011</v>
      </c>
    </row>
    <row r="46" spans="1:42" s="205" customFormat="1" ht="18.95" customHeight="1">
      <c r="A46" s="125">
        <v>59</v>
      </c>
      <c r="B46" s="125">
        <f>VLOOKUP(C46,'station changes (20-21)'!$A$3:$D$298,4,)</f>
        <v>41</v>
      </c>
      <c r="C46" s="125">
        <v>59</v>
      </c>
      <c r="D46" s="126" t="s">
        <v>117</v>
      </c>
      <c r="E46" s="126" t="s">
        <v>305</v>
      </c>
      <c r="F46" s="17">
        <v>43887</v>
      </c>
      <c r="G46" s="127" t="s">
        <v>267</v>
      </c>
      <c r="H46" s="18">
        <v>5742</v>
      </c>
      <c r="I46" s="16">
        <v>5068</v>
      </c>
      <c r="J46" s="16">
        <v>6368</v>
      </c>
      <c r="K46" s="16">
        <v>6856</v>
      </c>
      <c r="L46" s="202">
        <v>7905</v>
      </c>
      <c r="M46" s="202">
        <v>10521</v>
      </c>
      <c r="N46" s="202">
        <v>9837</v>
      </c>
      <c r="O46" s="202">
        <v>10669</v>
      </c>
      <c r="P46" s="202">
        <v>10939</v>
      </c>
      <c r="Q46" s="202">
        <v>11428</v>
      </c>
      <c r="R46" s="202">
        <f>VLOOKUP(B46,'2022 Count Table'!A46:X229,11)</f>
        <v>15563</v>
      </c>
      <c r="S46" s="19">
        <f t="shared" si="0"/>
        <v>20234.899999999907</v>
      </c>
      <c r="T46" s="20">
        <f t="shared" si="1"/>
        <v>5.5E-2</v>
      </c>
      <c r="U46" s="21">
        <v>0.30208333333333298</v>
      </c>
      <c r="V46" s="16">
        <v>976</v>
      </c>
      <c r="W46" s="16">
        <v>443</v>
      </c>
      <c r="X46" s="16">
        <v>533</v>
      </c>
      <c r="Y46" s="22">
        <v>8.9222049547490634E-2</v>
      </c>
      <c r="Z46" s="23">
        <v>0.54610655737704916</v>
      </c>
      <c r="AA46" s="21">
        <f>VLOOKUP(B46,'2022 Count Table'!A46:X229,19)</f>
        <v>0.65625</v>
      </c>
      <c r="AB46" s="16">
        <f>VLOOKUP($B46,'2022 Count Table'!A46:X229,20)</f>
        <v>1220</v>
      </c>
      <c r="AC46" s="16">
        <f>VLOOKUP($B46,'2022 Count Table'!A46:X229,21)</f>
        <v>691</v>
      </c>
      <c r="AD46" s="16">
        <f>VLOOKUP($B46,'2022 Count Table'!A46:X229,22)</f>
        <v>529</v>
      </c>
      <c r="AE46" s="22">
        <f>VLOOKUP($B46,'2022 Count Table'!A46:X229,23)</f>
        <v>7.8391055709053525E-2</v>
      </c>
      <c r="AF46" s="23">
        <f>VLOOKUP($B46,'2022 Count Table'!A46:X229,24)</f>
        <v>0.56639344262295077</v>
      </c>
      <c r="AG46" s="24">
        <v>2</v>
      </c>
      <c r="AH46" s="25">
        <v>55</v>
      </c>
      <c r="AI46" s="18" t="s">
        <v>268</v>
      </c>
      <c r="AJ46" s="16" t="s">
        <v>268</v>
      </c>
      <c r="AK46" s="16" t="s">
        <v>268</v>
      </c>
      <c r="AL46" s="16" t="s">
        <v>268</v>
      </c>
      <c r="AM46" s="16" t="s">
        <v>268</v>
      </c>
      <c r="AN46" s="128" t="s">
        <v>268</v>
      </c>
      <c r="AO46" s="131">
        <f t="shared" si="2"/>
        <v>15196.705761499759</v>
      </c>
      <c r="AP46" s="128">
        <f t="shared" si="3"/>
        <v>8177.6942385002421</v>
      </c>
    </row>
    <row r="47" spans="1:42" s="162" customFormat="1" ht="18.95" customHeight="1">
      <c r="A47" s="184">
        <v>60</v>
      </c>
      <c r="B47" s="184">
        <f>VLOOKUP(C47,'station changes (20-21)'!$A$3:$D$298,4,)</f>
        <v>42</v>
      </c>
      <c r="C47" s="184">
        <v>60</v>
      </c>
      <c r="D47" s="185" t="s">
        <v>306</v>
      </c>
      <c r="E47" s="185" t="s">
        <v>307</v>
      </c>
      <c r="F47" s="186">
        <v>43860</v>
      </c>
      <c r="G47" s="187" t="s">
        <v>267</v>
      </c>
      <c r="H47" s="188">
        <v>7808</v>
      </c>
      <c r="I47" s="189">
        <v>6411</v>
      </c>
      <c r="J47" s="189">
        <v>7337</v>
      </c>
      <c r="K47" s="189">
        <v>8936</v>
      </c>
      <c r="L47" s="174">
        <v>7731</v>
      </c>
      <c r="M47" s="174">
        <v>7782</v>
      </c>
      <c r="N47" s="174">
        <v>8466</v>
      </c>
      <c r="O47" s="174">
        <v>8107</v>
      </c>
      <c r="P47" s="174">
        <v>8087</v>
      </c>
      <c r="Q47" s="174">
        <v>7981</v>
      </c>
      <c r="R47" s="174">
        <f>VLOOKUP(B47,'2022 Count Table'!A47:X230,11)</f>
        <v>8454</v>
      </c>
      <c r="S47" s="175">
        <f t="shared" si="0"/>
        <v>8114</v>
      </c>
      <c r="T47" s="176">
        <f t="shared" si="1"/>
        <v>0</v>
      </c>
      <c r="U47" s="192">
        <v>0.30208333333333298</v>
      </c>
      <c r="V47" s="189">
        <v>721</v>
      </c>
      <c r="W47" s="189">
        <v>239</v>
      </c>
      <c r="X47" s="189">
        <v>482</v>
      </c>
      <c r="Y47" s="193">
        <v>8.9155434648200818E-2</v>
      </c>
      <c r="Z47" s="194">
        <v>0.66851595006934816</v>
      </c>
      <c r="AA47" s="192">
        <f>VLOOKUP(B47,'2022 Count Table'!A47:X230,19)</f>
        <v>0.6875</v>
      </c>
      <c r="AB47" s="189">
        <f>VLOOKUP($B47,'2022 Count Table'!A47:X230,20)</f>
        <v>743</v>
      </c>
      <c r="AC47" s="189">
        <f>VLOOKUP($B47,'2022 Count Table'!A47:X230,21)</f>
        <v>494</v>
      </c>
      <c r="AD47" s="189">
        <f>VLOOKUP($B47,'2022 Count Table'!A47:X230,22)</f>
        <v>249</v>
      </c>
      <c r="AE47" s="193">
        <f>VLOOKUP($B47,'2022 Count Table'!A47:X230,23)</f>
        <v>8.7887390584338781E-2</v>
      </c>
      <c r="AF47" s="194">
        <f>VLOOKUP($B47,'2022 Count Table'!A47:X230,24)</f>
        <v>0.66487213997308214</v>
      </c>
      <c r="AG47" s="195">
        <v>2</v>
      </c>
      <c r="AH47" s="196">
        <v>35</v>
      </c>
      <c r="AI47" s="188" t="s">
        <v>268</v>
      </c>
      <c r="AJ47" s="189" t="s">
        <v>268</v>
      </c>
      <c r="AK47" s="189" t="s">
        <v>268</v>
      </c>
      <c r="AL47" s="189" t="s">
        <v>268</v>
      </c>
      <c r="AM47" s="189" t="s">
        <v>268</v>
      </c>
      <c r="AN47" s="197" t="s">
        <v>268</v>
      </c>
      <c r="AO47" s="198">
        <f t="shared" si="2"/>
        <v>8571.4814534128</v>
      </c>
      <c r="AP47" s="197">
        <f t="shared" si="3"/>
        <v>7866.5185465872</v>
      </c>
    </row>
    <row r="48" spans="1:42" s="205" customFormat="1" ht="18.95" customHeight="1">
      <c r="A48" s="125">
        <v>62</v>
      </c>
      <c r="B48" s="125">
        <f>VLOOKUP(C48,'station changes (20-21)'!$A$3:$D$298,4,)</f>
        <v>43</v>
      </c>
      <c r="C48" s="125">
        <v>62</v>
      </c>
      <c r="D48" s="126" t="s">
        <v>306</v>
      </c>
      <c r="E48" s="126" t="s">
        <v>308</v>
      </c>
      <c r="F48" s="17">
        <v>43860</v>
      </c>
      <c r="G48" s="127" t="s">
        <v>267</v>
      </c>
      <c r="H48" s="18">
        <v>6426</v>
      </c>
      <c r="I48" s="16">
        <v>7584</v>
      </c>
      <c r="J48" s="16">
        <v>6049</v>
      </c>
      <c r="K48" s="16">
        <v>6188</v>
      </c>
      <c r="L48" s="202">
        <v>6856</v>
      </c>
      <c r="M48" s="202">
        <v>6467</v>
      </c>
      <c r="N48" s="202">
        <v>7284</v>
      </c>
      <c r="O48" s="202">
        <v>6801</v>
      </c>
      <c r="P48" s="202">
        <v>6496</v>
      </c>
      <c r="Q48" s="202">
        <v>6635</v>
      </c>
      <c r="R48" s="202">
        <f>VLOOKUP(B48,'2022 Count Table'!A48:X231,11)</f>
        <v>6930</v>
      </c>
      <c r="S48" s="19">
        <f t="shared" si="0"/>
        <v>6217.3999999999942</v>
      </c>
      <c r="T48" s="20">
        <f t="shared" si="1"/>
        <v>0</v>
      </c>
      <c r="U48" s="21">
        <v>0.29166666666666702</v>
      </c>
      <c r="V48" s="16">
        <v>506</v>
      </c>
      <c r="W48" s="16">
        <v>130</v>
      </c>
      <c r="X48" s="16">
        <v>376</v>
      </c>
      <c r="Y48" s="22">
        <v>7.7894088669950734E-2</v>
      </c>
      <c r="Z48" s="23">
        <v>0.74308300395256921</v>
      </c>
      <c r="AA48" s="21">
        <f>VLOOKUP(B48,'2022 Count Table'!A48:X231,19)</f>
        <v>0.6875</v>
      </c>
      <c r="AB48" s="16">
        <f>VLOOKUP($B48,'2022 Count Table'!A48:X231,20)</f>
        <v>603</v>
      </c>
      <c r="AC48" s="16">
        <f>VLOOKUP($B48,'2022 Count Table'!A48:X231,21)</f>
        <v>405</v>
      </c>
      <c r="AD48" s="16">
        <f>VLOOKUP($B48,'2022 Count Table'!A48:X231,22)</f>
        <v>198</v>
      </c>
      <c r="AE48" s="22">
        <f>VLOOKUP($B48,'2022 Count Table'!A48:X231,23)</f>
        <v>8.7012987012987014E-2</v>
      </c>
      <c r="AF48" s="23">
        <f>VLOOKUP($B48,'2022 Count Table'!A48:X231,24)</f>
        <v>0.67164179104477617</v>
      </c>
      <c r="AG48" s="24">
        <v>2</v>
      </c>
      <c r="AH48" s="25">
        <v>45</v>
      </c>
      <c r="AI48" s="18" t="s">
        <v>268</v>
      </c>
      <c r="AJ48" s="16" t="s">
        <v>268</v>
      </c>
      <c r="AK48" s="16" t="s">
        <v>268</v>
      </c>
      <c r="AL48" s="16" t="s">
        <v>268</v>
      </c>
      <c r="AM48" s="16" t="s">
        <v>268</v>
      </c>
      <c r="AN48" s="128" t="s">
        <v>268</v>
      </c>
      <c r="AO48" s="131">
        <f t="shared" si="2"/>
        <v>7303.0170163681332</v>
      </c>
      <c r="AP48" s="128">
        <f t="shared" si="3"/>
        <v>6355.3829836318664</v>
      </c>
    </row>
    <row r="49" spans="1:42" s="162" customFormat="1" ht="18.95" customHeight="1">
      <c r="A49" s="184">
        <v>64</v>
      </c>
      <c r="B49" s="184">
        <f>VLOOKUP(C49,'station changes (20-21)'!$A$3:$D$298,4,)</f>
        <v>44</v>
      </c>
      <c r="C49" s="184">
        <v>64</v>
      </c>
      <c r="D49" s="185" t="s">
        <v>306</v>
      </c>
      <c r="E49" s="185" t="s">
        <v>309</v>
      </c>
      <c r="F49" s="186">
        <v>43879</v>
      </c>
      <c r="G49" s="187" t="s">
        <v>267</v>
      </c>
      <c r="H49" s="188">
        <v>2665</v>
      </c>
      <c r="I49" s="189">
        <v>3099</v>
      </c>
      <c r="J49" s="189">
        <v>3069</v>
      </c>
      <c r="K49" s="189">
        <v>3113</v>
      </c>
      <c r="L49" s="174">
        <v>3607</v>
      </c>
      <c r="M49" s="174">
        <v>4017</v>
      </c>
      <c r="N49" s="174">
        <v>3809</v>
      </c>
      <c r="O49" s="174">
        <v>3729</v>
      </c>
      <c r="P49" s="174">
        <v>3737</v>
      </c>
      <c r="Q49" s="174">
        <v>3854</v>
      </c>
      <c r="R49" s="174">
        <f>VLOOKUP(B49,'2022 Count Table'!A49:X232,11)</f>
        <v>3990</v>
      </c>
      <c r="S49" s="175">
        <f t="shared" si="0"/>
        <v>4164.7000000000116</v>
      </c>
      <c r="T49" s="176">
        <f t="shared" si="1"/>
        <v>7.4999999999999997E-3</v>
      </c>
      <c r="U49" s="192">
        <v>0.28125</v>
      </c>
      <c r="V49" s="189">
        <v>319</v>
      </c>
      <c r="W49" s="189">
        <v>136</v>
      </c>
      <c r="X49" s="189">
        <v>183</v>
      </c>
      <c r="Y49" s="193">
        <v>8.5362590313085365E-2</v>
      </c>
      <c r="Z49" s="194">
        <v>0.57366771159874608</v>
      </c>
      <c r="AA49" s="192">
        <f>VLOOKUP(B49,'2022 Count Table'!A49:X232,19)</f>
        <v>0.6875</v>
      </c>
      <c r="AB49" s="189">
        <f>VLOOKUP($B49,'2022 Count Table'!A49:X232,20)</f>
        <v>375</v>
      </c>
      <c r="AC49" s="189">
        <f>VLOOKUP($B49,'2022 Count Table'!A49:X232,21)</f>
        <v>207</v>
      </c>
      <c r="AD49" s="189">
        <f>VLOOKUP($B49,'2022 Count Table'!A49:X232,22)</f>
        <v>168</v>
      </c>
      <c r="AE49" s="193">
        <f>VLOOKUP($B49,'2022 Count Table'!A49:X232,23)</f>
        <v>9.3984962406015032E-2</v>
      </c>
      <c r="AF49" s="194">
        <f>VLOOKUP($B49,'2022 Count Table'!A49:X232,24)</f>
        <v>0.55200000000000005</v>
      </c>
      <c r="AG49" s="195">
        <v>2</v>
      </c>
      <c r="AH49" s="196">
        <v>45</v>
      </c>
      <c r="AI49" s="188" t="s">
        <v>268</v>
      </c>
      <c r="AJ49" s="189" t="s">
        <v>268</v>
      </c>
      <c r="AK49" s="189" t="s">
        <v>268</v>
      </c>
      <c r="AL49" s="189" t="s">
        <v>268</v>
      </c>
      <c r="AM49" s="189" t="s">
        <v>268</v>
      </c>
      <c r="AN49" s="197" t="s">
        <v>268</v>
      </c>
      <c r="AO49" s="198">
        <f t="shared" si="2"/>
        <v>3990.3257187343747</v>
      </c>
      <c r="AP49" s="197">
        <f t="shared" si="3"/>
        <v>3657.2742812656256</v>
      </c>
    </row>
    <row r="50" spans="1:42" s="205" customFormat="1" ht="18.95" customHeight="1">
      <c r="A50" s="125">
        <v>65</v>
      </c>
      <c r="B50" s="125">
        <f>VLOOKUP(C50,'station changes (20-21)'!$A$3:$D$298,4,)</f>
        <v>45</v>
      </c>
      <c r="C50" s="125">
        <v>65</v>
      </c>
      <c r="D50" s="126" t="s">
        <v>306</v>
      </c>
      <c r="E50" s="126" t="s">
        <v>310</v>
      </c>
      <c r="F50" s="17">
        <v>43860</v>
      </c>
      <c r="G50" s="127" t="s">
        <v>267</v>
      </c>
      <c r="H50" s="18">
        <v>2418</v>
      </c>
      <c r="I50" s="16">
        <v>2242</v>
      </c>
      <c r="J50" s="16">
        <v>2340</v>
      </c>
      <c r="K50" s="16">
        <v>2511</v>
      </c>
      <c r="L50" s="202">
        <v>2891</v>
      </c>
      <c r="M50" s="202">
        <v>2840</v>
      </c>
      <c r="N50" s="202">
        <v>3068</v>
      </c>
      <c r="O50" s="202">
        <v>3305</v>
      </c>
      <c r="P50" s="202">
        <v>3964</v>
      </c>
      <c r="Q50" s="202">
        <v>3846</v>
      </c>
      <c r="R50" s="202">
        <f>VLOOKUP(B50,'2022 Count Table'!A50:X233,11)</f>
        <v>3592</v>
      </c>
      <c r="S50" s="19">
        <f t="shared" si="0"/>
        <v>4667.2999999999884</v>
      </c>
      <c r="T50" s="20">
        <f t="shared" si="1"/>
        <v>5.5E-2</v>
      </c>
      <c r="U50" s="21">
        <v>0.42708333333333298</v>
      </c>
      <c r="V50" s="16">
        <v>276</v>
      </c>
      <c r="W50" s="16">
        <v>126</v>
      </c>
      <c r="X50" s="16">
        <v>150</v>
      </c>
      <c r="Y50" s="22">
        <v>6.962663975782038E-2</v>
      </c>
      <c r="Z50" s="23">
        <v>0.54347826086956519</v>
      </c>
      <c r="AA50" s="21">
        <f>VLOOKUP(B50,'2022 Count Table'!A50:X233,19)</f>
        <v>0.6875</v>
      </c>
      <c r="AB50" s="16">
        <f>VLOOKUP($B50,'2022 Count Table'!A50:X233,20)</f>
        <v>360</v>
      </c>
      <c r="AC50" s="16">
        <f>VLOOKUP($B50,'2022 Count Table'!A50:X233,21)</f>
        <v>177</v>
      </c>
      <c r="AD50" s="16">
        <f>VLOOKUP($B50,'2022 Count Table'!A50:X233,22)</f>
        <v>183</v>
      </c>
      <c r="AE50" s="22">
        <f>VLOOKUP($B50,'2022 Count Table'!A50:X233,23)</f>
        <v>0.10022271714922049</v>
      </c>
      <c r="AF50" s="23">
        <f>VLOOKUP($B50,'2022 Count Table'!A50:X233,24)</f>
        <v>0.5083333333333333</v>
      </c>
      <c r="AG50" s="24">
        <v>2</v>
      </c>
      <c r="AH50" s="25">
        <v>55</v>
      </c>
      <c r="AI50" s="18" t="s">
        <v>268</v>
      </c>
      <c r="AJ50" s="16" t="s">
        <v>268</v>
      </c>
      <c r="AK50" s="16" t="s">
        <v>268</v>
      </c>
      <c r="AL50" s="16" t="s">
        <v>268</v>
      </c>
      <c r="AM50" s="16" t="s">
        <v>268</v>
      </c>
      <c r="AN50" s="128" t="s">
        <v>268</v>
      </c>
      <c r="AO50" s="131">
        <f t="shared" si="2"/>
        <v>4136.9901201910561</v>
      </c>
      <c r="AP50" s="128">
        <f t="shared" si="3"/>
        <v>2973.0098798089439</v>
      </c>
    </row>
    <row r="51" spans="1:42" s="162" customFormat="1" ht="18.95" customHeight="1">
      <c r="A51" s="184">
        <v>66</v>
      </c>
      <c r="B51" s="184">
        <f>VLOOKUP(C51,'station changes (20-21)'!$A$3:$D$298,4,)</f>
        <v>46</v>
      </c>
      <c r="C51" s="184">
        <v>66</v>
      </c>
      <c r="D51" s="185" t="s">
        <v>72</v>
      </c>
      <c r="E51" s="185" t="s">
        <v>311</v>
      </c>
      <c r="F51" s="186">
        <v>43865</v>
      </c>
      <c r="G51" s="187" t="s">
        <v>267</v>
      </c>
      <c r="H51" s="188">
        <v>3139</v>
      </c>
      <c r="I51" s="189">
        <v>3521</v>
      </c>
      <c r="J51" s="189">
        <v>4447</v>
      </c>
      <c r="K51" s="189">
        <v>4590</v>
      </c>
      <c r="L51" s="174">
        <v>4562</v>
      </c>
      <c r="M51" s="174">
        <v>5158</v>
      </c>
      <c r="N51" s="174">
        <v>5054</v>
      </c>
      <c r="O51" s="174">
        <v>5422</v>
      </c>
      <c r="P51" s="174">
        <v>5646</v>
      </c>
      <c r="Q51" s="174">
        <v>5584</v>
      </c>
      <c r="R51" s="174">
        <f>VLOOKUP(B51,'2022 Count Table'!A51:X234,11)</f>
        <v>6086</v>
      </c>
      <c r="S51" s="175">
        <f t="shared" si="0"/>
        <v>7116.6000000000349</v>
      </c>
      <c r="T51" s="176">
        <f t="shared" si="1"/>
        <v>3.2500000000000001E-2</v>
      </c>
      <c r="U51" s="192">
        <v>0.3125</v>
      </c>
      <c r="V51" s="189">
        <v>537</v>
      </c>
      <c r="W51" s="189">
        <v>400</v>
      </c>
      <c r="X51" s="189">
        <v>137</v>
      </c>
      <c r="Y51" s="193">
        <v>9.5111583421891605E-2</v>
      </c>
      <c r="Z51" s="194">
        <v>0.74487895716945995</v>
      </c>
      <c r="AA51" s="192">
        <f>VLOOKUP(B51,'2022 Count Table'!A51:X234,19)</f>
        <v>0.60416666666666663</v>
      </c>
      <c r="AB51" s="189">
        <f>VLOOKUP($B51,'2022 Count Table'!A51:X234,20)</f>
        <v>547</v>
      </c>
      <c r="AC51" s="189">
        <f>VLOOKUP($B51,'2022 Count Table'!A51:X234,21)</f>
        <v>329</v>
      </c>
      <c r="AD51" s="189">
        <f>VLOOKUP($B51,'2022 Count Table'!A51:X234,22)</f>
        <v>218</v>
      </c>
      <c r="AE51" s="193">
        <f>VLOOKUP($B51,'2022 Count Table'!A51:X234,23)</f>
        <v>8.9878409464344403E-2</v>
      </c>
      <c r="AF51" s="194">
        <f>VLOOKUP($B51,'2022 Count Table'!A51:X234,24)</f>
        <v>0.60146252285191959</v>
      </c>
      <c r="AG51" s="195">
        <v>2</v>
      </c>
      <c r="AH51" s="196">
        <v>35</v>
      </c>
      <c r="AI51" s="188" t="s">
        <v>268</v>
      </c>
      <c r="AJ51" s="189" t="s">
        <v>268</v>
      </c>
      <c r="AK51" s="189" t="s">
        <v>268</v>
      </c>
      <c r="AL51" s="189" t="s">
        <v>268</v>
      </c>
      <c r="AM51" s="189" t="s">
        <v>268</v>
      </c>
      <c r="AN51" s="197" t="s">
        <v>268</v>
      </c>
      <c r="AO51" s="198">
        <f t="shared" si="2"/>
        <v>6143.913074149501</v>
      </c>
      <c r="AP51" s="197">
        <f t="shared" si="3"/>
        <v>4972.8869258504983</v>
      </c>
    </row>
    <row r="52" spans="1:42" s="205" customFormat="1" ht="18.95" customHeight="1">
      <c r="A52" s="125">
        <v>67</v>
      </c>
      <c r="B52" s="125">
        <f>VLOOKUP(C52,'station changes (20-21)'!$A$3:$D$298,4,)</f>
        <v>47</v>
      </c>
      <c r="C52" s="125">
        <v>67</v>
      </c>
      <c r="D52" s="126" t="s">
        <v>72</v>
      </c>
      <c r="E52" s="126" t="s">
        <v>312</v>
      </c>
      <c r="F52" s="17">
        <v>43865</v>
      </c>
      <c r="G52" s="127" t="s">
        <v>267</v>
      </c>
      <c r="H52" s="18">
        <v>4587</v>
      </c>
      <c r="I52" s="16">
        <v>4359</v>
      </c>
      <c r="J52" s="16">
        <v>5984</v>
      </c>
      <c r="K52" s="16">
        <v>6195</v>
      </c>
      <c r="L52" s="202">
        <v>5845</v>
      </c>
      <c r="M52" s="202">
        <v>6681</v>
      </c>
      <c r="N52" s="202">
        <v>6149</v>
      </c>
      <c r="O52" s="202">
        <v>6737</v>
      </c>
      <c r="P52" s="202">
        <v>7103</v>
      </c>
      <c r="Q52" s="202">
        <v>6806</v>
      </c>
      <c r="R52" s="202">
        <f>VLOOKUP(B52,'2022 Count Table'!A52:X235,11)</f>
        <v>7136</v>
      </c>
      <c r="S52" s="19">
        <f t="shared" si="0"/>
        <v>8216.3000000000466</v>
      </c>
      <c r="T52" s="20">
        <f t="shared" si="1"/>
        <v>2.75E-2</v>
      </c>
      <c r="U52" s="21">
        <v>0.3125</v>
      </c>
      <c r="V52" s="16">
        <v>616</v>
      </c>
      <c r="W52" s="16">
        <v>473</v>
      </c>
      <c r="X52" s="16">
        <v>143</v>
      </c>
      <c r="Y52" s="22">
        <v>8.6723919470646199E-2</v>
      </c>
      <c r="Z52" s="23">
        <v>0.7678571428571429</v>
      </c>
      <c r="AA52" s="21">
        <f>VLOOKUP(B52,'2022 Count Table'!A52:X235,19)</f>
        <v>0.69791666666666663</v>
      </c>
      <c r="AB52" s="16">
        <f>VLOOKUP($B52,'2022 Count Table'!A52:X235,20)</f>
        <v>643</v>
      </c>
      <c r="AC52" s="16">
        <f>VLOOKUP($B52,'2022 Count Table'!A52:X235,21)</f>
        <v>278</v>
      </c>
      <c r="AD52" s="16">
        <f>VLOOKUP($B52,'2022 Count Table'!A52:X235,22)</f>
        <v>365</v>
      </c>
      <c r="AE52" s="22">
        <f>VLOOKUP($B52,'2022 Count Table'!A52:X235,23)</f>
        <v>9.010650224215247E-2</v>
      </c>
      <c r="AF52" s="23">
        <f>VLOOKUP($B52,'2022 Count Table'!A52:X235,24)</f>
        <v>0.56765163297045096</v>
      </c>
      <c r="AG52" s="24">
        <v>2</v>
      </c>
      <c r="AH52" s="25">
        <v>35</v>
      </c>
      <c r="AI52" s="18" t="s">
        <v>268</v>
      </c>
      <c r="AJ52" s="16" t="s">
        <v>268</v>
      </c>
      <c r="AK52" s="16" t="s">
        <v>268</v>
      </c>
      <c r="AL52" s="16" t="s">
        <v>268</v>
      </c>
      <c r="AM52" s="16" t="s">
        <v>268</v>
      </c>
      <c r="AN52" s="128" t="s">
        <v>268</v>
      </c>
      <c r="AO52" s="131">
        <f t="shared" si="2"/>
        <v>7408.1564012051003</v>
      </c>
      <c r="AP52" s="128">
        <f t="shared" si="3"/>
        <v>6164.2435987948993</v>
      </c>
    </row>
    <row r="53" spans="1:42" s="162" customFormat="1" ht="18.95" customHeight="1">
      <c r="A53" s="184">
        <v>75</v>
      </c>
      <c r="B53" s="184">
        <f>VLOOKUP(C53,'station changes (20-21)'!$A$3:$D$298,4,)</f>
        <v>48</v>
      </c>
      <c r="C53" s="184">
        <v>75</v>
      </c>
      <c r="D53" s="185" t="s">
        <v>313</v>
      </c>
      <c r="E53" s="185" t="s">
        <v>314</v>
      </c>
      <c r="F53" s="186">
        <v>43860</v>
      </c>
      <c r="G53" s="187" t="s">
        <v>267</v>
      </c>
      <c r="H53" s="188">
        <v>2931</v>
      </c>
      <c r="I53" s="189">
        <v>2758</v>
      </c>
      <c r="J53" s="189">
        <v>3046</v>
      </c>
      <c r="K53" s="189">
        <v>3603</v>
      </c>
      <c r="L53" s="174">
        <v>3595</v>
      </c>
      <c r="M53" s="174">
        <v>4010</v>
      </c>
      <c r="N53" s="189">
        <v>4429</v>
      </c>
      <c r="O53" s="189">
        <v>4845</v>
      </c>
      <c r="P53" s="189">
        <v>5210</v>
      </c>
      <c r="Q53" s="189">
        <v>5130</v>
      </c>
      <c r="R53" s="189">
        <f>VLOOKUP(B53,'2022 Count Table'!A53:X236,11)</f>
        <v>5588</v>
      </c>
      <c r="S53" s="175">
        <f t="shared" si="0"/>
        <v>6862.5</v>
      </c>
      <c r="T53" s="176">
        <f t="shared" si="1"/>
        <v>4.2500000000000003E-2</v>
      </c>
      <c r="U53" s="192">
        <v>0.29166666666666702</v>
      </c>
      <c r="V53" s="189">
        <v>407</v>
      </c>
      <c r="W53" s="189">
        <v>244</v>
      </c>
      <c r="X53" s="189">
        <v>163</v>
      </c>
      <c r="Y53" s="193">
        <v>7.8119001919385797E-2</v>
      </c>
      <c r="Z53" s="194">
        <v>0.59950859950859947</v>
      </c>
      <c r="AA53" s="192">
        <f>VLOOKUP(B53,'2022 Count Table'!A53:X236,19)</f>
        <v>0.69791666666666663</v>
      </c>
      <c r="AB53" s="189">
        <f>VLOOKUP($B53,'2022 Count Table'!A53:X236,20)</f>
        <v>558</v>
      </c>
      <c r="AC53" s="189">
        <f>VLOOKUP($B53,'2022 Count Table'!A53:X236,21)</f>
        <v>239</v>
      </c>
      <c r="AD53" s="189">
        <f>VLOOKUP($B53,'2022 Count Table'!A53:X236,22)</f>
        <v>319</v>
      </c>
      <c r="AE53" s="193">
        <f>VLOOKUP($B53,'2022 Count Table'!A53:X236,23)</f>
        <v>9.9856836077308525E-2</v>
      </c>
      <c r="AF53" s="194">
        <f>VLOOKUP($B53,'2022 Count Table'!A53:X236,24)</f>
        <v>0.57168458781362008</v>
      </c>
      <c r="AG53" s="195">
        <v>2</v>
      </c>
      <c r="AH53" s="196">
        <v>55</v>
      </c>
      <c r="AI53" s="188" t="s">
        <v>268</v>
      </c>
      <c r="AJ53" s="189" t="s">
        <v>268</v>
      </c>
      <c r="AK53" s="189" t="s">
        <v>268</v>
      </c>
      <c r="AL53" s="189" t="s">
        <v>268</v>
      </c>
      <c r="AM53" s="189" t="s">
        <v>268</v>
      </c>
      <c r="AN53" s="197" t="s">
        <v>268</v>
      </c>
      <c r="AO53" s="198">
        <f t="shared" si="2"/>
        <v>5717.5614541599361</v>
      </c>
      <c r="AP53" s="197">
        <f t="shared" si="3"/>
        <v>4363.2385458400631</v>
      </c>
    </row>
    <row r="54" spans="1:42" s="205" customFormat="1" ht="18.95" customHeight="1">
      <c r="A54" s="184">
        <v>77</v>
      </c>
      <c r="B54" s="184">
        <f>VLOOKUP(C54,'station changes (20-21)'!$A$3:$D$298,4,)</f>
        <v>49</v>
      </c>
      <c r="C54" s="184">
        <v>77</v>
      </c>
      <c r="D54" s="185" t="s">
        <v>313</v>
      </c>
      <c r="E54" s="185" t="s">
        <v>316</v>
      </c>
      <c r="F54" s="186">
        <v>43859</v>
      </c>
      <c r="G54" s="187" t="s">
        <v>267</v>
      </c>
      <c r="H54" s="188">
        <v>6962</v>
      </c>
      <c r="I54" s="189">
        <v>3916</v>
      </c>
      <c r="J54" s="189">
        <v>4223</v>
      </c>
      <c r="K54" s="189">
        <v>4325</v>
      </c>
      <c r="L54" s="174">
        <v>5297</v>
      </c>
      <c r="M54" s="174">
        <v>4187</v>
      </c>
      <c r="N54" s="174">
        <v>5354</v>
      </c>
      <c r="O54" s="174">
        <v>5787</v>
      </c>
      <c r="P54" s="174">
        <v>6282</v>
      </c>
      <c r="Q54" s="174">
        <v>6111</v>
      </c>
      <c r="R54" s="174">
        <f>VLOOKUP(B54,'2022 Count Table'!A54:X237,11)</f>
        <v>7106</v>
      </c>
      <c r="S54" s="175">
        <f t="shared" si="0"/>
        <v>8807.5999999999767</v>
      </c>
      <c r="T54" s="176">
        <f t="shared" si="1"/>
        <v>4.4999999999999998E-2</v>
      </c>
      <c r="U54" s="192">
        <v>0.28125</v>
      </c>
      <c r="V54" s="189">
        <v>529</v>
      </c>
      <c r="W54" s="189">
        <v>187</v>
      </c>
      <c r="X54" s="189">
        <v>342</v>
      </c>
      <c r="Y54" s="193">
        <v>8.4208850684495379E-2</v>
      </c>
      <c r="Z54" s="194">
        <v>0.64650283553875232</v>
      </c>
      <c r="AA54" s="192">
        <f>VLOOKUP(B54,'2022 Count Table'!A54:X237,19)</f>
        <v>0.6875</v>
      </c>
      <c r="AB54" s="189">
        <f>VLOOKUP($B54,'2022 Count Table'!A54:X237,20)</f>
        <v>658</v>
      </c>
      <c r="AC54" s="189">
        <f>VLOOKUP($B54,'2022 Count Table'!A54:X237,21)</f>
        <v>350</v>
      </c>
      <c r="AD54" s="189">
        <f>VLOOKUP($B54,'2022 Count Table'!A54:X237,22)</f>
        <v>308</v>
      </c>
      <c r="AE54" s="193">
        <f>VLOOKUP($B54,'2022 Count Table'!A54:X237,23)</f>
        <v>9.2597804672108083E-2</v>
      </c>
      <c r="AF54" s="194">
        <f>VLOOKUP($B54,'2022 Count Table'!A54:X237,24)</f>
        <v>0.53191489361702127</v>
      </c>
      <c r="AG54" s="195">
        <v>2</v>
      </c>
      <c r="AH54" s="196">
        <v>55</v>
      </c>
      <c r="AI54" s="188" t="s">
        <v>268</v>
      </c>
      <c r="AJ54" s="189" t="s">
        <v>268</v>
      </c>
      <c r="AK54" s="189" t="s">
        <v>268</v>
      </c>
      <c r="AL54" s="189" t="s">
        <v>268</v>
      </c>
      <c r="AM54" s="189" t="s">
        <v>268</v>
      </c>
      <c r="AN54" s="197" t="s">
        <v>268</v>
      </c>
      <c r="AO54" s="198">
        <f t="shared" si="2"/>
        <v>7147.1691101088181</v>
      </c>
      <c r="AP54" s="197">
        <f t="shared" si="3"/>
        <v>5108.8308898911819</v>
      </c>
    </row>
    <row r="55" spans="1:42" s="162" customFormat="1" ht="18.95" customHeight="1">
      <c r="A55" s="125">
        <v>78</v>
      </c>
      <c r="B55" s="125">
        <f>VLOOKUP(C55,'station changes (20-21)'!$A$3:$D$298,4,)</f>
        <v>50</v>
      </c>
      <c r="C55" s="125">
        <v>78</v>
      </c>
      <c r="D55" s="126" t="s">
        <v>317</v>
      </c>
      <c r="E55" s="126" t="s">
        <v>318</v>
      </c>
      <c r="F55" s="17">
        <v>43887</v>
      </c>
      <c r="G55" s="127" t="s">
        <v>267</v>
      </c>
      <c r="H55" s="18">
        <v>3846</v>
      </c>
      <c r="I55" s="16">
        <v>3795</v>
      </c>
      <c r="J55" s="16">
        <v>3399</v>
      </c>
      <c r="K55" s="16">
        <v>3993</v>
      </c>
      <c r="L55" s="202">
        <v>4554</v>
      </c>
      <c r="M55" s="202">
        <v>4250</v>
      </c>
      <c r="N55" s="202">
        <v>4021</v>
      </c>
      <c r="O55" s="202" t="s">
        <v>243</v>
      </c>
      <c r="P55" s="202">
        <v>3873</v>
      </c>
      <c r="Q55" s="202">
        <v>3877</v>
      </c>
      <c r="R55" s="202">
        <f>VLOOKUP(B55,'2022 Count Table'!A55:X238,11)</f>
        <v>5297</v>
      </c>
      <c r="S55" s="19">
        <f t="shared" si="0"/>
        <v>5934.828571428603</v>
      </c>
      <c r="T55" s="20">
        <f t="shared" si="1"/>
        <v>2.2499999999999999E-2</v>
      </c>
      <c r="U55" s="21">
        <v>0.46875</v>
      </c>
      <c r="V55" s="16">
        <v>288</v>
      </c>
      <c r="W55" s="16">
        <v>146</v>
      </c>
      <c r="X55" s="16">
        <v>142</v>
      </c>
      <c r="Y55" s="22">
        <v>7.4360960495739731E-2</v>
      </c>
      <c r="Z55" s="23">
        <v>0.50694444444444442</v>
      </c>
      <c r="AA55" s="21">
        <f>VLOOKUP(B55,'2022 Count Table'!A55:X238,19)</f>
        <v>0.67708333333333337</v>
      </c>
      <c r="AB55" s="16">
        <f>VLOOKUP($B55,'2022 Count Table'!A55:X238,20)</f>
        <v>528</v>
      </c>
      <c r="AC55" s="16">
        <f>VLOOKUP($B55,'2022 Count Table'!A55:X238,21)</f>
        <v>314</v>
      </c>
      <c r="AD55" s="16">
        <f>VLOOKUP($B55,'2022 Count Table'!A55:X238,22)</f>
        <v>214</v>
      </c>
      <c r="AE55" s="22">
        <f>VLOOKUP($B55,'2022 Count Table'!A55:X238,23)</f>
        <v>9.9679063620917496E-2</v>
      </c>
      <c r="AF55" s="23">
        <f>VLOOKUP($B55,'2022 Count Table'!A55:X238,24)</f>
        <v>0.59469696969696972</v>
      </c>
      <c r="AG55" s="24">
        <v>2</v>
      </c>
      <c r="AH55" s="25">
        <v>55</v>
      </c>
      <c r="AI55" s="18" t="s">
        <v>268</v>
      </c>
      <c r="AJ55" s="16" t="s">
        <v>268</v>
      </c>
      <c r="AK55" s="16" t="s">
        <v>268</v>
      </c>
      <c r="AL55" s="16" t="s">
        <v>268</v>
      </c>
      <c r="AM55" s="16" t="s">
        <v>268</v>
      </c>
      <c r="AN55" s="128" t="s">
        <v>268</v>
      </c>
      <c r="AO55" s="131">
        <f t="shared" si="2"/>
        <v>5312.8911272211844</v>
      </c>
      <c r="AP55" s="128">
        <f t="shared" si="3"/>
        <v>3221.1088727788156</v>
      </c>
    </row>
    <row r="56" spans="1:42" s="205" customFormat="1" ht="18.95" customHeight="1">
      <c r="A56" s="184">
        <v>79</v>
      </c>
      <c r="B56" s="184">
        <f>VLOOKUP(C56,'station changes (20-21)'!$A$3:$D$298,4,)</f>
        <v>51</v>
      </c>
      <c r="C56" s="184">
        <v>79</v>
      </c>
      <c r="D56" s="185" t="s">
        <v>317</v>
      </c>
      <c r="E56" s="185" t="s">
        <v>319</v>
      </c>
      <c r="F56" s="186">
        <v>43887</v>
      </c>
      <c r="G56" s="187" t="s">
        <v>267</v>
      </c>
      <c r="H56" s="188">
        <v>4210</v>
      </c>
      <c r="I56" s="189">
        <v>4447</v>
      </c>
      <c r="J56" s="189">
        <v>5192</v>
      </c>
      <c r="K56" s="189">
        <v>4656</v>
      </c>
      <c r="L56" s="174">
        <v>5114</v>
      </c>
      <c r="M56" s="174">
        <v>4973</v>
      </c>
      <c r="N56" s="174">
        <v>4587</v>
      </c>
      <c r="O56" s="174" t="s">
        <v>243</v>
      </c>
      <c r="P56" s="174">
        <v>4652</v>
      </c>
      <c r="Q56" s="174">
        <v>4575</v>
      </c>
      <c r="R56" s="174">
        <f>VLOOKUP(B56,'2022 Count Table'!A56:X239,11)</f>
        <v>5681</v>
      </c>
      <c r="S56" s="175">
        <f t="shared" si="0"/>
        <v>6331.171428571397</v>
      </c>
      <c r="T56" s="176">
        <f t="shared" si="1"/>
        <v>2.2499999999999999E-2</v>
      </c>
      <c r="U56" s="192">
        <v>0.32291666666666702</v>
      </c>
      <c r="V56" s="189">
        <v>343</v>
      </c>
      <c r="W56" s="189">
        <v>185</v>
      </c>
      <c r="X56" s="189">
        <v>158</v>
      </c>
      <c r="Y56" s="193">
        <v>7.3731728288907991E-2</v>
      </c>
      <c r="Z56" s="194">
        <v>0.53935860058309038</v>
      </c>
      <c r="AA56" s="192">
        <f>VLOOKUP(B56,'2022 Count Table'!A56:X239,19)</f>
        <v>0.67708333333333337</v>
      </c>
      <c r="AB56" s="189">
        <f>VLOOKUP($B56,'2022 Count Table'!A56:X239,20)</f>
        <v>531</v>
      </c>
      <c r="AC56" s="189">
        <f>VLOOKUP($B56,'2022 Count Table'!A56:X239,21)</f>
        <v>308</v>
      </c>
      <c r="AD56" s="189">
        <f>VLOOKUP($B56,'2022 Count Table'!A56:X239,22)</f>
        <v>223</v>
      </c>
      <c r="AE56" s="193">
        <f>VLOOKUP($B56,'2022 Count Table'!A56:X239,23)</f>
        <v>9.3469459602182711E-2</v>
      </c>
      <c r="AF56" s="194">
        <f>VLOOKUP($B56,'2022 Count Table'!A56:X239,24)</f>
        <v>0.58003766478342744</v>
      </c>
      <c r="AG56" s="195">
        <v>2</v>
      </c>
      <c r="AH56" s="196">
        <v>55</v>
      </c>
      <c r="AI56" s="188" t="s">
        <v>268</v>
      </c>
      <c r="AJ56" s="189" t="s">
        <v>268</v>
      </c>
      <c r="AK56" s="189" t="s">
        <v>268</v>
      </c>
      <c r="AL56" s="189" t="s">
        <v>268</v>
      </c>
      <c r="AM56" s="189" t="s">
        <v>268</v>
      </c>
      <c r="AN56" s="197" t="s">
        <v>268</v>
      </c>
      <c r="AO56" s="198">
        <f t="shared" si="2"/>
        <v>5690.9750564983615</v>
      </c>
      <c r="AP56" s="197">
        <f t="shared" si="3"/>
        <v>4056.5249435016385</v>
      </c>
    </row>
    <row r="57" spans="1:42" s="162" customFormat="1" ht="18.95" customHeight="1">
      <c r="A57" s="125">
        <v>80</v>
      </c>
      <c r="B57" s="125">
        <f>VLOOKUP(C57,'station changes (20-21)'!$A$3:$D$298,4,)</f>
        <v>52</v>
      </c>
      <c r="C57" s="125">
        <v>80</v>
      </c>
      <c r="D57" s="126" t="s">
        <v>317</v>
      </c>
      <c r="E57" s="126" t="s">
        <v>320</v>
      </c>
      <c r="F57" s="17">
        <v>43852</v>
      </c>
      <c r="G57" s="127" t="s">
        <v>267</v>
      </c>
      <c r="H57" s="18">
        <v>5135</v>
      </c>
      <c r="I57" s="16">
        <v>5818</v>
      </c>
      <c r="J57" s="16">
        <v>4335</v>
      </c>
      <c r="K57" s="16">
        <v>5163</v>
      </c>
      <c r="L57" s="202">
        <v>6095</v>
      </c>
      <c r="M57" s="202">
        <v>6000</v>
      </c>
      <c r="N57" s="202">
        <v>5396</v>
      </c>
      <c r="O57" s="202"/>
      <c r="P57" s="202">
        <v>5130</v>
      </c>
      <c r="Q57" s="202">
        <v>5343</v>
      </c>
      <c r="R57" s="202">
        <f>VLOOKUP(B57,'2022 Count Table'!A57:X240,11)</f>
        <v>5951</v>
      </c>
      <c r="S57" s="19">
        <f t="shared" si="0"/>
        <v>6224.8857142857159</v>
      </c>
      <c r="T57" s="20">
        <f t="shared" si="1"/>
        <v>0.01</v>
      </c>
      <c r="U57" s="21">
        <v>0.48958333333333298</v>
      </c>
      <c r="V57" s="16">
        <v>411</v>
      </c>
      <c r="W57" s="16">
        <v>206</v>
      </c>
      <c r="X57" s="16">
        <v>205</v>
      </c>
      <c r="Y57" s="22">
        <v>8.0116959064327489E-2</v>
      </c>
      <c r="Z57" s="23">
        <v>0.5012165450121655</v>
      </c>
      <c r="AA57" s="21">
        <f>VLOOKUP(B57,'2022 Count Table'!A57:X240,19)</f>
        <v>0.64583333333333337</v>
      </c>
      <c r="AB57" s="16">
        <f>VLOOKUP($B57,'2022 Count Table'!A57:X240,20)</f>
        <v>544</v>
      </c>
      <c r="AC57" s="16">
        <f>VLOOKUP($B57,'2022 Count Table'!A57:X240,21)</f>
        <v>286</v>
      </c>
      <c r="AD57" s="16">
        <f>VLOOKUP($B57,'2022 Count Table'!A57:X240,22)</f>
        <v>258</v>
      </c>
      <c r="AE57" s="22">
        <f>VLOOKUP($B57,'2022 Count Table'!A57:X240,23)</f>
        <v>9.1413207864224494E-2</v>
      </c>
      <c r="AF57" s="23">
        <f>VLOOKUP($B57,'2022 Count Table'!A57:X240,24)</f>
        <v>0.52573529411764708</v>
      </c>
      <c r="AG57" s="24">
        <v>4</v>
      </c>
      <c r="AH57" s="25">
        <v>45</v>
      </c>
      <c r="AI57" s="18" t="s">
        <v>268</v>
      </c>
      <c r="AJ57" s="16" t="s">
        <v>268</v>
      </c>
      <c r="AK57" s="16" t="s">
        <v>268</v>
      </c>
      <c r="AL57" s="16" t="s">
        <v>268</v>
      </c>
      <c r="AM57" s="16" t="s">
        <v>268</v>
      </c>
      <c r="AN57" s="128" t="s">
        <v>268</v>
      </c>
      <c r="AO57" s="131">
        <f t="shared" si="2"/>
        <v>5985.560346473424</v>
      </c>
      <c r="AP57" s="128">
        <f t="shared" si="3"/>
        <v>4924.439653526576</v>
      </c>
    </row>
    <row r="58" spans="1:42" s="205" customFormat="1" ht="18.95" customHeight="1">
      <c r="A58" s="125">
        <v>390</v>
      </c>
      <c r="B58" s="125">
        <f>VLOOKUP(C58,'station changes (20-21)'!$A$3:$D$298,4,)</f>
        <v>53</v>
      </c>
      <c r="C58" s="125">
        <v>390</v>
      </c>
      <c r="D58" s="126" t="s">
        <v>463</v>
      </c>
      <c r="E58" s="126" t="s">
        <v>464</v>
      </c>
      <c r="F58" s="17" t="s">
        <v>243</v>
      </c>
      <c r="G58" s="127" t="s">
        <v>267</v>
      </c>
      <c r="H58" s="18">
        <v>941</v>
      </c>
      <c r="I58" s="16">
        <v>886</v>
      </c>
      <c r="J58" s="16">
        <v>847</v>
      </c>
      <c r="K58" s="16">
        <v>816</v>
      </c>
      <c r="L58" s="202">
        <v>914</v>
      </c>
      <c r="M58" s="310">
        <f t="shared" ref="M58:O58" si="4">M59</f>
        <v>4919</v>
      </c>
      <c r="N58" s="310">
        <f t="shared" si="4"/>
        <v>4325</v>
      </c>
      <c r="O58" s="310">
        <f t="shared" si="4"/>
        <v>4545</v>
      </c>
      <c r="P58" s="310">
        <f>P59</f>
        <v>5216</v>
      </c>
      <c r="Q58" s="310">
        <v>739</v>
      </c>
      <c r="R58" s="310">
        <f>VLOOKUP(B58,'2022 Count Table'!A58:X241,11)</f>
        <v>849</v>
      </c>
      <c r="S58" s="19">
        <f t="shared" si="0"/>
        <v>-4395.8000000002794</v>
      </c>
      <c r="T58" s="20">
        <f t="shared" si="1"/>
        <v>0</v>
      </c>
      <c r="U58" s="21" t="s">
        <v>243</v>
      </c>
      <c r="V58" s="16" t="s">
        <v>243</v>
      </c>
      <c r="W58" s="16" t="s">
        <v>243</v>
      </c>
      <c r="X58" s="16" t="s">
        <v>243</v>
      </c>
      <c r="Y58" s="22" t="s">
        <v>243</v>
      </c>
      <c r="Z58" s="23" t="s">
        <v>243</v>
      </c>
      <c r="AA58" s="21">
        <f>VLOOKUP(B58,'2022 Count Table'!A58:X241,19)</f>
        <v>0.76041666666666663</v>
      </c>
      <c r="AB58" s="16">
        <f>VLOOKUP($B58,'2022 Count Table'!A58:X241,20)</f>
        <v>88</v>
      </c>
      <c r="AC58" s="16">
        <f>VLOOKUP($B58,'2022 Count Table'!A58:X241,21)</f>
        <v>45</v>
      </c>
      <c r="AD58" s="16">
        <f>VLOOKUP($B58,'2022 Count Table'!A58:X241,22)</f>
        <v>43</v>
      </c>
      <c r="AE58" s="22">
        <f>VLOOKUP($B58,'2022 Count Table'!A58:X241,23)</f>
        <v>0.10365135453474676</v>
      </c>
      <c r="AF58" s="23">
        <f>VLOOKUP($B58,'2022 Count Table'!A58:X241,24)</f>
        <v>0.51136363636363635</v>
      </c>
      <c r="AG58" s="24">
        <v>2</v>
      </c>
      <c r="AH58" s="25">
        <v>35</v>
      </c>
      <c r="AI58" s="18" t="s">
        <v>268</v>
      </c>
      <c r="AJ58" s="16" t="s">
        <v>268</v>
      </c>
      <c r="AK58" s="16" t="s">
        <v>268</v>
      </c>
      <c r="AL58" s="16" t="s">
        <v>268</v>
      </c>
      <c r="AM58" s="16" t="s">
        <v>268</v>
      </c>
      <c r="AN58" s="128" t="s">
        <v>268</v>
      </c>
      <c r="AO58" s="131">
        <f t="shared" si="2"/>
        <v>6519.2631538842325</v>
      </c>
      <c r="AP58" s="128">
        <f t="shared" si="3"/>
        <v>-249.66315388423163</v>
      </c>
    </row>
    <row r="59" spans="1:42" s="162" customFormat="1" ht="18.95" customHeight="1">
      <c r="A59" s="125">
        <v>366</v>
      </c>
      <c r="B59" s="125">
        <f>VLOOKUP(C59,'station changes (20-21)'!$A$3:$D$298,4,)</f>
        <v>54</v>
      </c>
      <c r="C59" s="125">
        <v>366</v>
      </c>
      <c r="D59" s="126" t="s">
        <v>450</v>
      </c>
      <c r="E59" s="126" t="s">
        <v>451</v>
      </c>
      <c r="F59" s="17">
        <v>43846</v>
      </c>
      <c r="G59" s="127" t="s">
        <v>267</v>
      </c>
      <c r="H59" s="18">
        <v>3730</v>
      </c>
      <c r="I59" s="16">
        <v>3621</v>
      </c>
      <c r="J59" s="16">
        <v>4425</v>
      </c>
      <c r="K59" s="16">
        <v>4124</v>
      </c>
      <c r="L59" s="202">
        <v>4494</v>
      </c>
      <c r="M59" s="202">
        <v>4919</v>
      </c>
      <c r="N59" s="202">
        <v>4325</v>
      </c>
      <c r="O59" s="202">
        <v>4545</v>
      </c>
      <c r="P59" s="202">
        <v>5216</v>
      </c>
      <c r="Q59" s="202">
        <v>5021</v>
      </c>
      <c r="R59" s="202">
        <f>VLOOKUP(B59,'2022 Count Table'!A59:X242,11)</f>
        <v>5832</v>
      </c>
      <c r="S59" s="19">
        <f t="shared" si="0"/>
        <v>7430.8000000000466</v>
      </c>
      <c r="T59" s="20">
        <f t="shared" si="1"/>
        <v>0.05</v>
      </c>
      <c r="U59" s="21">
        <v>0.35416666666666702</v>
      </c>
      <c r="V59" s="16">
        <v>379</v>
      </c>
      <c r="W59" s="16">
        <v>213</v>
      </c>
      <c r="X59" s="16">
        <v>166</v>
      </c>
      <c r="Y59" s="22">
        <v>7.2661042944785273E-2</v>
      </c>
      <c r="Z59" s="23">
        <v>0.56200527704485492</v>
      </c>
      <c r="AA59" s="21">
        <f>VLOOKUP(B59,'2022 Count Table'!A59:X242,19)</f>
        <v>0.67708333333333337</v>
      </c>
      <c r="AB59" s="16">
        <f>VLOOKUP($B59,'2022 Count Table'!A59:X242,20)</f>
        <v>575</v>
      </c>
      <c r="AC59" s="16">
        <f>VLOOKUP($B59,'2022 Count Table'!A59:X242,21)</f>
        <v>220</v>
      </c>
      <c r="AD59" s="16">
        <f>VLOOKUP($B59,'2022 Count Table'!A59:X242,22)</f>
        <v>355</v>
      </c>
      <c r="AE59" s="22">
        <f>VLOOKUP($B59,'2022 Count Table'!A59:X242,23)</f>
        <v>9.8593964334705075E-2</v>
      </c>
      <c r="AF59" s="23">
        <f>VLOOKUP($B59,'2022 Count Table'!A59:X242,24)</f>
        <v>0.61739130434782608</v>
      </c>
      <c r="AG59" s="24">
        <v>2</v>
      </c>
      <c r="AH59" s="25">
        <v>30</v>
      </c>
      <c r="AI59" s="18" t="s">
        <v>268</v>
      </c>
      <c r="AJ59" s="16" t="s">
        <v>268</v>
      </c>
      <c r="AK59" s="16" t="s">
        <v>268</v>
      </c>
      <c r="AL59" s="16" t="s">
        <v>268</v>
      </c>
      <c r="AM59" s="16" t="s">
        <v>268</v>
      </c>
      <c r="AN59" s="128" t="s">
        <v>268</v>
      </c>
      <c r="AO59" s="131">
        <f t="shared" si="2"/>
        <v>5914.2185959921144</v>
      </c>
      <c r="AP59" s="128">
        <f t="shared" si="3"/>
        <v>4061.381404007886</v>
      </c>
    </row>
    <row r="60" spans="1:42" s="205" customFormat="1" ht="18.95" customHeight="1">
      <c r="A60" s="125">
        <v>362</v>
      </c>
      <c r="B60" s="125">
        <f>VLOOKUP(C60,'station changes (20-21)'!$A$3:$D$298,4,)</f>
        <v>55</v>
      </c>
      <c r="C60" s="125">
        <v>362</v>
      </c>
      <c r="D60" s="126" t="s">
        <v>79</v>
      </c>
      <c r="E60" s="126" t="s">
        <v>448</v>
      </c>
      <c r="F60" s="17">
        <v>43879</v>
      </c>
      <c r="G60" s="127" t="s">
        <v>267</v>
      </c>
      <c r="H60" s="18">
        <v>2796</v>
      </c>
      <c r="I60" s="16">
        <v>2372</v>
      </c>
      <c r="J60" s="16">
        <v>2223</v>
      </c>
      <c r="K60" s="16">
        <v>2533</v>
      </c>
      <c r="L60" s="202">
        <v>2576</v>
      </c>
      <c r="M60" s="202">
        <v>2806</v>
      </c>
      <c r="N60" s="202">
        <v>2448</v>
      </c>
      <c r="O60" s="202">
        <v>2528</v>
      </c>
      <c r="P60" s="202">
        <v>2877</v>
      </c>
      <c r="Q60" s="202">
        <v>2749</v>
      </c>
      <c r="R60" s="202">
        <f>VLOOKUP(B60,'2022 Count Table'!A60:X243,11)</f>
        <v>3187</v>
      </c>
      <c r="S60" s="19">
        <f t="shared" si="0"/>
        <v>3947.0999999999767</v>
      </c>
      <c r="T60" s="20">
        <f t="shared" si="1"/>
        <v>4.2500000000000003E-2</v>
      </c>
      <c r="U60" s="21">
        <v>0.32291666666666702</v>
      </c>
      <c r="V60" s="16">
        <v>250</v>
      </c>
      <c r="W60" s="16">
        <v>177</v>
      </c>
      <c r="X60" s="16">
        <v>73</v>
      </c>
      <c r="Y60" s="22">
        <v>8.6896072297532156E-2</v>
      </c>
      <c r="Z60" s="23">
        <v>0.70799999999999996</v>
      </c>
      <c r="AA60" s="21">
        <f>VLOOKUP(B60,'2022 Count Table'!A60:X243,19)</f>
        <v>0.66666666666666663</v>
      </c>
      <c r="AB60" s="16">
        <f>VLOOKUP($B60,'2022 Count Table'!A60:X243,20)</f>
        <v>337</v>
      </c>
      <c r="AC60" s="16">
        <f>VLOOKUP($B60,'2022 Count Table'!A60:X243,21)</f>
        <v>175</v>
      </c>
      <c r="AD60" s="16">
        <f>VLOOKUP($B60,'2022 Count Table'!A60:X243,22)</f>
        <v>162</v>
      </c>
      <c r="AE60" s="22">
        <f>VLOOKUP($B60,'2022 Count Table'!A60:X243,23)</f>
        <v>0.1057420771885786</v>
      </c>
      <c r="AF60" s="23">
        <f>VLOOKUP($B60,'2022 Count Table'!A60:X243,24)</f>
        <v>0.51928783382789323</v>
      </c>
      <c r="AG60" s="24">
        <v>2</v>
      </c>
      <c r="AH60" s="25">
        <v>35</v>
      </c>
      <c r="AI60" s="18" t="s">
        <v>268</v>
      </c>
      <c r="AJ60" s="16" t="s">
        <v>268</v>
      </c>
      <c r="AK60" s="16" t="s">
        <v>268</v>
      </c>
      <c r="AL60" s="16" t="s">
        <v>268</v>
      </c>
      <c r="AM60" s="16" t="s">
        <v>268</v>
      </c>
      <c r="AN60" s="128" t="s">
        <v>268</v>
      </c>
      <c r="AO60" s="131">
        <f t="shared" si="2"/>
        <v>3219.0057187416478</v>
      </c>
      <c r="AP60" s="128">
        <f t="shared" si="3"/>
        <v>2296.5942812583526</v>
      </c>
    </row>
    <row r="61" spans="1:42" s="162" customFormat="1" ht="18.95" customHeight="1">
      <c r="A61" s="184">
        <v>364</v>
      </c>
      <c r="B61" s="184">
        <f>VLOOKUP(C61,'station changes (20-21)'!$A$3:$D$298,4,)</f>
        <v>56</v>
      </c>
      <c r="C61" s="184">
        <v>364</v>
      </c>
      <c r="D61" s="185" t="s">
        <v>82</v>
      </c>
      <c r="E61" s="185" t="s">
        <v>449</v>
      </c>
      <c r="F61" s="186">
        <v>43873</v>
      </c>
      <c r="G61" s="187" t="s">
        <v>267</v>
      </c>
      <c r="H61" s="188">
        <v>3997</v>
      </c>
      <c r="I61" s="189">
        <v>4171</v>
      </c>
      <c r="J61" s="189">
        <v>4138</v>
      </c>
      <c r="K61" s="189">
        <v>4308</v>
      </c>
      <c r="L61" s="174">
        <v>4866</v>
      </c>
      <c r="M61" s="174">
        <v>4705</v>
      </c>
      <c r="N61" s="174">
        <v>4871</v>
      </c>
      <c r="O61" s="174">
        <v>4955</v>
      </c>
      <c r="P61" s="174">
        <v>4962</v>
      </c>
      <c r="Q61" s="174">
        <v>4883</v>
      </c>
      <c r="R61" s="174">
        <f>VLOOKUP(B61,'2022 Count Table'!A61:X244,11)</f>
        <v>5802</v>
      </c>
      <c r="S61" s="175">
        <f t="shared" si="0"/>
        <v>6347.5999999999767</v>
      </c>
      <c r="T61" s="176">
        <f t="shared" si="1"/>
        <v>1.7500000000000002E-2</v>
      </c>
      <c r="U61" s="192">
        <v>0.48958333333333298</v>
      </c>
      <c r="V61" s="189">
        <v>338</v>
      </c>
      <c r="W61" s="189">
        <v>203</v>
      </c>
      <c r="X61" s="189">
        <v>135</v>
      </c>
      <c r="Y61" s="193">
        <v>6.811769447803305E-2</v>
      </c>
      <c r="Z61" s="194">
        <v>0.60059171597633132</v>
      </c>
      <c r="AA61" s="192">
        <f>VLOOKUP(B61,'2022 Count Table'!A61:X244,19)</f>
        <v>0.6875</v>
      </c>
      <c r="AB61" s="189">
        <f>VLOOKUP($B61,'2022 Count Table'!A61:X244,20)</f>
        <v>513</v>
      </c>
      <c r="AC61" s="189">
        <f>VLOOKUP($B61,'2022 Count Table'!A61:X244,21)</f>
        <v>186</v>
      </c>
      <c r="AD61" s="189">
        <f>VLOOKUP($B61,'2022 Count Table'!A61:X244,22)</f>
        <v>327</v>
      </c>
      <c r="AE61" s="193">
        <f>VLOOKUP($B61,'2022 Count Table'!A61:X244,23)</f>
        <v>8.8417786970010348E-2</v>
      </c>
      <c r="AF61" s="194">
        <f>VLOOKUP($B61,'2022 Count Table'!A61:X244,24)</f>
        <v>0.63742690058479534</v>
      </c>
      <c r="AG61" s="195">
        <v>2</v>
      </c>
      <c r="AH61" s="196">
        <v>45</v>
      </c>
      <c r="AI61" s="188" t="s">
        <v>268</v>
      </c>
      <c r="AJ61" s="189" t="s">
        <v>268</v>
      </c>
      <c r="AK61" s="189" t="s">
        <v>268</v>
      </c>
      <c r="AL61" s="189" t="s">
        <v>268</v>
      </c>
      <c r="AM61" s="189" t="s">
        <v>268</v>
      </c>
      <c r="AN61" s="197" t="s">
        <v>268</v>
      </c>
      <c r="AO61" s="198">
        <f t="shared" si="2"/>
        <v>5716.9001968503626</v>
      </c>
      <c r="AP61" s="197">
        <f t="shared" si="3"/>
        <v>4472.2998031496381</v>
      </c>
    </row>
    <row r="62" spans="1:42" s="205" customFormat="1" ht="18.95" customHeight="1">
      <c r="A62" s="184">
        <v>87</v>
      </c>
      <c r="B62" s="184">
        <f>VLOOKUP(C62,'station changes (20-21)'!$A$3:$D$298,4,)</f>
        <v>57</v>
      </c>
      <c r="C62" s="184">
        <v>87</v>
      </c>
      <c r="D62" s="185" t="s">
        <v>329</v>
      </c>
      <c r="E62" s="185" t="s">
        <v>330</v>
      </c>
      <c r="F62" s="186">
        <v>43879</v>
      </c>
      <c r="G62" s="187" t="s">
        <v>267</v>
      </c>
      <c r="H62" s="188">
        <v>542</v>
      </c>
      <c r="I62" s="189">
        <v>493</v>
      </c>
      <c r="J62" s="189">
        <v>490</v>
      </c>
      <c r="K62" s="189">
        <v>419</v>
      </c>
      <c r="L62" s="174">
        <v>490</v>
      </c>
      <c r="M62" s="174">
        <v>623</v>
      </c>
      <c r="N62" s="174" t="s">
        <v>243</v>
      </c>
      <c r="O62" s="174" t="s">
        <v>243</v>
      </c>
      <c r="P62" s="174">
        <v>611</v>
      </c>
      <c r="Q62" s="174">
        <v>600</v>
      </c>
      <c r="R62" s="174">
        <f>VLOOKUP(B62,'2022 Count Table'!A62:X245,11)</f>
        <v>390</v>
      </c>
      <c r="S62" s="175">
        <f>_xlfn.FORECAST.LINEAR($S$5,$N62:$R62,$N$5:$R$5)</f>
        <v>-129.33333333334303</v>
      </c>
      <c r="T62" s="176">
        <f t="shared" si="1"/>
        <v>0</v>
      </c>
      <c r="U62" s="192">
        <v>0.30208333333333298</v>
      </c>
      <c r="V62" s="189">
        <v>52</v>
      </c>
      <c r="W62" s="189">
        <v>34</v>
      </c>
      <c r="X62" s="189">
        <v>18</v>
      </c>
      <c r="Y62" s="193">
        <v>8.5106382978723402E-2</v>
      </c>
      <c r="Z62" s="194">
        <v>0.65384615384615385</v>
      </c>
      <c r="AA62" s="192">
        <f>VLOOKUP(B62,'2022 Count Table'!A62:X245,19)</f>
        <v>0.65625</v>
      </c>
      <c r="AB62" s="189">
        <f>VLOOKUP($B62,'2022 Count Table'!A62:X245,20)</f>
        <v>46</v>
      </c>
      <c r="AC62" s="189">
        <f>VLOOKUP($B62,'2022 Count Table'!A62:X245,21)</f>
        <v>23</v>
      </c>
      <c r="AD62" s="189">
        <f>VLOOKUP($B62,'2022 Count Table'!A62:X245,22)</f>
        <v>23</v>
      </c>
      <c r="AE62" s="193">
        <f>VLOOKUP($B62,'2022 Count Table'!A62:X245,23)</f>
        <v>0.11794871794871795</v>
      </c>
      <c r="AF62" s="194">
        <f>VLOOKUP($B62,'2022 Count Table'!A62:X245,24)</f>
        <v>0.5</v>
      </c>
      <c r="AG62" s="195">
        <v>2</v>
      </c>
      <c r="AH62" s="196">
        <v>35</v>
      </c>
      <c r="AI62" s="188" t="s">
        <v>268</v>
      </c>
      <c r="AJ62" s="189" t="s">
        <v>268</v>
      </c>
      <c r="AK62" s="189" t="s">
        <v>268</v>
      </c>
      <c r="AL62" s="189" t="s">
        <v>268</v>
      </c>
      <c r="AM62" s="189" t="s">
        <v>268</v>
      </c>
      <c r="AN62" s="197" t="s">
        <v>268</v>
      </c>
      <c r="AO62" s="198">
        <f t="shared" si="2"/>
        <v>711.61871232941121</v>
      </c>
      <c r="AP62" s="197">
        <f t="shared" si="3"/>
        <v>355.71462100392199</v>
      </c>
    </row>
    <row r="63" spans="1:42" s="162" customFormat="1" ht="18.95" customHeight="1">
      <c r="A63" s="184">
        <v>90</v>
      </c>
      <c r="B63" s="184">
        <f>VLOOKUP(C63,'station changes (20-21)'!$A$3:$D$298,4,)</f>
        <v>58</v>
      </c>
      <c r="C63" s="184">
        <v>90</v>
      </c>
      <c r="D63" s="185" t="s">
        <v>85</v>
      </c>
      <c r="E63" s="185" t="s">
        <v>332</v>
      </c>
      <c r="F63" s="186">
        <v>43852</v>
      </c>
      <c r="G63" s="187" t="s">
        <v>267</v>
      </c>
      <c r="H63" s="188">
        <v>1679</v>
      </c>
      <c r="I63" s="189">
        <v>1699</v>
      </c>
      <c r="J63" s="189" t="s">
        <v>243</v>
      </c>
      <c r="K63" s="189">
        <v>1900</v>
      </c>
      <c r="L63" s="174">
        <v>2020</v>
      </c>
      <c r="M63" s="174">
        <v>2037</v>
      </c>
      <c r="N63" s="174">
        <v>1934</v>
      </c>
      <c r="O63" s="174">
        <v>1942</v>
      </c>
      <c r="P63" s="174">
        <v>1817</v>
      </c>
      <c r="Q63" s="174">
        <v>1854</v>
      </c>
      <c r="R63" s="174">
        <f>VLOOKUP(B63,'2022 Count Table'!A63:X246,11)</f>
        <v>2299</v>
      </c>
      <c r="S63" s="175">
        <f t="shared" si="0"/>
        <v>2418.6000000000058</v>
      </c>
      <c r="T63" s="176">
        <f t="shared" si="1"/>
        <v>0.01</v>
      </c>
      <c r="U63" s="192">
        <v>0.27083333333333298</v>
      </c>
      <c r="V63" s="189">
        <v>162</v>
      </c>
      <c r="W63" s="189">
        <v>56</v>
      </c>
      <c r="X63" s="189">
        <v>106</v>
      </c>
      <c r="Y63" s="193">
        <v>8.9157952669234999E-2</v>
      </c>
      <c r="Z63" s="194">
        <v>0.65432098765432101</v>
      </c>
      <c r="AA63" s="192">
        <f>VLOOKUP(B63,'2022 Count Table'!A63:X246,19)</f>
        <v>0.66666666666666663</v>
      </c>
      <c r="AB63" s="189">
        <f>VLOOKUP($B63,'2022 Count Table'!A63:X246,20)</f>
        <v>211</v>
      </c>
      <c r="AC63" s="189">
        <f>VLOOKUP($B63,'2022 Count Table'!A63:X246,21)</f>
        <v>141</v>
      </c>
      <c r="AD63" s="189">
        <f>VLOOKUP($B63,'2022 Count Table'!A63:X246,22)</f>
        <v>70</v>
      </c>
      <c r="AE63" s="193">
        <f>VLOOKUP($B63,'2022 Count Table'!A63:X246,23)</f>
        <v>9.1779034362766423E-2</v>
      </c>
      <c r="AF63" s="194">
        <f>VLOOKUP($B63,'2022 Count Table'!A63:X246,24)</f>
        <v>0.66824644549763035</v>
      </c>
      <c r="AG63" s="195">
        <v>2</v>
      </c>
      <c r="AH63" s="196">
        <v>45</v>
      </c>
      <c r="AI63" s="188" t="s">
        <v>268</v>
      </c>
      <c r="AJ63" s="189" t="s">
        <v>268</v>
      </c>
      <c r="AK63" s="189" t="s">
        <v>268</v>
      </c>
      <c r="AL63" s="189" t="s">
        <v>268</v>
      </c>
      <c r="AM63" s="189" t="s">
        <v>268</v>
      </c>
      <c r="AN63" s="197" t="s">
        <v>268</v>
      </c>
      <c r="AO63" s="198">
        <f t="shared" si="2"/>
        <v>2269.4490049941883</v>
      </c>
      <c r="AP63" s="197">
        <f t="shared" si="3"/>
        <v>1668.9509950058118</v>
      </c>
    </row>
    <row r="64" spans="1:42" s="162" customFormat="1" ht="18.95" customHeight="1" outlineLevel="1">
      <c r="A64" s="125">
        <v>82</v>
      </c>
      <c r="B64" s="125">
        <f>VLOOKUP(C64,'station changes (20-21)'!$A$3:$D$298,4,)</f>
        <v>59</v>
      </c>
      <c r="C64" s="125">
        <v>82</v>
      </c>
      <c r="D64" s="126" t="s">
        <v>322</v>
      </c>
      <c r="E64" s="126" t="s">
        <v>323</v>
      </c>
      <c r="F64" s="17" t="s">
        <v>243</v>
      </c>
      <c r="G64" s="127" t="s">
        <v>267</v>
      </c>
      <c r="H64" s="18">
        <v>1906</v>
      </c>
      <c r="I64" s="16">
        <v>1934</v>
      </c>
      <c r="J64" s="16">
        <v>1760</v>
      </c>
      <c r="K64" s="16">
        <v>2105</v>
      </c>
      <c r="L64" s="202">
        <v>2143</v>
      </c>
      <c r="M64" s="202">
        <v>2595</v>
      </c>
      <c r="N64" s="310" t="s">
        <v>243</v>
      </c>
      <c r="O64" s="310" t="s">
        <v>243</v>
      </c>
      <c r="P64" s="310" t="s">
        <v>243</v>
      </c>
      <c r="Q64" s="310">
        <v>2137</v>
      </c>
      <c r="R64" s="310">
        <f>VLOOKUP(B64,'2022 Count Table'!A64:X247,11)</f>
        <v>2755</v>
      </c>
      <c r="S64" s="19">
        <f>_xlfn.FORECAST.LINEAR($S$5,$N64:$R64,$N$5:$R$5)</f>
        <v>5845</v>
      </c>
      <c r="T64" s="20">
        <f t="shared" si="1"/>
        <v>0.16250000000000001</v>
      </c>
      <c r="U64" s="21" t="s">
        <v>243</v>
      </c>
      <c r="V64" s="16" t="s">
        <v>243</v>
      </c>
      <c r="W64" s="16" t="s">
        <v>243</v>
      </c>
      <c r="X64" s="16" t="s">
        <v>243</v>
      </c>
      <c r="Y64" s="22" t="s">
        <v>243</v>
      </c>
      <c r="Z64" s="23" t="s">
        <v>243</v>
      </c>
      <c r="AA64" s="21">
        <f>VLOOKUP(B64,'2022 Count Table'!A64:X247,19)</f>
        <v>0.66666666666666663</v>
      </c>
      <c r="AB64" s="16">
        <f>VLOOKUP($B64,'2022 Count Table'!A64:X247,20)</f>
        <v>290</v>
      </c>
      <c r="AC64" s="16">
        <f>VLOOKUP($B64,'2022 Count Table'!A64:X247,21)</f>
        <v>147</v>
      </c>
      <c r="AD64" s="16">
        <f>VLOOKUP($B64,'2022 Count Table'!A64:X247,22)</f>
        <v>143</v>
      </c>
      <c r="AE64" s="22">
        <f>VLOOKUP($B64,'2022 Count Table'!A64:X247,23)</f>
        <v>0.10526315789473684</v>
      </c>
      <c r="AF64" s="23">
        <f>VLOOKUP($B64,'2022 Count Table'!A64:X247,24)</f>
        <v>0.50689655172413794</v>
      </c>
      <c r="AG64" s="24">
        <v>2</v>
      </c>
      <c r="AH64" s="25">
        <v>45</v>
      </c>
      <c r="AI64" s="18" t="s">
        <v>268</v>
      </c>
      <c r="AJ64" s="16" t="s">
        <v>268</v>
      </c>
      <c r="AK64" s="16" t="s">
        <v>268</v>
      </c>
      <c r="AL64" s="16" t="s">
        <v>268</v>
      </c>
      <c r="AM64" s="16" t="s">
        <v>268</v>
      </c>
      <c r="AN64" s="128" t="s">
        <v>268</v>
      </c>
      <c r="AO64" s="131">
        <f t="shared" si="2"/>
        <v>2986.75</v>
      </c>
      <c r="AP64" s="128">
        <f t="shared" si="3"/>
        <v>1905.25</v>
      </c>
    </row>
    <row r="65" spans="1:42" s="205" customFormat="1" ht="18.95" customHeight="1">
      <c r="A65" s="184">
        <v>83</v>
      </c>
      <c r="B65" s="184">
        <f>VLOOKUP(C65,'station changes (20-21)'!$A$3:$D$298,4,)</f>
        <v>60</v>
      </c>
      <c r="C65" s="184">
        <v>83</v>
      </c>
      <c r="D65" s="185" t="s">
        <v>324</v>
      </c>
      <c r="E65" s="185" t="s">
        <v>325</v>
      </c>
      <c r="F65" s="186">
        <v>43879</v>
      </c>
      <c r="G65" s="187" t="s">
        <v>267</v>
      </c>
      <c r="H65" s="188">
        <v>3028</v>
      </c>
      <c r="I65" s="189">
        <v>3049</v>
      </c>
      <c r="J65" s="189">
        <v>2889</v>
      </c>
      <c r="K65" s="189">
        <v>3037</v>
      </c>
      <c r="L65" s="174">
        <v>3641</v>
      </c>
      <c r="M65" s="174">
        <v>3145</v>
      </c>
      <c r="N65" s="174">
        <v>3848</v>
      </c>
      <c r="O65" s="174">
        <v>3753</v>
      </c>
      <c r="P65" s="174">
        <v>4308</v>
      </c>
      <c r="Q65" s="174">
        <v>4213</v>
      </c>
      <c r="R65" s="174">
        <f>VLOOKUP(B65,'2022 Count Table'!A65:X248,11)</f>
        <v>5028</v>
      </c>
      <c r="S65" s="175">
        <f t="shared" si="0"/>
        <v>6204</v>
      </c>
      <c r="T65" s="176">
        <f t="shared" si="1"/>
        <v>4.2500000000000003E-2</v>
      </c>
      <c r="U65" s="192">
        <v>0.45833333333333298</v>
      </c>
      <c r="V65" s="189">
        <v>309</v>
      </c>
      <c r="W65" s="189">
        <v>154</v>
      </c>
      <c r="X65" s="189">
        <v>155</v>
      </c>
      <c r="Y65" s="193">
        <v>7.1727019498607242E-2</v>
      </c>
      <c r="Z65" s="194">
        <v>0.50161812297734631</v>
      </c>
      <c r="AA65" s="192">
        <f>VLOOKUP(B65,'2022 Count Table'!A65:X248,19)</f>
        <v>0.66666666666666663</v>
      </c>
      <c r="AB65" s="189">
        <f>VLOOKUP($B65,'2022 Count Table'!A65:X248,20)</f>
        <v>418</v>
      </c>
      <c r="AC65" s="189">
        <f>VLOOKUP($B65,'2022 Count Table'!A65:X248,21)</f>
        <v>168</v>
      </c>
      <c r="AD65" s="189">
        <f>VLOOKUP($B65,'2022 Count Table'!A65:X248,22)</f>
        <v>250</v>
      </c>
      <c r="AE65" s="193">
        <f>VLOOKUP($B65,'2022 Count Table'!A65:X248,23)</f>
        <v>8.3134447096260944E-2</v>
      </c>
      <c r="AF65" s="194">
        <f>VLOOKUP($B65,'2022 Count Table'!A65:X248,24)</f>
        <v>0.59808612440191389</v>
      </c>
      <c r="AG65" s="195">
        <v>2</v>
      </c>
      <c r="AH65" s="196">
        <v>55</v>
      </c>
      <c r="AI65" s="188" t="s">
        <v>268</v>
      </c>
      <c r="AJ65" s="189" t="s">
        <v>268</v>
      </c>
      <c r="AK65" s="189" t="s">
        <v>268</v>
      </c>
      <c r="AL65" s="189" t="s">
        <v>268</v>
      </c>
      <c r="AM65" s="189" t="s">
        <v>268</v>
      </c>
      <c r="AN65" s="197" t="s">
        <v>268</v>
      </c>
      <c r="AO65" s="198">
        <f t="shared" si="2"/>
        <v>5019.104476606235</v>
      </c>
      <c r="AP65" s="197">
        <f t="shared" si="3"/>
        <v>3440.895523393765</v>
      </c>
    </row>
    <row r="66" spans="1:42" s="162" customFormat="1" ht="18.95" customHeight="1">
      <c r="A66" s="125">
        <v>84</v>
      </c>
      <c r="B66" s="125">
        <f>VLOOKUP(C66,'station changes (20-21)'!$A$3:$D$298,4,)</f>
        <v>61</v>
      </c>
      <c r="C66" s="125">
        <v>84</v>
      </c>
      <c r="D66" s="126" t="s">
        <v>324</v>
      </c>
      <c r="E66" s="126" t="s">
        <v>326</v>
      </c>
      <c r="F66" s="17">
        <v>43852</v>
      </c>
      <c r="G66" s="127" t="s">
        <v>267</v>
      </c>
      <c r="H66" s="18">
        <v>3848</v>
      </c>
      <c r="I66" s="16">
        <v>3631</v>
      </c>
      <c r="J66" s="16">
        <v>3653</v>
      </c>
      <c r="K66" s="16">
        <v>3915</v>
      </c>
      <c r="L66" s="202">
        <v>4409</v>
      </c>
      <c r="M66" s="202">
        <v>4393</v>
      </c>
      <c r="N66" s="202">
        <v>4360</v>
      </c>
      <c r="O66" s="202">
        <v>4710</v>
      </c>
      <c r="P66" s="202">
        <v>4598</v>
      </c>
      <c r="Q66" s="202">
        <v>4619</v>
      </c>
      <c r="R66" s="202">
        <f>VLOOKUP(B66,'2022 Count Table'!A66:X249,11)</f>
        <v>5905</v>
      </c>
      <c r="S66" s="19">
        <f t="shared" si="0"/>
        <v>6937.6999999999534</v>
      </c>
      <c r="T66" s="20">
        <f t="shared" si="1"/>
        <v>3.2500000000000001E-2</v>
      </c>
      <c r="U66" s="21">
        <v>0.3125</v>
      </c>
      <c r="V66" s="16">
        <v>354</v>
      </c>
      <c r="W66" s="16">
        <v>111</v>
      </c>
      <c r="X66" s="16">
        <v>243</v>
      </c>
      <c r="Y66" s="22">
        <v>7.6989995650282736E-2</v>
      </c>
      <c r="Z66" s="23">
        <v>0.68644067796610164</v>
      </c>
      <c r="AA66" s="21">
        <f>VLOOKUP(B66,'2022 Count Table'!A66:X249,19)</f>
        <v>0.6875</v>
      </c>
      <c r="AB66" s="16">
        <f>VLOOKUP($B66,'2022 Count Table'!A66:X249,20)</f>
        <v>490</v>
      </c>
      <c r="AC66" s="16">
        <f>VLOOKUP($B66,'2022 Count Table'!A66:X249,21)</f>
        <v>180</v>
      </c>
      <c r="AD66" s="16">
        <f>VLOOKUP($B66,'2022 Count Table'!A66:X249,22)</f>
        <v>310</v>
      </c>
      <c r="AE66" s="22">
        <f>VLOOKUP($B66,'2022 Count Table'!A66:X249,23)</f>
        <v>8.2980524978831502E-2</v>
      </c>
      <c r="AF66" s="23">
        <f>VLOOKUP($B66,'2022 Count Table'!A66:X249,24)</f>
        <v>0.63265306122448983</v>
      </c>
      <c r="AG66" s="24">
        <v>2</v>
      </c>
      <c r="AH66" s="25">
        <v>45</v>
      </c>
      <c r="AI66" s="18" t="s">
        <v>268</v>
      </c>
      <c r="AJ66" s="16" t="s">
        <v>268</v>
      </c>
      <c r="AK66" s="16" t="s">
        <v>268</v>
      </c>
      <c r="AL66" s="16" t="s">
        <v>268</v>
      </c>
      <c r="AM66" s="16" t="s">
        <v>268</v>
      </c>
      <c r="AN66" s="128" t="s">
        <v>268</v>
      </c>
      <c r="AO66" s="131">
        <f t="shared" si="2"/>
        <v>5793.3669025678319</v>
      </c>
      <c r="AP66" s="128">
        <f t="shared" si="3"/>
        <v>3883.4330974321674</v>
      </c>
    </row>
    <row r="67" spans="1:42" s="162" customFormat="1" ht="18.95" customHeight="1" outlineLevel="1">
      <c r="A67" s="184">
        <v>85</v>
      </c>
      <c r="B67" s="184">
        <f>VLOOKUP(C67,'station changes (20-21)'!$A$3:$D$298,4,)</f>
        <v>62</v>
      </c>
      <c r="C67" s="184">
        <v>85</v>
      </c>
      <c r="D67" s="185" t="s">
        <v>324</v>
      </c>
      <c r="E67" s="185" t="s">
        <v>327</v>
      </c>
      <c r="F67" s="186">
        <v>43852</v>
      </c>
      <c r="G67" s="187" t="s">
        <v>267</v>
      </c>
      <c r="H67" s="188">
        <v>3683</v>
      </c>
      <c r="I67" s="189">
        <v>3517</v>
      </c>
      <c r="J67" s="189">
        <v>3598</v>
      </c>
      <c r="K67" s="189">
        <v>3673</v>
      </c>
      <c r="L67" s="174">
        <v>4428</v>
      </c>
      <c r="M67" s="174">
        <v>4897</v>
      </c>
      <c r="N67" s="174">
        <v>4227</v>
      </c>
      <c r="O67" s="174">
        <v>4353</v>
      </c>
      <c r="P67" s="174">
        <v>4192</v>
      </c>
      <c r="Q67" s="174">
        <v>4232</v>
      </c>
      <c r="R67" s="174">
        <f>VLOOKUP(B67,'2022 Count Table'!A67:X250,11)</f>
        <v>5405</v>
      </c>
      <c r="S67" s="175">
        <f t="shared" si="0"/>
        <v>6046.2999999999884</v>
      </c>
      <c r="T67" s="176">
        <f t="shared" si="1"/>
        <v>2.2499999999999999E-2</v>
      </c>
      <c r="U67" s="192">
        <v>0.3125</v>
      </c>
      <c r="V67" s="189">
        <v>319</v>
      </c>
      <c r="W67" s="189">
        <v>100</v>
      </c>
      <c r="X67" s="189">
        <v>219</v>
      </c>
      <c r="Y67" s="193">
        <v>7.6097328244274814E-2</v>
      </c>
      <c r="Z67" s="194">
        <v>0.68652037617554862</v>
      </c>
      <c r="AA67" s="192">
        <f>VLOOKUP(B67,'2022 Count Table'!A67:X250,19)</f>
        <v>0.6875</v>
      </c>
      <c r="AB67" s="189">
        <f>VLOOKUP($B67,'2022 Count Table'!A67:X250,20)</f>
        <v>463</v>
      </c>
      <c r="AC67" s="189">
        <f>VLOOKUP($B67,'2022 Count Table'!A67:X250,21)</f>
        <v>173</v>
      </c>
      <c r="AD67" s="189">
        <f>VLOOKUP($B67,'2022 Count Table'!A67:X250,22)</f>
        <v>290</v>
      </c>
      <c r="AE67" s="193">
        <f>VLOOKUP($B67,'2022 Count Table'!A67:X250,23)</f>
        <v>8.5661424606845518E-2</v>
      </c>
      <c r="AF67" s="194">
        <f>VLOOKUP($B67,'2022 Count Table'!A67:X250,24)</f>
        <v>0.62634989200863933</v>
      </c>
      <c r="AG67" s="195">
        <v>2</v>
      </c>
      <c r="AH67" s="196">
        <v>45</v>
      </c>
      <c r="AI67" s="188" t="s">
        <v>268</v>
      </c>
      <c r="AJ67" s="189" t="s">
        <v>268</v>
      </c>
      <c r="AK67" s="189" t="s">
        <v>268</v>
      </c>
      <c r="AL67" s="189" t="s">
        <v>268</v>
      </c>
      <c r="AM67" s="189" t="s">
        <v>268</v>
      </c>
      <c r="AN67" s="197" t="s">
        <v>268</v>
      </c>
      <c r="AO67" s="198">
        <f t="shared" si="2"/>
        <v>5295.1998493975771</v>
      </c>
      <c r="AP67" s="197">
        <f t="shared" si="3"/>
        <v>3668.4001506024238</v>
      </c>
    </row>
    <row r="68" spans="1:42" s="205" customFormat="1" ht="18.95" customHeight="1">
      <c r="A68" s="125">
        <v>86</v>
      </c>
      <c r="B68" s="125">
        <f>VLOOKUP(C68,'station changes (20-21)'!$A$3:$D$298,4,)</f>
        <v>63</v>
      </c>
      <c r="C68" s="125">
        <v>86</v>
      </c>
      <c r="D68" s="126" t="s">
        <v>324</v>
      </c>
      <c r="E68" s="126" t="s">
        <v>328</v>
      </c>
      <c r="F68" s="17">
        <v>43879</v>
      </c>
      <c r="G68" s="127" t="s">
        <v>267</v>
      </c>
      <c r="H68" s="18">
        <v>4219</v>
      </c>
      <c r="I68" s="16">
        <v>4247</v>
      </c>
      <c r="J68" s="16">
        <v>3905</v>
      </c>
      <c r="K68" s="16">
        <v>4145</v>
      </c>
      <c r="L68" s="202">
        <v>4591</v>
      </c>
      <c r="M68" s="202">
        <v>5058</v>
      </c>
      <c r="N68" s="202">
        <v>4657</v>
      </c>
      <c r="O68" s="202">
        <v>4730</v>
      </c>
      <c r="P68" s="202">
        <v>5421</v>
      </c>
      <c r="Q68" s="202">
        <v>5246</v>
      </c>
      <c r="R68" s="202">
        <f>VLOOKUP(B68,'2022 Count Table'!A68:X251,11)</f>
        <v>5572</v>
      </c>
      <c r="S68" s="19">
        <f t="shared" si="0"/>
        <v>6767.4000000000233</v>
      </c>
      <c r="T68" s="20">
        <f t="shared" si="1"/>
        <v>0.04</v>
      </c>
      <c r="U68" s="21">
        <v>0.3125</v>
      </c>
      <c r="V68" s="16">
        <v>428</v>
      </c>
      <c r="W68" s="16">
        <v>260</v>
      </c>
      <c r="X68" s="16">
        <v>168</v>
      </c>
      <c r="Y68" s="22">
        <v>7.8952222837114922E-2</v>
      </c>
      <c r="Z68" s="23">
        <v>0.60747663551401865</v>
      </c>
      <c r="AA68" s="21">
        <f>VLOOKUP(B68,'2022 Count Table'!A68:X251,19)</f>
        <v>0.66666666666666663</v>
      </c>
      <c r="AB68" s="16">
        <f>VLOOKUP($B68,'2022 Count Table'!A68:X251,20)</f>
        <v>551</v>
      </c>
      <c r="AC68" s="16">
        <f>VLOOKUP($B68,'2022 Count Table'!A68:X251,21)</f>
        <v>223</v>
      </c>
      <c r="AD68" s="16">
        <f>VLOOKUP($B68,'2022 Count Table'!A68:X251,22)</f>
        <v>328</v>
      </c>
      <c r="AE68" s="22">
        <f>VLOOKUP($B68,'2022 Count Table'!A68:X251,23)</f>
        <v>9.8887293610911697E-2</v>
      </c>
      <c r="AF68" s="23">
        <f>VLOOKUP($B68,'2022 Count Table'!A68:X251,24)</f>
        <v>0.59528130671506352</v>
      </c>
      <c r="AG68" s="24">
        <v>2</v>
      </c>
      <c r="AH68" s="25">
        <v>45</v>
      </c>
      <c r="AI68" s="18" t="s">
        <v>268</v>
      </c>
      <c r="AJ68" s="16" t="s">
        <v>268</v>
      </c>
      <c r="AK68" s="16" t="s">
        <v>268</v>
      </c>
      <c r="AL68" s="16" t="s">
        <v>268</v>
      </c>
      <c r="AM68" s="16" t="s">
        <v>268</v>
      </c>
      <c r="AN68" s="128" t="s">
        <v>268</v>
      </c>
      <c r="AO68" s="131">
        <f t="shared" si="2"/>
        <v>5769.1975271691654</v>
      </c>
      <c r="AP68" s="128">
        <f t="shared" si="3"/>
        <v>4481.2024728308343</v>
      </c>
    </row>
    <row r="69" spans="1:42" s="162" customFormat="1" ht="18.95" customHeight="1">
      <c r="A69" s="125">
        <v>95</v>
      </c>
      <c r="B69" s="125">
        <f>VLOOKUP(C69,'station changes (20-21)'!$A$3:$D$298,4,)</f>
        <v>64</v>
      </c>
      <c r="C69" s="125">
        <v>95</v>
      </c>
      <c r="D69" s="126" t="s">
        <v>92</v>
      </c>
      <c r="E69" s="126" t="s">
        <v>339</v>
      </c>
      <c r="F69" s="17">
        <v>43852</v>
      </c>
      <c r="G69" s="127" t="s">
        <v>267</v>
      </c>
      <c r="H69" s="18">
        <v>625</v>
      </c>
      <c r="I69" s="16">
        <v>575</v>
      </c>
      <c r="J69" s="16">
        <v>834</v>
      </c>
      <c r="K69" s="16">
        <v>812</v>
      </c>
      <c r="L69" s="202">
        <v>716</v>
      </c>
      <c r="M69" s="202">
        <v>756</v>
      </c>
      <c r="N69" s="202">
        <v>731</v>
      </c>
      <c r="O69" s="202">
        <v>755</v>
      </c>
      <c r="P69" s="202">
        <v>680</v>
      </c>
      <c r="Q69" s="202">
        <v>679</v>
      </c>
      <c r="R69" s="202">
        <f>VLOOKUP(B69,'2022 Count Table'!A69:X252,11)</f>
        <v>801</v>
      </c>
      <c r="S69" s="19">
        <f t="shared" si="0"/>
        <v>774.00000000000182</v>
      </c>
      <c r="T69" s="20">
        <f t="shared" si="1"/>
        <v>0</v>
      </c>
      <c r="U69" s="21">
        <v>0.30208333333333298</v>
      </c>
      <c r="V69" s="16">
        <v>78</v>
      </c>
      <c r="W69" s="16">
        <v>52</v>
      </c>
      <c r="X69" s="16">
        <v>26</v>
      </c>
      <c r="Y69" s="22">
        <v>0.11470588235294117</v>
      </c>
      <c r="Z69" s="23">
        <v>0.66666666666666663</v>
      </c>
      <c r="AA69" s="21">
        <f>VLOOKUP(B69,'2022 Count Table'!A69:X252,19)</f>
        <v>0.72916666666666663</v>
      </c>
      <c r="AB69" s="16">
        <f>VLOOKUP($B69,'2022 Count Table'!A69:X252,20)</f>
        <v>86</v>
      </c>
      <c r="AC69" s="16">
        <f>VLOOKUP($B69,'2022 Count Table'!A69:X252,21)</f>
        <v>34</v>
      </c>
      <c r="AD69" s="16">
        <f>VLOOKUP($B69,'2022 Count Table'!A69:X252,22)</f>
        <v>52</v>
      </c>
      <c r="AE69" s="22">
        <f>VLOOKUP($B69,'2022 Count Table'!A69:X252,23)</f>
        <v>0.10736579275905118</v>
      </c>
      <c r="AF69" s="23">
        <f>VLOOKUP($B69,'2022 Count Table'!A69:X252,24)</f>
        <v>0.60465116279069764</v>
      </c>
      <c r="AG69" s="24">
        <v>2</v>
      </c>
      <c r="AH69" s="25">
        <v>55</v>
      </c>
      <c r="AI69" s="18" t="s">
        <v>268</v>
      </c>
      <c r="AJ69" s="16" t="s">
        <v>268</v>
      </c>
      <c r="AK69" s="16" t="s">
        <v>268</v>
      </c>
      <c r="AL69" s="16" t="s">
        <v>268</v>
      </c>
      <c r="AM69" s="16" t="s">
        <v>268</v>
      </c>
      <c r="AN69" s="128" t="s">
        <v>268</v>
      </c>
      <c r="AO69" s="131">
        <f t="shared" si="2"/>
        <v>810.40000000000009</v>
      </c>
      <c r="AP69" s="128">
        <f t="shared" si="3"/>
        <v>648</v>
      </c>
    </row>
    <row r="70" spans="1:42" s="205" customFormat="1" ht="18.95" customHeight="1">
      <c r="A70" s="125">
        <v>95.1</v>
      </c>
      <c r="B70" s="125">
        <f>VLOOKUP(C70,'station changes (20-21)'!$A$3:$D$298,4,)</f>
        <v>65</v>
      </c>
      <c r="C70" s="125">
        <v>95.1</v>
      </c>
      <c r="D70" s="126" t="s">
        <v>92</v>
      </c>
      <c r="E70" s="126" t="s">
        <v>339</v>
      </c>
      <c r="F70" s="17" t="s">
        <v>243</v>
      </c>
      <c r="G70" s="127" t="s">
        <v>267</v>
      </c>
      <c r="H70" s="18">
        <v>593</v>
      </c>
      <c r="I70" s="16">
        <v>621</v>
      </c>
      <c r="J70" s="16">
        <v>870</v>
      </c>
      <c r="K70" s="16">
        <v>812</v>
      </c>
      <c r="L70" s="202" t="s">
        <v>243</v>
      </c>
      <c r="M70" s="202" t="s">
        <v>243</v>
      </c>
      <c r="N70" s="202" t="s">
        <v>243</v>
      </c>
      <c r="O70" s="202" t="s">
        <v>243</v>
      </c>
      <c r="P70" s="202" t="s">
        <v>243</v>
      </c>
      <c r="Q70" s="202">
        <v>646</v>
      </c>
      <c r="R70" s="202">
        <f>VLOOKUP(B70,'2022 Count Table'!A70:X253,11)</f>
        <v>658</v>
      </c>
      <c r="S70" s="19">
        <f t="shared" si="0"/>
        <v>718</v>
      </c>
      <c r="T70" s="20">
        <f t="shared" si="1"/>
        <v>1.7500000000000002E-2</v>
      </c>
      <c r="U70" s="21" t="s">
        <v>243</v>
      </c>
      <c r="V70" s="16" t="s">
        <v>243</v>
      </c>
      <c r="W70" s="16" t="s">
        <v>243</v>
      </c>
      <c r="X70" s="16" t="s">
        <v>243</v>
      </c>
      <c r="Y70" s="22" t="s">
        <v>243</v>
      </c>
      <c r="Z70" s="23" t="s">
        <v>243</v>
      </c>
      <c r="AA70" s="21">
        <f>VLOOKUP(B70,'2022 Count Table'!A70:X253,19)</f>
        <v>0.70833333333333337</v>
      </c>
      <c r="AB70" s="16">
        <f>VLOOKUP($B70,'2022 Count Table'!A70:X253,20)</f>
        <v>60</v>
      </c>
      <c r="AC70" s="16">
        <f>VLOOKUP($B70,'2022 Count Table'!A70:X253,21)</f>
        <v>40</v>
      </c>
      <c r="AD70" s="16">
        <f>VLOOKUP($B70,'2022 Count Table'!A70:X253,22)</f>
        <v>20</v>
      </c>
      <c r="AE70" s="22">
        <f>VLOOKUP($B70,'2022 Count Table'!A70:X253,23)</f>
        <v>9.1185410334346503E-2</v>
      </c>
      <c r="AF70" s="23">
        <f>VLOOKUP($B70,'2022 Count Table'!A70:X253,24)</f>
        <v>0.66666666666666663</v>
      </c>
      <c r="AG70" s="24">
        <v>2</v>
      </c>
      <c r="AH70" s="25">
        <v>55</v>
      </c>
      <c r="AI70" s="18" t="s">
        <v>268</v>
      </c>
      <c r="AJ70" s="16" t="s">
        <v>268</v>
      </c>
      <c r="AK70" s="16" t="s">
        <v>268</v>
      </c>
      <c r="AL70" s="16" t="s">
        <v>268</v>
      </c>
      <c r="AM70" s="16" t="s">
        <v>268</v>
      </c>
      <c r="AN70" s="128" t="s">
        <v>268</v>
      </c>
      <c r="AO70" s="131">
        <f t="shared" si="2"/>
        <v>662.5</v>
      </c>
      <c r="AP70" s="128">
        <f t="shared" si="3"/>
        <v>641.5</v>
      </c>
    </row>
    <row r="71" spans="1:42" s="162" customFormat="1" ht="18.95" customHeight="1">
      <c r="A71" s="125">
        <v>91</v>
      </c>
      <c r="B71" s="125">
        <f>VLOOKUP(C71,'station changes (20-21)'!$A$3:$D$298,4,)</f>
        <v>66</v>
      </c>
      <c r="C71" s="125">
        <v>91</v>
      </c>
      <c r="D71" s="126" t="s">
        <v>333</v>
      </c>
      <c r="E71" s="126" t="s">
        <v>334</v>
      </c>
      <c r="F71" s="17">
        <v>43852</v>
      </c>
      <c r="G71" s="127" t="s">
        <v>267</v>
      </c>
      <c r="H71" s="18">
        <v>1098</v>
      </c>
      <c r="I71" s="16">
        <v>887</v>
      </c>
      <c r="J71" s="16">
        <v>1085</v>
      </c>
      <c r="K71" s="16">
        <v>1052</v>
      </c>
      <c r="L71" s="202">
        <v>1083</v>
      </c>
      <c r="M71" s="202">
        <v>1124</v>
      </c>
      <c r="N71" s="202">
        <v>943</v>
      </c>
      <c r="O71" s="202">
        <v>1021</v>
      </c>
      <c r="P71" s="202">
        <v>1016</v>
      </c>
      <c r="Q71" s="202">
        <v>1028</v>
      </c>
      <c r="R71" s="202">
        <f>VLOOKUP(B71,'2022 Count Table'!A71:X254,11)</f>
        <v>1224</v>
      </c>
      <c r="S71" s="19">
        <f t="shared" ref="S71:S134" si="5">_xlfn.FORECAST.LINEAR($S$5,$N71:$R71,$N$5:$R$5)</f>
        <v>1444.6999999999971</v>
      </c>
      <c r="T71" s="20">
        <f t="shared" ref="T71:T134" si="6">IF(S71&lt;R71,0,MROUND((S71/R71)^(1/5)-1,0.0025))</f>
        <v>3.2500000000000001E-2</v>
      </c>
      <c r="U71" s="21">
        <v>0.30208333333333298</v>
      </c>
      <c r="V71" s="16">
        <v>106</v>
      </c>
      <c r="W71" s="16">
        <v>42</v>
      </c>
      <c r="X71" s="16">
        <v>64</v>
      </c>
      <c r="Y71" s="22">
        <v>0.10433070866141732</v>
      </c>
      <c r="Z71" s="23">
        <v>0.60377358490566035</v>
      </c>
      <c r="AA71" s="21">
        <f>VLOOKUP(B71,'2022 Count Table'!A71:X254,19)</f>
        <v>0.69791666666666663</v>
      </c>
      <c r="AB71" s="16">
        <f>VLOOKUP($B71,'2022 Count Table'!A71:X254,20)</f>
        <v>119</v>
      </c>
      <c r="AC71" s="16">
        <f>VLOOKUP($B71,'2022 Count Table'!A71:X254,21)</f>
        <v>38</v>
      </c>
      <c r="AD71" s="16">
        <f>VLOOKUP($B71,'2022 Count Table'!A71:X254,22)</f>
        <v>81</v>
      </c>
      <c r="AE71" s="22">
        <f>VLOOKUP($B71,'2022 Count Table'!A71:X254,23)</f>
        <v>9.7222222222222224E-2</v>
      </c>
      <c r="AF71" s="23">
        <f>VLOOKUP($B71,'2022 Count Table'!A71:X254,24)</f>
        <v>0.68067226890756305</v>
      </c>
      <c r="AG71" s="24">
        <v>2</v>
      </c>
      <c r="AH71" s="25">
        <v>55</v>
      </c>
      <c r="AI71" s="18" t="s">
        <v>268</v>
      </c>
      <c r="AJ71" s="16" t="s">
        <v>268</v>
      </c>
      <c r="AK71" s="16" t="s">
        <v>268</v>
      </c>
      <c r="AL71" s="16" t="s">
        <v>268</v>
      </c>
      <c r="AM71" s="16" t="s">
        <v>268</v>
      </c>
      <c r="AN71" s="128" t="s">
        <v>268</v>
      </c>
      <c r="AO71" s="131">
        <f t="shared" ref="AO71:AO134" si="7">AVERAGE(N71:R71)+_xlfn.STDEV.P(N71:R71)*1.75</f>
        <v>1210.8277500910356</v>
      </c>
      <c r="AP71" s="128">
        <f t="shared" ref="AP71:AP134" si="8">AVERAGE(N71:R71)-_xlfn.STDEV.P(N71:R71)*1.75</f>
        <v>881.97224990896461</v>
      </c>
    </row>
    <row r="72" spans="1:42" s="205" customFormat="1" ht="18.75" customHeight="1">
      <c r="A72" s="184">
        <v>92</v>
      </c>
      <c r="B72" s="184">
        <f>VLOOKUP(C72,'station changes (20-21)'!$A$3:$D$298,4,)</f>
        <v>67</v>
      </c>
      <c r="C72" s="184">
        <v>92</v>
      </c>
      <c r="D72" s="185" t="s">
        <v>333</v>
      </c>
      <c r="E72" s="185" t="s">
        <v>335</v>
      </c>
      <c r="F72" s="186">
        <v>43852</v>
      </c>
      <c r="G72" s="187" t="s">
        <v>267</v>
      </c>
      <c r="H72" s="188">
        <v>1779</v>
      </c>
      <c r="I72" s="189">
        <v>1641</v>
      </c>
      <c r="J72" s="189">
        <v>1679</v>
      </c>
      <c r="K72" s="189">
        <v>1703</v>
      </c>
      <c r="L72" s="174">
        <v>1715</v>
      </c>
      <c r="M72" s="174">
        <v>1779</v>
      </c>
      <c r="N72" s="174">
        <v>1584</v>
      </c>
      <c r="O72" s="174">
        <v>1596</v>
      </c>
      <c r="P72" s="174">
        <v>1539</v>
      </c>
      <c r="Q72" s="174">
        <v>1590</v>
      </c>
      <c r="R72" s="174">
        <f>VLOOKUP(B72,'2022 Count Table'!A72:X255,11)</f>
        <v>2048</v>
      </c>
      <c r="S72" s="175">
        <f t="shared" si="5"/>
        <v>2316.7999999999884</v>
      </c>
      <c r="T72" s="176">
        <f t="shared" si="6"/>
        <v>2.5000000000000001E-2</v>
      </c>
      <c r="U72" s="192">
        <v>0.30208333333333298</v>
      </c>
      <c r="V72" s="189">
        <v>156</v>
      </c>
      <c r="W72" s="189">
        <v>57</v>
      </c>
      <c r="X72" s="189">
        <v>99</v>
      </c>
      <c r="Y72" s="193">
        <v>0.10136452241715399</v>
      </c>
      <c r="Z72" s="194">
        <v>0.63461538461538458</v>
      </c>
      <c r="AA72" s="192">
        <f>VLOOKUP(B72,'2022 Count Table'!A72:X255,19)</f>
        <v>0.70833333333333337</v>
      </c>
      <c r="AB72" s="189">
        <f>VLOOKUP($B72,'2022 Count Table'!A72:X255,20)</f>
        <v>192</v>
      </c>
      <c r="AC72" s="189">
        <f>VLOOKUP($B72,'2022 Count Table'!A72:X255,21)</f>
        <v>95</v>
      </c>
      <c r="AD72" s="189">
        <f>VLOOKUP($B72,'2022 Count Table'!A72:X255,22)</f>
        <v>97</v>
      </c>
      <c r="AE72" s="193">
        <f>VLOOKUP($B72,'2022 Count Table'!A72:X255,23)</f>
        <v>9.375E-2</v>
      </c>
      <c r="AF72" s="194">
        <f>VLOOKUP($B72,'2022 Count Table'!A72:X255,24)</f>
        <v>0.50520833333333337</v>
      </c>
      <c r="AG72" s="195">
        <v>2</v>
      </c>
      <c r="AH72" s="196">
        <v>35</v>
      </c>
      <c r="AI72" s="188" t="s">
        <v>268</v>
      </c>
      <c r="AJ72" s="189" t="s">
        <v>268</v>
      </c>
      <c r="AK72" s="189" t="s">
        <v>268</v>
      </c>
      <c r="AL72" s="189" t="s">
        <v>268</v>
      </c>
      <c r="AM72" s="189" t="s">
        <v>268</v>
      </c>
      <c r="AN72" s="197" t="s">
        <v>268</v>
      </c>
      <c r="AO72" s="198">
        <f t="shared" si="7"/>
        <v>2002.7995473744647</v>
      </c>
      <c r="AP72" s="197">
        <f t="shared" si="8"/>
        <v>1340.0004526255354</v>
      </c>
    </row>
    <row r="73" spans="1:42" s="162" customFormat="1" ht="18.95" customHeight="1">
      <c r="A73" s="125">
        <v>93</v>
      </c>
      <c r="B73" s="125">
        <f>VLOOKUP(C73,'station changes (20-21)'!$A$3:$D$298,4,)</f>
        <v>68</v>
      </c>
      <c r="C73" s="125">
        <v>93</v>
      </c>
      <c r="D73" s="126" t="s">
        <v>333</v>
      </c>
      <c r="E73" s="126" t="s">
        <v>336</v>
      </c>
      <c r="F73" s="17">
        <v>43852</v>
      </c>
      <c r="G73" s="127" t="s">
        <v>267</v>
      </c>
      <c r="H73" s="18">
        <v>1661</v>
      </c>
      <c r="I73" s="16">
        <v>1541</v>
      </c>
      <c r="J73" s="16">
        <v>1123</v>
      </c>
      <c r="K73" s="16">
        <v>1514</v>
      </c>
      <c r="L73" s="202">
        <v>1574</v>
      </c>
      <c r="M73" s="202">
        <v>1768</v>
      </c>
      <c r="N73" s="202">
        <v>1600</v>
      </c>
      <c r="O73" s="202">
        <v>1779</v>
      </c>
      <c r="P73" s="202">
        <v>1752</v>
      </c>
      <c r="Q73" s="202" t="s">
        <v>243</v>
      </c>
      <c r="R73" s="202">
        <f>VLOOKUP(B73,'2022 Count Table'!A73:X256,11)</f>
        <v>375</v>
      </c>
      <c r="S73" s="19">
        <f>_xlfn.FORECAST.LINEAR($S$5,$N73:$R73,$N$5:$R$5)</f>
        <v>-987</v>
      </c>
      <c r="T73" s="20">
        <f t="shared" si="6"/>
        <v>0</v>
      </c>
      <c r="U73" s="21">
        <v>0.29166666666666702</v>
      </c>
      <c r="V73" s="16">
        <v>150</v>
      </c>
      <c r="W73" s="16">
        <v>104</v>
      </c>
      <c r="X73" s="16">
        <v>46</v>
      </c>
      <c r="Y73" s="22">
        <v>8.5616438356164379E-2</v>
      </c>
      <c r="Z73" s="23">
        <v>0.69333333333333336</v>
      </c>
      <c r="AA73" s="21">
        <f>VLOOKUP(B73,'2022 Count Table'!A73:X256,19)</f>
        <v>0.63541666666666663</v>
      </c>
      <c r="AB73" s="16">
        <f>VLOOKUP($B73,'2022 Count Table'!A73:X256,20)</f>
        <v>53</v>
      </c>
      <c r="AC73" s="16">
        <f>VLOOKUP($B73,'2022 Count Table'!A73:X256,21)</f>
        <v>35</v>
      </c>
      <c r="AD73" s="16">
        <f>VLOOKUP($B73,'2022 Count Table'!A73:X256,22)</f>
        <v>18</v>
      </c>
      <c r="AE73" s="22">
        <f>VLOOKUP($B73,'2022 Count Table'!A73:X256,23)</f>
        <v>0.14133333333333334</v>
      </c>
      <c r="AF73" s="23">
        <f>VLOOKUP($B73,'2022 Count Table'!A73:X256,24)</f>
        <v>0.660377358490566</v>
      </c>
      <c r="AG73" s="24">
        <v>2</v>
      </c>
      <c r="AH73" s="25">
        <v>55</v>
      </c>
      <c r="AI73" s="18" t="s">
        <v>268</v>
      </c>
      <c r="AJ73" s="16" t="s">
        <v>268</v>
      </c>
      <c r="AK73" s="16" t="s">
        <v>268</v>
      </c>
      <c r="AL73" s="16" t="s">
        <v>268</v>
      </c>
      <c r="AM73" s="16" t="s">
        <v>268</v>
      </c>
      <c r="AN73" s="128" t="s">
        <v>268</v>
      </c>
      <c r="AO73" s="131">
        <f>AVERAGE(N73:R73)+_xlfn.STDEV.P(N73:R73)*1.75</f>
        <v>2395.400211318557</v>
      </c>
      <c r="AP73" s="128">
        <f>AVERAGE(N73:R73)-_xlfn.STDEV.P(N73:R73)*1.75</f>
        <v>357.59978868144299</v>
      </c>
    </row>
    <row r="74" spans="1:42" s="226" customFormat="1" ht="18.95" customHeight="1">
      <c r="A74" s="210">
        <v>93.1</v>
      </c>
      <c r="B74" s="210">
        <f>VLOOKUP(C74,'station changes (20-21)'!$A$3:$D$298,4,)</f>
        <v>69</v>
      </c>
      <c r="C74" s="210">
        <v>93.1</v>
      </c>
      <c r="D74" s="211" t="s">
        <v>851</v>
      </c>
      <c r="E74" s="211" t="s">
        <v>852</v>
      </c>
      <c r="F74" s="212" t="s">
        <v>243</v>
      </c>
      <c r="G74" s="213" t="s">
        <v>267</v>
      </c>
      <c r="H74" s="214">
        <v>1406</v>
      </c>
      <c r="I74" s="215">
        <v>3352</v>
      </c>
      <c r="J74" s="215">
        <v>3745</v>
      </c>
      <c r="K74" s="215">
        <v>3239</v>
      </c>
      <c r="L74" s="216" t="s">
        <v>243</v>
      </c>
      <c r="M74" s="216" t="s">
        <v>243</v>
      </c>
      <c r="N74" s="216" t="s">
        <v>243</v>
      </c>
      <c r="O74" s="216" t="s">
        <v>243</v>
      </c>
      <c r="P74" s="216" t="s">
        <v>243</v>
      </c>
      <c r="Q74" s="216">
        <v>576</v>
      </c>
      <c r="R74" s="216">
        <f>VLOOKUP(B74,'2022 Count Table'!A74:X257,11)</f>
        <v>685</v>
      </c>
      <c r="S74" s="217">
        <f t="shared" si="5"/>
        <v>1230</v>
      </c>
      <c r="T74" s="218">
        <f t="shared" si="6"/>
        <v>0.125</v>
      </c>
      <c r="U74" s="219" t="s">
        <v>243</v>
      </c>
      <c r="V74" s="215" t="s">
        <v>243</v>
      </c>
      <c r="W74" s="215" t="s">
        <v>243</v>
      </c>
      <c r="X74" s="215" t="s">
        <v>243</v>
      </c>
      <c r="Y74" s="220" t="s">
        <v>243</v>
      </c>
      <c r="Z74" s="221" t="s">
        <v>243</v>
      </c>
      <c r="AA74" s="219">
        <f>VLOOKUP(B74,'2022 Count Table'!A74:X257,19)</f>
        <v>0.67708333333333337</v>
      </c>
      <c r="AB74" s="215">
        <f>VLOOKUP($B74,'2022 Count Table'!A74:X257,20)</f>
        <v>82</v>
      </c>
      <c r="AC74" s="215">
        <f>VLOOKUP($B74,'2022 Count Table'!A74:X257,21)</f>
        <v>30</v>
      </c>
      <c r="AD74" s="215">
        <f>VLOOKUP($B74,'2022 Count Table'!A74:X257,22)</f>
        <v>52</v>
      </c>
      <c r="AE74" s="220">
        <f>VLOOKUP($B74,'2022 Count Table'!A74:X257,23)</f>
        <v>0.11970802919708029</v>
      </c>
      <c r="AF74" s="221">
        <f>VLOOKUP($B74,'2022 Count Table'!A74:X257,24)</f>
        <v>0.63414634146341464</v>
      </c>
      <c r="AG74" s="222">
        <v>2</v>
      </c>
      <c r="AH74" s="223">
        <v>55</v>
      </c>
      <c r="AI74" s="214" t="s">
        <v>268</v>
      </c>
      <c r="AJ74" s="215" t="s">
        <v>268</v>
      </c>
      <c r="AK74" s="215" t="s">
        <v>268</v>
      </c>
      <c r="AL74" s="215" t="s">
        <v>268</v>
      </c>
      <c r="AM74" s="215" t="s">
        <v>268</v>
      </c>
      <c r="AN74" s="224" t="s">
        <v>268</v>
      </c>
      <c r="AO74" s="225">
        <f t="shared" si="7"/>
        <v>725.875</v>
      </c>
      <c r="AP74" s="224">
        <f t="shared" si="8"/>
        <v>535.125</v>
      </c>
    </row>
    <row r="75" spans="1:42" s="162" customFormat="1" ht="18.95" customHeight="1">
      <c r="A75" s="184">
        <v>94</v>
      </c>
      <c r="B75" s="184">
        <f>VLOOKUP(C75,'station changes (20-21)'!$A$3:$D$298,4,)</f>
        <v>70</v>
      </c>
      <c r="C75" s="184">
        <v>94</v>
      </c>
      <c r="D75" s="185" t="s">
        <v>337</v>
      </c>
      <c r="E75" s="185" t="s">
        <v>338</v>
      </c>
      <c r="F75" s="186">
        <v>43852</v>
      </c>
      <c r="G75" s="187" t="s">
        <v>267</v>
      </c>
      <c r="H75" s="188">
        <v>1989</v>
      </c>
      <c r="I75" s="189">
        <v>1900</v>
      </c>
      <c r="J75" s="189">
        <v>1840</v>
      </c>
      <c r="K75" s="189">
        <v>1900</v>
      </c>
      <c r="L75" s="174">
        <v>2298</v>
      </c>
      <c r="M75" s="174">
        <v>2662</v>
      </c>
      <c r="N75" s="174">
        <v>2109</v>
      </c>
      <c r="O75" s="174">
        <v>2092</v>
      </c>
      <c r="P75" s="174">
        <v>2146</v>
      </c>
      <c r="Q75" s="174">
        <v>2081</v>
      </c>
      <c r="R75" s="174">
        <f>VLOOKUP(B75,'2022 Count Table'!A75:X258,11)</f>
        <v>2816</v>
      </c>
      <c r="S75" s="175">
        <f t="shared" si="5"/>
        <v>3230.9000000000233</v>
      </c>
      <c r="T75" s="176">
        <f t="shared" si="6"/>
        <v>2.75E-2</v>
      </c>
      <c r="U75" s="192">
        <v>0.30208333333333298</v>
      </c>
      <c r="V75" s="189">
        <v>186</v>
      </c>
      <c r="W75" s="189">
        <v>89</v>
      </c>
      <c r="X75" s="189">
        <v>97</v>
      </c>
      <c r="Y75" s="193">
        <v>8.6672879776328052E-2</v>
      </c>
      <c r="Z75" s="194">
        <v>0.521505376344086</v>
      </c>
      <c r="AA75" s="192">
        <f>VLOOKUP(B75,'2022 Count Table'!A75:X258,19)</f>
        <v>0.66666666666666663</v>
      </c>
      <c r="AB75" s="189">
        <f>VLOOKUP($B75,'2022 Count Table'!A75:X258,20)</f>
        <v>247</v>
      </c>
      <c r="AC75" s="189">
        <f>VLOOKUP($B75,'2022 Count Table'!A75:X258,21)</f>
        <v>119</v>
      </c>
      <c r="AD75" s="189">
        <f>VLOOKUP($B75,'2022 Count Table'!A75:X258,22)</f>
        <v>128</v>
      </c>
      <c r="AE75" s="193">
        <f>VLOOKUP($B75,'2022 Count Table'!A75:X258,23)</f>
        <v>8.7713068181818177E-2</v>
      </c>
      <c r="AF75" s="194">
        <f>VLOOKUP($B75,'2022 Count Table'!A75:X258,24)</f>
        <v>0.51821862348178138</v>
      </c>
      <c r="AG75" s="195">
        <v>2</v>
      </c>
      <c r="AH75" s="196">
        <v>55</v>
      </c>
      <c r="AI75" s="188" t="s">
        <v>268</v>
      </c>
      <c r="AJ75" s="189" t="s">
        <v>268</v>
      </c>
      <c r="AK75" s="189" t="s">
        <v>268</v>
      </c>
      <c r="AL75" s="189" t="s">
        <v>268</v>
      </c>
      <c r="AM75" s="189" t="s">
        <v>268</v>
      </c>
      <c r="AN75" s="197" t="s">
        <v>268</v>
      </c>
      <c r="AO75" s="198">
        <f t="shared" si="7"/>
        <v>2746.5947518807325</v>
      </c>
      <c r="AP75" s="197">
        <f t="shared" si="8"/>
        <v>1751.0052481192677</v>
      </c>
    </row>
    <row r="76" spans="1:42" s="205" customFormat="1" ht="18.95" customHeight="1">
      <c r="A76" s="184">
        <v>368</v>
      </c>
      <c r="B76" s="184">
        <f>VLOOKUP(C76,'station changes (20-21)'!$A$3:$D$298,4,)</f>
        <v>71</v>
      </c>
      <c r="C76" s="184">
        <v>368</v>
      </c>
      <c r="D76" s="185" t="s">
        <v>452</v>
      </c>
      <c r="E76" s="185" t="s">
        <v>453</v>
      </c>
      <c r="F76" s="186">
        <v>43846</v>
      </c>
      <c r="G76" s="187" t="s">
        <v>267</v>
      </c>
      <c r="H76" s="188">
        <v>3730</v>
      </c>
      <c r="I76" s="189">
        <v>3346</v>
      </c>
      <c r="J76" s="189">
        <v>3515</v>
      </c>
      <c r="K76" s="189">
        <v>3604</v>
      </c>
      <c r="L76" s="174">
        <v>3704</v>
      </c>
      <c r="M76" s="174">
        <v>4014</v>
      </c>
      <c r="N76" s="174">
        <v>3543</v>
      </c>
      <c r="O76" s="174">
        <v>3545</v>
      </c>
      <c r="P76" s="174">
        <v>3758</v>
      </c>
      <c r="Q76" s="174">
        <v>3696</v>
      </c>
      <c r="R76" s="174">
        <f>VLOOKUP(B76,'2022 Count Table'!A76:X259,11)</f>
        <v>3626</v>
      </c>
      <c r="S76" s="175">
        <f t="shared" si="5"/>
        <v>3855.5</v>
      </c>
      <c r="T76" s="176">
        <f t="shared" si="6"/>
        <v>1.2500000000000001E-2</v>
      </c>
      <c r="U76" s="192">
        <v>0.32291666666666702</v>
      </c>
      <c r="V76" s="189">
        <v>303</v>
      </c>
      <c r="W76" s="189">
        <v>193</v>
      </c>
      <c r="X76" s="189">
        <v>110</v>
      </c>
      <c r="Y76" s="193">
        <v>8.0627993613624271E-2</v>
      </c>
      <c r="Z76" s="194">
        <v>0.63696369636963701</v>
      </c>
      <c r="AA76" s="192">
        <f>VLOOKUP(B76,'2022 Count Table'!A76:X259,19)</f>
        <v>0.6875</v>
      </c>
      <c r="AB76" s="189">
        <f>VLOOKUP($B76,'2022 Count Table'!A76:X259,20)</f>
        <v>383</v>
      </c>
      <c r="AC76" s="189">
        <f>VLOOKUP($B76,'2022 Count Table'!A76:X259,21)</f>
        <v>164</v>
      </c>
      <c r="AD76" s="189">
        <f>VLOOKUP($B76,'2022 Count Table'!A76:X259,22)</f>
        <v>219</v>
      </c>
      <c r="AE76" s="193">
        <f>VLOOKUP($B76,'2022 Count Table'!A76:X259,23)</f>
        <v>0.10562603419746276</v>
      </c>
      <c r="AF76" s="194">
        <f>VLOOKUP($B76,'2022 Count Table'!A76:X259,24)</f>
        <v>0.57180156657963443</v>
      </c>
      <c r="AG76" s="195">
        <v>2</v>
      </c>
      <c r="AH76" s="196">
        <v>30</v>
      </c>
      <c r="AI76" s="188" t="s">
        <v>268</v>
      </c>
      <c r="AJ76" s="189" t="s">
        <v>268</v>
      </c>
      <c r="AK76" s="189" t="s">
        <v>268</v>
      </c>
      <c r="AL76" s="189" t="s">
        <v>268</v>
      </c>
      <c r="AM76" s="189" t="s">
        <v>268</v>
      </c>
      <c r="AN76" s="197" t="s">
        <v>268</v>
      </c>
      <c r="AO76" s="198">
        <f t="shared" si="7"/>
        <v>3781.026880181329</v>
      </c>
      <c r="AP76" s="197">
        <f t="shared" si="8"/>
        <v>3486.1731198186708</v>
      </c>
    </row>
    <row r="77" spans="1:42" s="162" customFormat="1" ht="18.95" customHeight="1">
      <c r="A77" s="125">
        <v>370</v>
      </c>
      <c r="B77" s="125">
        <f>VLOOKUP(C77,'station changes (20-21)'!$A$3:$D$298,4,)</f>
        <v>72</v>
      </c>
      <c r="C77" s="125">
        <v>370</v>
      </c>
      <c r="D77" s="126" t="s">
        <v>64</v>
      </c>
      <c r="E77" s="126" t="s">
        <v>454</v>
      </c>
      <c r="F77" s="17">
        <v>43846</v>
      </c>
      <c r="G77" s="127" t="s">
        <v>267</v>
      </c>
      <c r="H77" s="18">
        <v>6443</v>
      </c>
      <c r="I77" s="16">
        <v>5574</v>
      </c>
      <c r="J77" s="16">
        <v>6498</v>
      </c>
      <c r="K77" s="16">
        <v>6243</v>
      </c>
      <c r="L77" s="202">
        <v>7403</v>
      </c>
      <c r="M77" s="202">
        <v>7189</v>
      </c>
      <c r="N77" s="202">
        <v>6475</v>
      </c>
      <c r="O77" s="202">
        <v>7150</v>
      </c>
      <c r="P77" s="202">
        <v>7721</v>
      </c>
      <c r="Q77" s="202">
        <v>7478</v>
      </c>
      <c r="R77" s="202">
        <f>VLOOKUP(B77,'2022 Count Table'!A77:X260,11)</f>
        <v>8713</v>
      </c>
      <c r="S77" s="19">
        <f t="shared" si="5"/>
        <v>10870.199999999953</v>
      </c>
      <c r="T77" s="20">
        <f t="shared" si="6"/>
        <v>4.4999999999999998E-2</v>
      </c>
      <c r="U77" s="21">
        <v>0.32291666666666702</v>
      </c>
      <c r="V77" s="16">
        <v>588</v>
      </c>
      <c r="W77" s="16">
        <v>340</v>
      </c>
      <c r="X77" s="16">
        <v>248</v>
      </c>
      <c r="Y77" s="22">
        <v>7.6155938349954669E-2</v>
      </c>
      <c r="Z77" s="23">
        <v>0.57823129251700678</v>
      </c>
      <c r="AA77" s="21">
        <f>VLOOKUP(B77,'2022 Count Table'!A77:X260,19)</f>
        <v>0.67708333333333337</v>
      </c>
      <c r="AB77" s="16">
        <f>VLOOKUP($B77,'2022 Count Table'!A77:X260,20)</f>
        <v>848</v>
      </c>
      <c r="AC77" s="16">
        <f>VLOOKUP($B77,'2022 Count Table'!A77:X260,21)</f>
        <v>388</v>
      </c>
      <c r="AD77" s="16">
        <f>VLOOKUP($B77,'2022 Count Table'!A77:X260,22)</f>
        <v>460</v>
      </c>
      <c r="AE77" s="22">
        <f>VLOOKUP($B77,'2022 Count Table'!A77:X260,23)</f>
        <v>9.7325834959256285E-2</v>
      </c>
      <c r="AF77" s="23">
        <f>VLOOKUP($B77,'2022 Count Table'!A77:X260,24)</f>
        <v>0.54245283018867929</v>
      </c>
      <c r="AG77" s="24">
        <v>2</v>
      </c>
      <c r="AH77" s="25">
        <v>35</v>
      </c>
      <c r="AI77" s="18" t="s">
        <v>268</v>
      </c>
      <c r="AJ77" s="16" t="s">
        <v>268</v>
      </c>
      <c r="AK77" s="16" t="s">
        <v>268</v>
      </c>
      <c r="AL77" s="16" t="s">
        <v>268</v>
      </c>
      <c r="AM77" s="16" t="s">
        <v>268</v>
      </c>
      <c r="AN77" s="128" t="s">
        <v>268</v>
      </c>
      <c r="AO77" s="131">
        <f t="shared" si="7"/>
        <v>8791.8440178536384</v>
      </c>
      <c r="AP77" s="128">
        <f t="shared" si="8"/>
        <v>6222.9559821463599</v>
      </c>
    </row>
    <row r="78" spans="1:42" s="205" customFormat="1" ht="18.95" customHeight="1">
      <c r="A78" s="184">
        <v>372</v>
      </c>
      <c r="B78" s="184">
        <f>VLOOKUP(C78,'station changes (20-21)'!$A$3:$D$298,4,)</f>
        <v>73</v>
      </c>
      <c r="C78" s="184">
        <v>372</v>
      </c>
      <c r="D78" s="185" t="s">
        <v>64</v>
      </c>
      <c r="E78" s="185" t="s">
        <v>455</v>
      </c>
      <c r="F78" s="186">
        <v>43846</v>
      </c>
      <c r="G78" s="187" t="s">
        <v>267</v>
      </c>
      <c r="H78" s="188">
        <v>4251</v>
      </c>
      <c r="I78" s="189">
        <v>4183</v>
      </c>
      <c r="J78" s="189">
        <v>5104</v>
      </c>
      <c r="K78" s="189">
        <v>4778</v>
      </c>
      <c r="L78" s="189">
        <v>5118</v>
      </c>
      <c r="M78" s="189">
        <v>5699</v>
      </c>
      <c r="N78" s="189">
        <v>5490</v>
      </c>
      <c r="O78" s="189">
        <v>5666</v>
      </c>
      <c r="P78" s="189">
        <v>5962</v>
      </c>
      <c r="Q78" s="189">
        <v>5748</v>
      </c>
      <c r="R78" s="189">
        <f>VLOOKUP(B78,'2022 Count Table'!A78:X261,11)</f>
        <v>7301</v>
      </c>
      <c r="S78" s="175">
        <f t="shared" si="5"/>
        <v>8626.1999999999534</v>
      </c>
      <c r="T78" s="176">
        <f t="shared" si="6"/>
        <v>3.5000000000000003E-2</v>
      </c>
      <c r="U78" s="192">
        <v>0.30208333333333298</v>
      </c>
      <c r="V78" s="189">
        <v>463</v>
      </c>
      <c r="W78" s="189">
        <v>232</v>
      </c>
      <c r="X78" s="189">
        <v>231</v>
      </c>
      <c r="Y78" s="193">
        <v>7.7658503857765848E-2</v>
      </c>
      <c r="Z78" s="194">
        <v>0.5010799136069114</v>
      </c>
      <c r="AA78" s="192">
        <f>VLOOKUP(B78,'2022 Count Table'!A78:X261,19)</f>
        <v>0.67708333333333337</v>
      </c>
      <c r="AB78" s="189">
        <f>VLOOKUP($B78,'2022 Count Table'!A78:X261,20)</f>
        <v>654</v>
      </c>
      <c r="AC78" s="189">
        <f>VLOOKUP($B78,'2022 Count Table'!A78:X261,21)</f>
        <v>308</v>
      </c>
      <c r="AD78" s="189">
        <f>VLOOKUP($B78,'2022 Count Table'!A78:X261,22)</f>
        <v>346</v>
      </c>
      <c r="AE78" s="193">
        <f>VLOOKUP($B78,'2022 Count Table'!A78:X261,23)</f>
        <v>8.9576770305437606E-2</v>
      </c>
      <c r="AF78" s="194">
        <f>VLOOKUP($B78,'2022 Count Table'!A78:X261,24)</f>
        <v>0.52905198776758411</v>
      </c>
      <c r="AG78" s="195">
        <v>2</v>
      </c>
      <c r="AH78" s="196">
        <v>45</v>
      </c>
      <c r="AI78" s="188" t="s">
        <v>268</v>
      </c>
      <c r="AJ78" s="189" t="s">
        <v>268</v>
      </c>
      <c r="AK78" s="189" t="s">
        <v>268</v>
      </c>
      <c r="AL78" s="189" t="s">
        <v>268</v>
      </c>
      <c r="AM78" s="189" t="s">
        <v>268</v>
      </c>
      <c r="AN78" s="197" t="s">
        <v>268</v>
      </c>
      <c r="AO78" s="198">
        <f t="shared" si="7"/>
        <v>7173.8918500366408</v>
      </c>
      <c r="AP78" s="197">
        <f t="shared" si="8"/>
        <v>4892.9081499633585</v>
      </c>
    </row>
    <row r="79" spans="1:42" s="162" customFormat="1" ht="18.95" customHeight="1">
      <c r="A79" s="125">
        <v>374</v>
      </c>
      <c r="B79" s="125">
        <f>VLOOKUP(C79,'station changes (20-21)'!$A$3:$D$298,4,)</f>
        <v>74</v>
      </c>
      <c r="C79" s="125">
        <v>374</v>
      </c>
      <c r="D79" s="126" t="s">
        <v>456</v>
      </c>
      <c r="E79" s="126" t="s">
        <v>457</v>
      </c>
      <c r="F79" s="17">
        <v>43852</v>
      </c>
      <c r="G79" s="127" t="s">
        <v>267</v>
      </c>
      <c r="H79" s="18">
        <v>10971</v>
      </c>
      <c r="I79" s="16">
        <v>2522</v>
      </c>
      <c r="J79" s="16">
        <v>5222</v>
      </c>
      <c r="K79" s="16">
        <v>4113</v>
      </c>
      <c r="L79" s="202">
        <v>4387</v>
      </c>
      <c r="M79" s="202">
        <v>4494</v>
      </c>
      <c r="N79" s="202">
        <v>4167</v>
      </c>
      <c r="O79" s="202">
        <v>4222</v>
      </c>
      <c r="P79" s="202">
        <v>4153</v>
      </c>
      <c r="Q79" s="202">
        <v>4113</v>
      </c>
      <c r="R79" s="202">
        <f>VLOOKUP(B79,'2022 Count Table'!A79:X262,11)</f>
        <v>5671</v>
      </c>
      <c r="S79" s="19">
        <f t="shared" si="5"/>
        <v>6494.4999999998836</v>
      </c>
      <c r="T79" s="20">
        <f t="shared" si="6"/>
        <v>2.75E-2</v>
      </c>
      <c r="U79" s="21">
        <v>0.3125</v>
      </c>
      <c r="V79" s="16">
        <v>275</v>
      </c>
      <c r="W79" s="16">
        <v>122</v>
      </c>
      <c r="X79" s="16">
        <v>153</v>
      </c>
      <c r="Y79" s="22">
        <v>6.6217192391042623E-2</v>
      </c>
      <c r="Z79" s="23">
        <v>0.55636363636363639</v>
      </c>
      <c r="AA79" s="21">
        <f>VLOOKUP(B79,'2022 Count Table'!A79:X262,19)</f>
        <v>0.5625</v>
      </c>
      <c r="AB79" s="16">
        <f>VLOOKUP($B79,'2022 Count Table'!A79:X262,20)</f>
        <v>497</v>
      </c>
      <c r="AC79" s="16">
        <f>VLOOKUP($B79,'2022 Count Table'!A79:X262,21)</f>
        <v>283</v>
      </c>
      <c r="AD79" s="16">
        <f>VLOOKUP($B79,'2022 Count Table'!A79:X262,22)</f>
        <v>214</v>
      </c>
      <c r="AE79" s="22">
        <f>VLOOKUP($B79,'2022 Count Table'!A79:X262,23)</f>
        <v>8.7638864397813432E-2</v>
      </c>
      <c r="AF79" s="23">
        <f>VLOOKUP($B79,'2022 Count Table'!A79:X262,24)</f>
        <v>0.56941649899396374</v>
      </c>
      <c r="AG79" s="24">
        <v>2</v>
      </c>
      <c r="AH79" s="25">
        <v>45</v>
      </c>
      <c r="AI79" s="18" t="s">
        <v>268</v>
      </c>
      <c r="AJ79" s="16" t="s">
        <v>268</v>
      </c>
      <c r="AK79" s="16" t="s">
        <v>268</v>
      </c>
      <c r="AL79" s="16" t="s">
        <v>268</v>
      </c>
      <c r="AM79" s="16" t="s">
        <v>268</v>
      </c>
      <c r="AN79" s="128" t="s">
        <v>268</v>
      </c>
      <c r="AO79" s="131">
        <f t="shared" si="7"/>
        <v>5522.0426041752853</v>
      </c>
      <c r="AP79" s="128">
        <f t="shared" si="8"/>
        <v>3408.3573958247139</v>
      </c>
    </row>
    <row r="80" spans="1:42" s="205" customFormat="1" ht="18.95" customHeight="1">
      <c r="A80" s="184">
        <v>97</v>
      </c>
      <c r="B80" s="184">
        <f>VLOOKUP(C80,'station changes (20-21)'!$A$3:$D$298,4,)</f>
        <v>75</v>
      </c>
      <c r="C80" s="184">
        <v>97</v>
      </c>
      <c r="D80" s="185" t="s">
        <v>340</v>
      </c>
      <c r="E80" s="185" t="s">
        <v>341</v>
      </c>
      <c r="F80" s="186">
        <v>43879</v>
      </c>
      <c r="G80" s="187" t="s">
        <v>267</v>
      </c>
      <c r="H80" s="188">
        <v>5912</v>
      </c>
      <c r="I80" s="189">
        <v>5292</v>
      </c>
      <c r="J80" s="189">
        <v>6146</v>
      </c>
      <c r="K80" s="189">
        <v>5883</v>
      </c>
      <c r="L80" s="189">
        <v>6058</v>
      </c>
      <c r="M80" s="189">
        <v>6857</v>
      </c>
      <c r="N80" s="189">
        <v>6162</v>
      </c>
      <c r="O80" s="189">
        <v>6667</v>
      </c>
      <c r="P80" s="189">
        <v>7088</v>
      </c>
      <c r="Q80" s="189">
        <v>6766</v>
      </c>
      <c r="R80" s="189">
        <f>VLOOKUP(B80,'2022 Count Table'!A80:X263,11)</f>
        <v>8341</v>
      </c>
      <c r="S80" s="175">
        <f t="shared" si="5"/>
        <v>10124.70000000007</v>
      </c>
      <c r="T80" s="176">
        <f t="shared" si="6"/>
        <v>0.04</v>
      </c>
      <c r="U80" s="192">
        <v>0.3125</v>
      </c>
      <c r="V80" s="189">
        <v>561</v>
      </c>
      <c r="W80" s="189">
        <v>247</v>
      </c>
      <c r="X80" s="189">
        <v>314</v>
      </c>
      <c r="Y80" s="193">
        <v>7.9147855530474043E-2</v>
      </c>
      <c r="Z80" s="194">
        <v>0.55971479500891264</v>
      </c>
      <c r="AA80" s="192">
        <f>VLOOKUP(B80,'2022 Count Table'!A80:X263,19)</f>
        <v>0.66666666666666663</v>
      </c>
      <c r="AB80" s="189">
        <f>VLOOKUP($B80,'2022 Count Table'!A80:X263,20)</f>
        <v>791</v>
      </c>
      <c r="AC80" s="189">
        <f>VLOOKUP($B80,'2022 Count Table'!A80:X263,21)</f>
        <v>339</v>
      </c>
      <c r="AD80" s="189">
        <f>VLOOKUP($B80,'2022 Count Table'!A80:X263,22)</f>
        <v>452</v>
      </c>
      <c r="AE80" s="193">
        <f>VLOOKUP($B80,'2022 Count Table'!A80:X263,23)</f>
        <v>9.4832753866442868E-2</v>
      </c>
      <c r="AF80" s="194">
        <f>VLOOKUP($B80,'2022 Count Table'!A80:X263,24)</f>
        <v>0.5714285714285714</v>
      </c>
      <c r="AG80" s="195">
        <v>2</v>
      </c>
      <c r="AH80" s="196">
        <v>55</v>
      </c>
      <c r="AI80" s="188" t="s">
        <v>268</v>
      </c>
      <c r="AJ80" s="189" t="s">
        <v>268</v>
      </c>
      <c r="AK80" s="189" t="s">
        <v>268</v>
      </c>
      <c r="AL80" s="189" t="s">
        <v>268</v>
      </c>
      <c r="AM80" s="189" t="s">
        <v>268</v>
      </c>
      <c r="AN80" s="197" t="s">
        <v>268</v>
      </c>
      <c r="AO80" s="198">
        <f t="shared" si="7"/>
        <v>8284.5272228877529</v>
      </c>
      <c r="AP80" s="197">
        <f t="shared" si="8"/>
        <v>5725.0727771122474</v>
      </c>
    </row>
    <row r="81" spans="1:42" s="162" customFormat="1" ht="18.95" customHeight="1">
      <c r="A81" s="125">
        <v>98</v>
      </c>
      <c r="B81" s="125">
        <f>VLOOKUP(C81,'station changes (20-21)'!$A$3:$D$298,4,)</f>
        <v>76</v>
      </c>
      <c r="C81" s="125">
        <v>98</v>
      </c>
      <c r="D81" s="126" t="s">
        <v>340</v>
      </c>
      <c r="E81" s="126" t="s">
        <v>342</v>
      </c>
      <c r="F81" s="17">
        <v>43846</v>
      </c>
      <c r="G81" s="127" t="s">
        <v>267</v>
      </c>
      <c r="H81" s="18">
        <v>4900</v>
      </c>
      <c r="I81" s="16">
        <v>4341</v>
      </c>
      <c r="J81" s="16">
        <v>5138</v>
      </c>
      <c r="K81" s="16">
        <v>4798</v>
      </c>
      <c r="L81" s="202">
        <v>5797</v>
      </c>
      <c r="M81" s="202">
        <v>5673</v>
      </c>
      <c r="N81" s="202">
        <v>5172</v>
      </c>
      <c r="O81" s="202">
        <v>5767</v>
      </c>
      <c r="P81" s="202">
        <v>6024</v>
      </c>
      <c r="Q81" s="202">
        <v>5889</v>
      </c>
      <c r="R81" s="202">
        <f>VLOOKUP(B81,'2022 Count Table'!A81:X264,11)</f>
        <v>7340</v>
      </c>
      <c r="S81" s="19">
        <f t="shared" si="5"/>
        <v>9159</v>
      </c>
      <c r="T81" s="20">
        <f t="shared" si="6"/>
        <v>4.4999999999999998E-2</v>
      </c>
      <c r="U81" s="21">
        <v>0.35416666666666702</v>
      </c>
      <c r="V81" s="16">
        <v>447</v>
      </c>
      <c r="W81" s="16">
        <v>184</v>
      </c>
      <c r="X81" s="16">
        <v>263</v>
      </c>
      <c r="Y81" s="22">
        <v>7.4203187250996019E-2</v>
      </c>
      <c r="Z81" s="23">
        <v>0.5883668903803132</v>
      </c>
      <c r="AA81" s="21">
        <f>VLOOKUP(B81,'2022 Count Table'!A81:X264,19)</f>
        <v>0.67708333333333337</v>
      </c>
      <c r="AB81" s="16">
        <f>VLOOKUP($B81,'2022 Count Table'!A81:X264,20)</f>
        <v>646</v>
      </c>
      <c r="AC81" s="16">
        <f>VLOOKUP($B81,'2022 Count Table'!A81:X264,21)</f>
        <v>310</v>
      </c>
      <c r="AD81" s="16">
        <f>VLOOKUP($B81,'2022 Count Table'!A81:X264,22)</f>
        <v>336</v>
      </c>
      <c r="AE81" s="22">
        <f>VLOOKUP($B81,'2022 Count Table'!A81:X264,23)</f>
        <v>8.8010899182561303E-2</v>
      </c>
      <c r="AF81" s="23">
        <f>VLOOKUP($B81,'2022 Count Table'!A81:X264,24)</f>
        <v>0.52012383900928794</v>
      </c>
      <c r="AG81" s="24">
        <v>3</v>
      </c>
      <c r="AH81" s="25">
        <v>55</v>
      </c>
      <c r="AI81" s="18" t="s">
        <v>268</v>
      </c>
      <c r="AJ81" s="16" t="s">
        <v>268</v>
      </c>
      <c r="AK81" s="16" t="s">
        <v>268</v>
      </c>
      <c r="AL81" s="16" t="s">
        <v>268</v>
      </c>
      <c r="AM81" s="16" t="s">
        <v>268</v>
      </c>
      <c r="AN81" s="128" t="s">
        <v>268</v>
      </c>
      <c r="AO81" s="131">
        <f t="shared" si="7"/>
        <v>7285.9418970920369</v>
      </c>
      <c r="AP81" s="128">
        <f t="shared" si="8"/>
        <v>4790.8581029079623</v>
      </c>
    </row>
    <row r="82" spans="1:42" s="205" customFormat="1" ht="18.95" customHeight="1">
      <c r="A82" s="184">
        <v>99</v>
      </c>
      <c r="B82" s="184">
        <f>VLOOKUP(C82,'station changes (20-21)'!$A$3:$D$298,4,)</f>
        <v>77</v>
      </c>
      <c r="C82" s="184">
        <v>99</v>
      </c>
      <c r="D82" s="185" t="s">
        <v>340</v>
      </c>
      <c r="E82" s="185" t="s">
        <v>343</v>
      </c>
      <c r="F82" s="186">
        <v>43852</v>
      </c>
      <c r="G82" s="187" t="s">
        <v>267</v>
      </c>
      <c r="H82" s="188">
        <v>4241</v>
      </c>
      <c r="I82" s="189">
        <v>4410</v>
      </c>
      <c r="J82" s="189">
        <v>4967</v>
      </c>
      <c r="K82" s="189">
        <v>5944</v>
      </c>
      <c r="L82" s="174">
        <v>5412</v>
      </c>
      <c r="M82" s="174">
        <v>6084</v>
      </c>
      <c r="N82" s="174">
        <v>5709</v>
      </c>
      <c r="O82" s="174">
        <v>6051</v>
      </c>
      <c r="P82" s="174">
        <v>6211</v>
      </c>
      <c r="Q82" s="174">
        <v>6009</v>
      </c>
      <c r="R82" s="174">
        <f>VLOOKUP(B82,'2022 Count Table'!A82:X265,11)</f>
        <v>8608</v>
      </c>
      <c r="S82" s="175">
        <f t="shared" si="5"/>
        <v>10546.800000000047</v>
      </c>
      <c r="T82" s="176">
        <f t="shared" si="6"/>
        <v>4.2500000000000003E-2</v>
      </c>
      <c r="U82" s="192">
        <v>0.26041666666666702</v>
      </c>
      <c r="V82" s="189">
        <v>570</v>
      </c>
      <c r="W82" s="189">
        <v>208</v>
      </c>
      <c r="X82" s="189">
        <v>362</v>
      </c>
      <c r="Y82" s="193">
        <v>9.1772661407180808E-2</v>
      </c>
      <c r="Z82" s="194">
        <v>0.63508771929824559</v>
      </c>
      <c r="AA82" s="192">
        <f>VLOOKUP(B82,'2022 Count Table'!A82:X265,19)</f>
        <v>0.67708333333333337</v>
      </c>
      <c r="AB82" s="189">
        <f>VLOOKUP($B82,'2022 Count Table'!A82:X265,20)</f>
        <v>731</v>
      </c>
      <c r="AC82" s="189">
        <f>VLOOKUP($B82,'2022 Count Table'!A82:X265,21)</f>
        <v>350</v>
      </c>
      <c r="AD82" s="189">
        <f>VLOOKUP($B82,'2022 Count Table'!A82:X265,22)</f>
        <v>381</v>
      </c>
      <c r="AE82" s="193">
        <f>VLOOKUP($B82,'2022 Count Table'!A82:X265,23)</f>
        <v>8.4921003717472118E-2</v>
      </c>
      <c r="AF82" s="194">
        <f>VLOOKUP($B82,'2022 Count Table'!A82:X265,24)</f>
        <v>0.52120383036935702</v>
      </c>
      <c r="AG82" s="195">
        <v>2</v>
      </c>
      <c r="AH82" s="196">
        <v>55</v>
      </c>
      <c r="AI82" s="188" t="s">
        <v>268</v>
      </c>
      <c r="AJ82" s="189" t="s">
        <v>268</v>
      </c>
      <c r="AK82" s="189" t="s">
        <v>268</v>
      </c>
      <c r="AL82" s="189" t="s">
        <v>268</v>
      </c>
      <c r="AM82" s="189" t="s">
        <v>268</v>
      </c>
      <c r="AN82" s="197" t="s">
        <v>268</v>
      </c>
      <c r="AO82" s="198">
        <f t="shared" si="7"/>
        <v>8368.6333627463337</v>
      </c>
      <c r="AP82" s="197">
        <f t="shared" si="8"/>
        <v>4666.5666372536671</v>
      </c>
    </row>
    <row r="83" spans="1:42" s="162" customFormat="1" ht="18.95" customHeight="1">
      <c r="A83" s="125">
        <v>100</v>
      </c>
      <c r="B83" s="125">
        <f>VLOOKUP(C83,'station changes (20-21)'!$A$3:$D$298,4,)</f>
        <v>78</v>
      </c>
      <c r="C83" s="125">
        <v>100</v>
      </c>
      <c r="D83" s="126" t="s">
        <v>340</v>
      </c>
      <c r="E83" s="126" t="s">
        <v>344</v>
      </c>
      <c r="F83" s="17">
        <v>43852</v>
      </c>
      <c r="G83" s="127" t="s">
        <v>267</v>
      </c>
      <c r="H83" s="18">
        <v>2698</v>
      </c>
      <c r="I83" s="16">
        <v>2694</v>
      </c>
      <c r="J83" s="16">
        <v>3222</v>
      </c>
      <c r="K83" s="16">
        <v>3173</v>
      </c>
      <c r="L83" s="202">
        <v>3320</v>
      </c>
      <c r="M83" s="202">
        <v>3825</v>
      </c>
      <c r="N83" s="202">
        <v>4221</v>
      </c>
      <c r="O83" s="202">
        <v>4023</v>
      </c>
      <c r="P83" s="202">
        <v>3775</v>
      </c>
      <c r="Q83" s="202">
        <v>3722</v>
      </c>
      <c r="R83" s="202">
        <f>VLOOKUP(B83,'2022 Count Table'!A83:X266,11)</f>
        <v>5600</v>
      </c>
      <c r="S83" s="19">
        <f t="shared" si="5"/>
        <v>5988.0999999999767</v>
      </c>
      <c r="T83" s="20">
        <f t="shared" si="6"/>
        <v>1.2500000000000001E-2</v>
      </c>
      <c r="U83" s="21">
        <v>0.3125</v>
      </c>
      <c r="V83" s="16">
        <v>310</v>
      </c>
      <c r="W83" s="16">
        <v>200</v>
      </c>
      <c r="X83" s="16">
        <v>110</v>
      </c>
      <c r="Y83" s="22">
        <v>8.211920529801324E-2</v>
      </c>
      <c r="Z83" s="23">
        <v>0.64516129032258063</v>
      </c>
      <c r="AA83" s="21">
        <f>VLOOKUP(B83,'2022 Count Table'!A83:X266,19)</f>
        <v>0.66666666666666663</v>
      </c>
      <c r="AB83" s="16">
        <f>VLOOKUP($B83,'2022 Count Table'!A83:X266,20)</f>
        <v>473</v>
      </c>
      <c r="AC83" s="16">
        <f>VLOOKUP($B83,'2022 Count Table'!A83:X266,21)</f>
        <v>174</v>
      </c>
      <c r="AD83" s="16">
        <f>VLOOKUP($B83,'2022 Count Table'!A83:X266,22)</f>
        <v>299</v>
      </c>
      <c r="AE83" s="22">
        <f>VLOOKUP($B83,'2022 Count Table'!A83:X266,23)</f>
        <v>8.4464285714285714E-2</v>
      </c>
      <c r="AF83" s="23">
        <f>VLOOKUP($B83,'2022 Count Table'!A83:X266,24)</f>
        <v>0.63213530655391126</v>
      </c>
      <c r="AG83" s="24">
        <v>2</v>
      </c>
      <c r="AH83" s="25">
        <v>35</v>
      </c>
      <c r="AI83" s="18" t="s">
        <v>268</v>
      </c>
      <c r="AJ83" s="16" t="s">
        <v>268</v>
      </c>
      <c r="AK83" s="16" t="s">
        <v>268</v>
      </c>
      <c r="AL83" s="16" t="s">
        <v>268</v>
      </c>
      <c r="AM83" s="16" t="s">
        <v>268</v>
      </c>
      <c r="AN83" s="128" t="s">
        <v>268</v>
      </c>
      <c r="AO83" s="131">
        <f t="shared" si="7"/>
        <v>5474.9700547328812</v>
      </c>
      <c r="AP83" s="128">
        <f t="shared" si="8"/>
        <v>3061.4299452671189</v>
      </c>
    </row>
    <row r="84" spans="1:42" s="205" customFormat="1" ht="18.95" customHeight="1">
      <c r="A84" s="184">
        <v>101</v>
      </c>
      <c r="B84" s="184">
        <f>VLOOKUP(C84,'station changes (20-21)'!$A$3:$D$298,4,)</f>
        <v>79</v>
      </c>
      <c r="C84" s="184">
        <v>101</v>
      </c>
      <c r="D84" s="185" t="s">
        <v>340</v>
      </c>
      <c r="E84" s="185" t="s">
        <v>345</v>
      </c>
      <c r="F84" s="186">
        <v>43852</v>
      </c>
      <c r="G84" s="187" t="s">
        <v>267</v>
      </c>
      <c r="H84" s="188">
        <v>2268</v>
      </c>
      <c r="I84" s="189">
        <v>2115</v>
      </c>
      <c r="J84" s="189">
        <v>2309</v>
      </c>
      <c r="K84" s="189">
        <v>2428</v>
      </c>
      <c r="L84" s="174">
        <v>2610</v>
      </c>
      <c r="M84" s="174">
        <v>2775</v>
      </c>
      <c r="N84" s="174">
        <v>3105</v>
      </c>
      <c r="O84" s="174">
        <v>4303</v>
      </c>
      <c r="P84" s="174">
        <v>3422</v>
      </c>
      <c r="Q84" s="174">
        <v>3426</v>
      </c>
      <c r="R84" s="174">
        <f>VLOOKUP(B84,'2022 Count Table'!A84:X267,11)</f>
        <v>4221</v>
      </c>
      <c r="S84" s="175">
        <f t="shared" si="5"/>
        <v>4643.9000000000233</v>
      </c>
      <c r="T84" s="176">
        <f t="shared" si="6"/>
        <v>0.02</v>
      </c>
      <c r="U84" s="192">
        <v>0.375</v>
      </c>
      <c r="V84" s="189">
        <v>351</v>
      </c>
      <c r="W84" s="189">
        <v>218</v>
      </c>
      <c r="X84" s="189">
        <v>133</v>
      </c>
      <c r="Y84" s="193">
        <v>0.10257159555815312</v>
      </c>
      <c r="Z84" s="194">
        <v>0.62108262108262113</v>
      </c>
      <c r="AA84" s="192">
        <f>VLOOKUP(B84,'2022 Count Table'!A84:X267,19)</f>
        <v>0.69791666666666663</v>
      </c>
      <c r="AB84" s="189">
        <f>VLOOKUP($B84,'2022 Count Table'!A84:X267,20)</f>
        <v>349</v>
      </c>
      <c r="AC84" s="189">
        <f>VLOOKUP($B84,'2022 Count Table'!A84:X267,21)</f>
        <v>118</v>
      </c>
      <c r="AD84" s="189">
        <f>VLOOKUP($B84,'2022 Count Table'!A84:X267,22)</f>
        <v>231</v>
      </c>
      <c r="AE84" s="193">
        <f>VLOOKUP($B84,'2022 Count Table'!A84:X267,23)</f>
        <v>8.2681828950485661E-2</v>
      </c>
      <c r="AF84" s="194">
        <f>VLOOKUP($B84,'2022 Count Table'!A84:X267,24)</f>
        <v>0.66189111747851004</v>
      </c>
      <c r="AG84" s="195">
        <v>2</v>
      </c>
      <c r="AH84" s="196">
        <v>55</v>
      </c>
      <c r="AI84" s="188" t="s">
        <v>268</v>
      </c>
      <c r="AJ84" s="189" t="s">
        <v>268</v>
      </c>
      <c r="AK84" s="189" t="s">
        <v>268</v>
      </c>
      <c r="AL84" s="189" t="s">
        <v>268</v>
      </c>
      <c r="AM84" s="189" t="s">
        <v>268</v>
      </c>
      <c r="AN84" s="197" t="s">
        <v>268</v>
      </c>
      <c r="AO84" s="198">
        <f t="shared" si="7"/>
        <v>4531.5005531633142</v>
      </c>
      <c r="AP84" s="197">
        <f t="shared" si="8"/>
        <v>2859.299446836686</v>
      </c>
    </row>
    <row r="85" spans="1:42" s="226" customFormat="1" ht="18.95" customHeight="1">
      <c r="A85" s="125">
        <v>102</v>
      </c>
      <c r="B85" s="125">
        <f>VLOOKUP(C85,'station changes (20-21)'!$A$3:$D$298,4,)</f>
        <v>80</v>
      </c>
      <c r="C85" s="125">
        <v>102</v>
      </c>
      <c r="D85" s="126" t="s">
        <v>346</v>
      </c>
      <c r="E85" s="126" t="s">
        <v>347</v>
      </c>
      <c r="F85" s="17">
        <v>43852</v>
      </c>
      <c r="G85" s="127" t="s">
        <v>267</v>
      </c>
      <c r="H85" s="18">
        <v>3863</v>
      </c>
      <c r="I85" s="16">
        <v>3398</v>
      </c>
      <c r="J85" s="16">
        <v>3281</v>
      </c>
      <c r="K85" s="16">
        <v>3713</v>
      </c>
      <c r="L85" s="202">
        <v>3770</v>
      </c>
      <c r="M85" s="202">
        <v>3970</v>
      </c>
      <c r="N85" s="202">
        <v>3864</v>
      </c>
      <c r="O85" s="202">
        <v>3792</v>
      </c>
      <c r="P85" s="202">
        <v>3458</v>
      </c>
      <c r="Q85" s="202">
        <v>3490</v>
      </c>
      <c r="R85" s="202">
        <f>VLOOKUP(B85,'2022 Count Table'!A85:X268,11)</f>
        <v>4814</v>
      </c>
      <c r="S85" s="19">
        <f t="shared" si="5"/>
        <v>5002.2000000000116</v>
      </c>
      <c r="T85" s="20">
        <f t="shared" si="6"/>
        <v>7.4999999999999997E-3</v>
      </c>
      <c r="U85" s="21">
        <v>0.30208333333333298</v>
      </c>
      <c r="V85" s="16">
        <v>217</v>
      </c>
      <c r="W85" s="16">
        <v>79</v>
      </c>
      <c r="X85" s="16">
        <v>138</v>
      </c>
      <c r="Y85" s="22">
        <v>6.2753036437246959E-2</v>
      </c>
      <c r="Z85" s="23">
        <v>0.63594470046082952</v>
      </c>
      <c r="AA85" s="21">
        <f>VLOOKUP(B85,'2022 Count Table'!A85:X268,19)</f>
        <v>0.6875</v>
      </c>
      <c r="AB85" s="16">
        <f>VLOOKUP($B85,'2022 Count Table'!A85:X268,20)</f>
        <v>397</v>
      </c>
      <c r="AC85" s="16">
        <f>VLOOKUP($B85,'2022 Count Table'!A85:X268,21)</f>
        <v>158</v>
      </c>
      <c r="AD85" s="16">
        <f>VLOOKUP($B85,'2022 Count Table'!A85:X268,22)</f>
        <v>239</v>
      </c>
      <c r="AE85" s="22">
        <f>VLOOKUP($B85,'2022 Count Table'!A85:X268,23)</f>
        <v>8.2467802243456581E-2</v>
      </c>
      <c r="AF85" s="23">
        <f>VLOOKUP($B85,'2022 Count Table'!A85:X268,24)</f>
        <v>0.60201511335012592</v>
      </c>
      <c r="AG85" s="24">
        <v>2</v>
      </c>
      <c r="AH85" s="25">
        <v>45</v>
      </c>
      <c r="AI85" s="18" t="s">
        <v>268</v>
      </c>
      <c r="AJ85" s="16" t="s">
        <v>268</v>
      </c>
      <c r="AK85" s="16" t="s">
        <v>268</v>
      </c>
      <c r="AL85" s="16" t="s">
        <v>268</v>
      </c>
      <c r="AM85" s="16" t="s">
        <v>268</v>
      </c>
      <c r="AN85" s="128" t="s">
        <v>268</v>
      </c>
      <c r="AO85" s="131">
        <f t="shared" si="7"/>
        <v>4744.6552014824601</v>
      </c>
      <c r="AP85" s="128">
        <f t="shared" si="8"/>
        <v>3022.5447985175397</v>
      </c>
    </row>
    <row r="86" spans="1:42" s="205" customFormat="1" ht="18.95" customHeight="1">
      <c r="A86" s="184">
        <v>103</v>
      </c>
      <c r="B86" s="184">
        <f>VLOOKUP(C86,'station changes (20-21)'!$A$3:$D$298,4,)</f>
        <v>81</v>
      </c>
      <c r="C86" s="184">
        <v>103</v>
      </c>
      <c r="D86" s="185" t="s">
        <v>346</v>
      </c>
      <c r="E86" s="185" t="s">
        <v>348</v>
      </c>
      <c r="F86" s="186">
        <v>43879</v>
      </c>
      <c r="G86" s="187" t="s">
        <v>267</v>
      </c>
      <c r="H86" s="188">
        <v>5306</v>
      </c>
      <c r="I86" s="189">
        <v>4778</v>
      </c>
      <c r="J86" s="189">
        <v>5080</v>
      </c>
      <c r="K86" s="189">
        <v>5329</v>
      </c>
      <c r="L86" s="174">
        <v>5453</v>
      </c>
      <c r="M86" s="174">
        <v>5632</v>
      </c>
      <c r="N86" s="174">
        <v>5344</v>
      </c>
      <c r="O86" s="174">
        <v>5407</v>
      </c>
      <c r="P86" s="174">
        <v>5778</v>
      </c>
      <c r="Q86" s="174">
        <v>5617</v>
      </c>
      <c r="R86" s="174">
        <f>VLOOKUP(B86,'2022 Count Table'!A86:X269,11)</f>
        <v>6286</v>
      </c>
      <c r="S86" s="175">
        <f t="shared" si="5"/>
        <v>7152.2000000000116</v>
      </c>
      <c r="T86" s="176">
        <f t="shared" si="6"/>
        <v>2.5000000000000001E-2</v>
      </c>
      <c r="U86" s="192">
        <v>0.30208333333333298</v>
      </c>
      <c r="V86" s="189">
        <v>432</v>
      </c>
      <c r="W86" s="189">
        <v>265</v>
      </c>
      <c r="X86" s="189">
        <v>167</v>
      </c>
      <c r="Y86" s="193">
        <v>7.476635514018691E-2</v>
      </c>
      <c r="Z86" s="194">
        <v>0.61342592592592593</v>
      </c>
      <c r="AA86" s="192">
        <f>VLOOKUP(B86,'2022 Count Table'!A86:X269,19)</f>
        <v>0.67708333333333337</v>
      </c>
      <c r="AB86" s="189">
        <f>VLOOKUP($B86,'2022 Count Table'!A86:X269,20)</f>
        <v>551</v>
      </c>
      <c r="AC86" s="189">
        <f>VLOOKUP($B86,'2022 Count Table'!A86:X269,21)</f>
        <v>231</v>
      </c>
      <c r="AD86" s="189">
        <f>VLOOKUP($B86,'2022 Count Table'!A86:X269,22)</f>
        <v>320</v>
      </c>
      <c r="AE86" s="193">
        <f>VLOOKUP($B86,'2022 Count Table'!A86:X269,23)</f>
        <v>8.7655106586064263E-2</v>
      </c>
      <c r="AF86" s="194">
        <f>VLOOKUP($B86,'2022 Count Table'!A86:X269,24)</f>
        <v>0.58076225045372054</v>
      </c>
      <c r="AG86" s="195">
        <v>2</v>
      </c>
      <c r="AH86" s="196">
        <v>45</v>
      </c>
      <c r="AI86" s="188" t="s">
        <v>268</v>
      </c>
      <c r="AJ86" s="189" t="s">
        <v>268</v>
      </c>
      <c r="AK86" s="189" t="s">
        <v>268</v>
      </c>
      <c r="AL86" s="189" t="s">
        <v>268</v>
      </c>
      <c r="AM86" s="189" t="s">
        <v>268</v>
      </c>
      <c r="AN86" s="197" t="s">
        <v>268</v>
      </c>
      <c r="AO86" s="198">
        <f t="shared" si="7"/>
        <v>6276.2456450631807</v>
      </c>
      <c r="AP86" s="197">
        <f t="shared" si="8"/>
        <v>5096.5543549368185</v>
      </c>
    </row>
    <row r="87" spans="1:42" s="241" customFormat="1" ht="18.95" customHeight="1">
      <c r="A87" s="184">
        <v>108</v>
      </c>
      <c r="B87" s="184">
        <f>VLOOKUP(C87,'station changes (20-21)'!$A$3:$D$298,4,)</f>
        <v>82</v>
      </c>
      <c r="C87" s="184">
        <v>108</v>
      </c>
      <c r="D87" s="185" t="s">
        <v>346</v>
      </c>
      <c r="E87" s="185" t="s">
        <v>350</v>
      </c>
      <c r="F87" s="186">
        <v>43879</v>
      </c>
      <c r="G87" s="187" t="s">
        <v>267</v>
      </c>
      <c r="H87" s="188">
        <v>8740</v>
      </c>
      <c r="I87" s="189">
        <v>8457</v>
      </c>
      <c r="J87" s="189">
        <v>8956</v>
      </c>
      <c r="K87" s="189">
        <v>9111</v>
      </c>
      <c r="L87" s="174">
        <v>8596</v>
      </c>
      <c r="M87" s="174">
        <v>8657</v>
      </c>
      <c r="N87" s="174">
        <v>11082</v>
      </c>
      <c r="O87" s="174">
        <v>10439</v>
      </c>
      <c r="P87" s="174">
        <v>12396</v>
      </c>
      <c r="Q87" s="174">
        <v>12541</v>
      </c>
      <c r="R87" s="174">
        <f>VLOOKUP(B87,'2022 Count Table'!A87:X270,11)</f>
        <v>18941</v>
      </c>
      <c r="S87" s="175">
        <f t="shared" si="5"/>
        <v>25553.799999999814</v>
      </c>
      <c r="T87" s="176">
        <f t="shared" si="6"/>
        <v>6.25E-2</v>
      </c>
      <c r="U87" s="192">
        <v>0.48958333333333298</v>
      </c>
      <c r="V87" s="189">
        <v>895</v>
      </c>
      <c r="W87" s="189">
        <v>468</v>
      </c>
      <c r="X87" s="189">
        <v>427</v>
      </c>
      <c r="Y87" s="193">
        <v>7.2200709906421426E-2</v>
      </c>
      <c r="Z87" s="194">
        <v>0.5229050279329609</v>
      </c>
      <c r="AA87" s="192">
        <f>VLOOKUP(B87,'2022 Count Table'!A87:X270,19)</f>
        <v>0.5625</v>
      </c>
      <c r="AB87" s="189">
        <f>VLOOKUP($B87,'2022 Count Table'!A87:X270,20)</f>
        <v>1269</v>
      </c>
      <c r="AC87" s="189">
        <f>VLOOKUP($B87,'2022 Count Table'!A87:X270,21)</f>
        <v>641</v>
      </c>
      <c r="AD87" s="189">
        <f>VLOOKUP($B87,'2022 Count Table'!A87:X270,22)</f>
        <v>628</v>
      </c>
      <c r="AE87" s="193">
        <f>VLOOKUP($B87,'2022 Count Table'!A87:X270,23)</f>
        <v>6.699751861042183E-2</v>
      </c>
      <c r="AF87" s="194">
        <f>VLOOKUP($B87,'2022 Count Table'!A87:X270,24)</f>
        <v>0.50512214342001571</v>
      </c>
      <c r="AG87" s="195">
        <v>5</v>
      </c>
      <c r="AH87" s="196">
        <v>45</v>
      </c>
      <c r="AI87" s="188" t="s">
        <v>268</v>
      </c>
      <c r="AJ87" s="189" t="s">
        <v>268</v>
      </c>
      <c r="AK87" s="189" t="s">
        <v>268</v>
      </c>
      <c r="AL87" s="189" t="s">
        <v>268</v>
      </c>
      <c r="AM87" s="189" t="s">
        <v>268</v>
      </c>
      <c r="AN87" s="197" t="s">
        <v>268</v>
      </c>
      <c r="AO87" s="198">
        <f t="shared" si="7"/>
        <v>18392.229478590751</v>
      </c>
      <c r="AP87" s="197">
        <f t="shared" si="8"/>
        <v>7767.3705214092479</v>
      </c>
    </row>
    <row r="88" spans="1:42" s="205" customFormat="1" ht="18.95" customHeight="1">
      <c r="A88" s="125">
        <v>111</v>
      </c>
      <c r="B88" s="125">
        <f>VLOOKUP(C88,'station changes (20-21)'!$A$3:$D$298,4,)</f>
        <v>83</v>
      </c>
      <c r="C88" s="125">
        <v>111</v>
      </c>
      <c r="D88" s="126" t="s">
        <v>84</v>
      </c>
      <c r="E88" s="126" t="s">
        <v>351</v>
      </c>
      <c r="F88" s="17">
        <v>43852</v>
      </c>
      <c r="G88" s="127" t="s">
        <v>267</v>
      </c>
      <c r="H88" s="18">
        <v>651</v>
      </c>
      <c r="I88" s="16">
        <v>637</v>
      </c>
      <c r="J88" s="16">
        <v>602</v>
      </c>
      <c r="K88" s="16">
        <v>599</v>
      </c>
      <c r="L88" s="202">
        <v>602</v>
      </c>
      <c r="M88" s="202">
        <v>632</v>
      </c>
      <c r="N88" s="202">
        <v>581</v>
      </c>
      <c r="O88" s="202">
        <v>690</v>
      </c>
      <c r="P88" s="202">
        <v>639</v>
      </c>
      <c r="Q88" s="202">
        <v>658</v>
      </c>
      <c r="R88" s="202">
        <f>VLOOKUP(B88,'2022 Count Table'!A88:X271,11)</f>
        <v>836</v>
      </c>
      <c r="S88" s="19">
        <f t="shared" si="5"/>
        <v>1015.3999999999942</v>
      </c>
      <c r="T88" s="20">
        <f t="shared" si="6"/>
        <v>0.04</v>
      </c>
      <c r="U88" s="21">
        <v>0.28125</v>
      </c>
      <c r="V88" s="16">
        <v>47</v>
      </c>
      <c r="W88" s="16">
        <v>26</v>
      </c>
      <c r="X88" s="16">
        <v>21</v>
      </c>
      <c r="Y88" s="22">
        <v>7.3552425665101728E-2</v>
      </c>
      <c r="Z88" s="23">
        <v>0.55319148936170215</v>
      </c>
      <c r="AA88" s="21">
        <f>VLOOKUP(B88,'2022 Count Table'!A88:X271,19)</f>
        <v>0.67708333333333337</v>
      </c>
      <c r="AB88" s="16">
        <f>VLOOKUP($B88,'2022 Count Table'!A88:X271,20)</f>
        <v>79</v>
      </c>
      <c r="AC88" s="16">
        <f>VLOOKUP($B88,'2022 Count Table'!A88:X271,21)</f>
        <v>36</v>
      </c>
      <c r="AD88" s="16">
        <f>VLOOKUP($B88,'2022 Count Table'!A88:X271,22)</f>
        <v>43</v>
      </c>
      <c r="AE88" s="22">
        <f>VLOOKUP($B88,'2022 Count Table'!A88:X271,23)</f>
        <v>9.4497607655502386E-2</v>
      </c>
      <c r="AF88" s="23">
        <f>VLOOKUP($B88,'2022 Count Table'!A88:X271,24)</f>
        <v>0.54430379746835444</v>
      </c>
      <c r="AG88" s="24">
        <v>2</v>
      </c>
      <c r="AH88" s="25">
        <v>55</v>
      </c>
      <c r="AI88" s="18" t="s">
        <v>268</v>
      </c>
      <c r="AJ88" s="16" t="s">
        <v>268</v>
      </c>
      <c r="AK88" s="16" t="s">
        <v>268</v>
      </c>
      <c r="AL88" s="16" t="s">
        <v>268</v>
      </c>
      <c r="AM88" s="16" t="s">
        <v>268</v>
      </c>
      <c r="AN88" s="128" t="s">
        <v>268</v>
      </c>
      <c r="AO88" s="131">
        <f t="shared" si="7"/>
        <v>830.11264179566308</v>
      </c>
      <c r="AP88" s="128">
        <f t="shared" si="8"/>
        <v>531.48735820433683</v>
      </c>
    </row>
    <row r="89" spans="1:42" s="162" customFormat="1" ht="18.95" customHeight="1">
      <c r="A89" s="184">
        <v>112</v>
      </c>
      <c r="B89" s="184">
        <f>VLOOKUP(C89,'station changes (20-21)'!$A$3:$D$298,4,)</f>
        <v>84</v>
      </c>
      <c r="C89" s="184">
        <v>112</v>
      </c>
      <c r="D89" s="185" t="s">
        <v>84</v>
      </c>
      <c r="E89" s="185" t="s">
        <v>352</v>
      </c>
      <c r="F89" s="186" t="s">
        <v>243</v>
      </c>
      <c r="G89" s="187" t="s">
        <v>267</v>
      </c>
      <c r="H89" s="188">
        <v>848</v>
      </c>
      <c r="I89" s="189">
        <v>808</v>
      </c>
      <c r="J89" s="189">
        <v>801</v>
      </c>
      <c r="K89" s="189">
        <v>917</v>
      </c>
      <c r="L89" s="309">
        <f>L301</f>
        <v>18500</v>
      </c>
      <c r="M89" s="309">
        <f>M301</f>
        <v>18700</v>
      </c>
      <c r="N89" s="309">
        <f>N301</f>
        <v>18700</v>
      </c>
      <c r="O89" s="309">
        <f>O301</f>
        <v>17200</v>
      </c>
      <c r="P89" s="309">
        <f>P301</f>
        <v>15646.799999999814</v>
      </c>
      <c r="Q89" s="309">
        <v>934</v>
      </c>
      <c r="R89" s="309">
        <f>VLOOKUP(B89,'2022 Count Table'!A89:X272,11)</f>
        <v>1053</v>
      </c>
      <c r="S89" s="175">
        <f t="shared" si="5"/>
        <v>-25385.240000000224</v>
      </c>
      <c r="T89" s="176">
        <f t="shared" si="6"/>
        <v>0</v>
      </c>
      <c r="U89" s="192" t="s">
        <v>243</v>
      </c>
      <c r="V89" s="189" t="s">
        <v>243</v>
      </c>
      <c r="W89" s="189" t="s">
        <v>243</v>
      </c>
      <c r="X89" s="189" t="s">
        <v>243</v>
      </c>
      <c r="Y89" s="193" t="s">
        <v>243</v>
      </c>
      <c r="Z89" s="194" t="s">
        <v>243</v>
      </c>
      <c r="AA89" s="192">
        <f>VLOOKUP(B89,'2022 Count Table'!A89:X272,19)</f>
        <v>0.52083333333333337</v>
      </c>
      <c r="AB89" s="189">
        <f>VLOOKUP($B89,'2022 Count Table'!A89:X272,20)</f>
        <v>103</v>
      </c>
      <c r="AC89" s="189">
        <f>VLOOKUP($B89,'2022 Count Table'!A89:X272,21)</f>
        <v>42</v>
      </c>
      <c r="AD89" s="189">
        <f>VLOOKUP($B89,'2022 Count Table'!A89:X272,22)</f>
        <v>61</v>
      </c>
      <c r="AE89" s="193">
        <f>VLOOKUP($B89,'2022 Count Table'!A89:X272,23)</f>
        <v>9.781576448243115E-2</v>
      </c>
      <c r="AF89" s="194">
        <f>VLOOKUP($B89,'2022 Count Table'!A89:X272,24)</f>
        <v>0.59223300970873782</v>
      </c>
      <c r="AG89" s="195">
        <v>2</v>
      </c>
      <c r="AH89" s="196">
        <v>55</v>
      </c>
      <c r="AI89" s="188" t="s">
        <v>268</v>
      </c>
      <c r="AJ89" s="189" t="s">
        <v>268</v>
      </c>
      <c r="AK89" s="189" t="s">
        <v>268</v>
      </c>
      <c r="AL89" s="189" t="s">
        <v>268</v>
      </c>
      <c r="AM89" s="189" t="s">
        <v>268</v>
      </c>
      <c r="AN89" s="197" t="s">
        <v>268</v>
      </c>
      <c r="AO89" s="198">
        <f t="shared" si="7"/>
        <v>24688.372197296769</v>
      </c>
      <c r="AP89" s="197">
        <f t="shared" si="8"/>
        <v>-3274.8521972968465</v>
      </c>
    </row>
    <row r="90" spans="1:42" s="205" customFormat="1" ht="18.95" customHeight="1">
      <c r="A90" s="125">
        <v>204</v>
      </c>
      <c r="B90" s="125">
        <f>VLOOKUP(C90,'station changes (20-21)'!$A$3:$D$298,4,)</f>
        <v>85</v>
      </c>
      <c r="C90" s="125">
        <v>204</v>
      </c>
      <c r="D90" s="126" t="s">
        <v>384</v>
      </c>
      <c r="E90" s="126" t="s">
        <v>387</v>
      </c>
      <c r="F90" s="17">
        <v>43844</v>
      </c>
      <c r="G90" s="127" t="s">
        <v>267</v>
      </c>
      <c r="H90" s="18">
        <v>5375</v>
      </c>
      <c r="I90" s="16">
        <v>6614</v>
      </c>
      <c r="J90" s="16">
        <v>5519</v>
      </c>
      <c r="K90" s="16">
        <v>5429</v>
      </c>
      <c r="L90" s="202">
        <v>6666</v>
      </c>
      <c r="M90" s="202">
        <v>8103</v>
      </c>
      <c r="N90" s="202">
        <v>6839</v>
      </c>
      <c r="O90" s="202">
        <v>5629</v>
      </c>
      <c r="P90" s="202">
        <v>7158</v>
      </c>
      <c r="Q90" s="202">
        <v>7002</v>
      </c>
      <c r="R90" s="202">
        <f>VLOOKUP(B90,'2022 Count Table'!A90:X273,11)</f>
        <v>6251</v>
      </c>
      <c r="S90" s="19">
        <f t="shared" si="5"/>
        <v>6713.7000000000044</v>
      </c>
      <c r="T90" s="20">
        <f t="shared" si="6"/>
        <v>1.4999999999999999E-2</v>
      </c>
      <c r="U90" s="21">
        <v>0.47916666666666702</v>
      </c>
      <c r="V90" s="16">
        <v>703</v>
      </c>
      <c r="W90" s="16">
        <v>338</v>
      </c>
      <c r="X90" s="16">
        <v>365</v>
      </c>
      <c r="Y90" s="22">
        <v>9.8211791003073479E-2</v>
      </c>
      <c r="Z90" s="23">
        <v>0.51920341394025604</v>
      </c>
      <c r="AA90" s="21">
        <f>VLOOKUP(B90,'2022 Count Table'!A90:X273,19)</f>
        <v>0.55208333333333337</v>
      </c>
      <c r="AB90" s="16">
        <f>VLOOKUP($B90,'2022 Count Table'!A90:X273,20)</f>
        <v>619</v>
      </c>
      <c r="AC90" s="16">
        <f>VLOOKUP($B90,'2022 Count Table'!A90:X273,21)</f>
        <v>287</v>
      </c>
      <c r="AD90" s="16">
        <f>VLOOKUP($B90,'2022 Count Table'!A90:X273,22)</f>
        <v>332</v>
      </c>
      <c r="AE90" s="22">
        <f>VLOOKUP($B90,'2022 Count Table'!A90:X273,23)</f>
        <v>9.9024156135018401E-2</v>
      </c>
      <c r="AF90" s="23">
        <f>VLOOKUP($B90,'2022 Count Table'!A90:X273,24)</f>
        <v>0.53634894991922455</v>
      </c>
      <c r="AG90" s="24">
        <v>2</v>
      </c>
      <c r="AH90" s="25">
        <v>30</v>
      </c>
      <c r="AI90" s="18">
        <v>2099</v>
      </c>
      <c r="AJ90" s="16" t="s">
        <v>268</v>
      </c>
      <c r="AK90" s="16" t="s">
        <v>268</v>
      </c>
      <c r="AL90" s="16" t="s">
        <v>268</v>
      </c>
      <c r="AM90" s="16" t="s">
        <v>268</v>
      </c>
      <c r="AN90" s="128" t="s">
        <v>268</v>
      </c>
      <c r="AO90" s="131">
        <f t="shared" si="7"/>
        <v>7563.2103579566101</v>
      </c>
      <c r="AP90" s="128">
        <f t="shared" si="8"/>
        <v>5588.3896420433903</v>
      </c>
    </row>
    <row r="91" spans="1:42" s="162" customFormat="1" ht="18.95" customHeight="1">
      <c r="A91" s="184">
        <v>213</v>
      </c>
      <c r="B91" s="184">
        <f>VLOOKUP(C91,'station changes (20-21)'!$A$3:$D$298,4,)</f>
        <v>86</v>
      </c>
      <c r="C91" s="184">
        <v>213</v>
      </c>
      <c r="D91" s="185" t="s">
        <v>384</v>
      </c>
      <c r="E91" s="185" t="s">
        <v>388</v>
      </c>
      <c r="F91" s="186">
        <v>43879</v>
      </c>
      <c r="G91" s="187" t="s">
        <v>267</v>
      </c>
      <c r="H91" s="188">
        <v>3439</v>
      </c>
      <c r="I91" s="189">
        <v>4455</v>
      </c>
      <c r="J91" s="189">
        <v>3501</v>
      </c>
      <c r="K91" s="189">
        <v>3629</v>
      </c>
      <c r="L91" s="174">
        <v>3391</v>
      </c>
      <c r="M91" s="174">
        <v>5298</v>
      </c>
      <c r="N91" s="174">
        <v>4767</v>
      </c>
      <c r="O91" s="174">
        <v>5199</v>
      </c>
      <c r="P91" s="174">
        <v>5049</v>
      </c>
      <c r="Q91" s="174">
        <v>4955</v>
      </c>
      <c r="R91" s="174">
        <f>VLOOKUP(B91,'2022 Count Table'!A91:X274,11)</f>
        <v>4881</v>
      </c>
      <c r="S91" s="175">
        <f t="shared" si="5"/>
        <v>4959</v>
      </c>
      <c r="T91" s="176">
        <f t="shared" si="6"/>
        <v>2.5000000000000001E-3</v>
      </c>
      <c r="U91" s="192">
        <v>0.35416666666666702</v>
      </c>
      <c r="V91" s="189">
        <v>481</v>
      </c>
      <c r="W91" s="189">
        <v>208</v>
      </c>
      <c r="X91" s="189">
        <v>273</v>
      </c>
      <c r="Y91" s="193">
        <v>9.5266389384036448E-2</v>
      </c>
      <c r="Z91" s="194">
        <v>0.56756756756756754</v>
      </c>
      <c r="AA91" s="192">
        <f>VLOOKUP(B91,'2022 Count Table'!A91:X274,19)</f>
        <v>0.53125</v>
      </c>
      <c r="AB91" s="189">
        <f>VLOOKUP($B91,'2022 Count Table'!A91:X274,20)</f>
        <v>468</v>
      </c>
      <c r="AC91" s="189">
        <f>VLOOKUP($B91,'2022 Count Table'!A91:X274,21)</f>
        <v>235</v>
      </c>
      <c r="AD91" s="189">
        <f>VLOOKUP($B91,'2022 Count Table'!A91:X274,22)</f>
        <v>233</v>
      </c>
      <c r="AE91" s="193">
        <f>VLOOKUP($B91,'2022 Count Table'!A91:X274,23)</f>
        <v>9.5881991395205896E-2</v>
      </c>
      <c r="AF91" s="194">
        <f>VLOOKUP($B91,'2022 Count Table'!A91:X274,24)</f>
        <v>0.50213675213675213</v>
      </c>
      <c r="AG91" s="195">
        <v>2</v>
      </c>
      <c r="AH91" s="196">
        <v>20</v>
      </c>
      <c r="AI91" s="188">
        <v>1987</v>
      </c>
      <c r="AJ91" s="189" t="s">
        <v>268</v>
      </c>
      <c r="AK91" s="189" t="s">
        <v>268</v>
      </c>
      <c r="AL91" s="189" t="s">
        <v>268</v>
      </c>
      <c r="AM91" s="189" t="s">
        <v>268</v>
      </c>
      <c r="AN91" s="197" t="s">
        <v>268</v>
      </c>
      <c r="AO91" s="198">
        <f t="shared" si="7"/>
        <v>5227.4402379100129</v>
      </c>
      <c r="AP91" s="197">
        <f t="shared" si="8"/>
        <v>4712.9597620899867</v>
      </c>
    </row>
    <row r="92" spans="1:42" s="205" customFormat="1" ht="18.95" customHeight="1">
      <c r="A92" s="125">
        <v>216</v>
      </c>
      <c r="B92" s="125">
        <f>VLOOKUP(C92,'station changes (20-21)'!$A$3:$D$298,4,)</f>
        <v>87</v>
      </c>
      <c r="C92" s="125">
        <v>216</v>
      </c>
      <c r="D92" s="126" t="s">
        <v>384</v>
      </c>
      <c r="E92" s="126" t="s">
        <v>380</v>
      </c>
      <c r="F92" s="17">
        <v>43859</v>
      </c>
      <c r="G92" s="127" t="s">
        <v>267</v>
      </c>
      <c r="H92" s="18">
        <v>2318</v>
      </c>
      <c r="I92" s="16">
        <v>2766</v>
      </c>
      <c r="J92" s="16">
        <v>2764</v>
      </c>
      <c r="K92" s="16">
        <v>2778</v>
      </c>
      <c r="L92" s="202">
        <v>3246</v>
      </c>
      <c r="M92" s="202">
        <v>4211</v>
      </c>
      <c r="N92" s="202">
        <v>3684</v>
      </c>
      <c r="O92" s="202">
        <v>3571</v>
      </c>
      <c r="P92" s="202">
        <v>3582</v>
      </c>
      <c r="Q92" s="202">
        <v>3590</v>
      </c>
      <c r="R92" s="202">
        <f>VLOOKUP(B92,'2022 Count Table'!A92:X275,11)</f>
        <v>4010</v>
      </c>
      <c r="S92" s="19">
        <f t="shared" si="5"/>
        <v>4157.0999999999767</v>
      </c>
      <c r="T92" s="20">
        <f t="shared" si="6"/>
        <v>7.4999999999999997E-3</v>
      </c>
      <c r="U92" s="21">
        <v>0.46875</v>
      </c>
      <c r="V92" s="16">
        <v>385</v>
      </c>
      <c r="W92" s="16">
        <v>189</v>
      </c>
      <c r="X92" s="16">
        <v>196</v>
      </c>
      <c r="Y92" s="22">
        <v>0.10748185371300949</v>
      </c>
      <c r="Z92" s="23">
        <v>0.50909090909090904</v>
      </c>
      <c r="AA92" s="21">
        <f>VLOOKUP(B92,'2022 Count Table'!A92:X275,19)</f>
        <v>0.5</v>
      </c>
      <c r="AB92" s="16">
        <f>VLOOKUP($B92,'2022 Count Table'!A92:X275,20)</f>
        <v>416</v>
      </c>
      <c r="AC92" s="16">
        <f>VLOOKUP($B92,'2022 Count Table'!A92:X275,21)</f>
        <v>214</v>
      </c>
      <c r="AD92" s="16">
        <f>VLOOKUP($B92,'2022 Count Table'!A92:X275,22)</f>
        <v>202</v>
      </c>
      <c r="AE92" s="22">
        <f>VLOOKUP($B92,'2022 Count Table'!A92:X275,23)</f>
        <v>0.10374064837905236</v>
      </c>
      <c r="AF92" s="23">
        <f>VLOOKUP($B92,'2022 Count Table'!A92:X275,24)</f>
        <v>0.51442307692307687</v>
      </c>
      <c r="AG92" s="24">
        <v>2</v>
      </c>
      <c r="AH92" s="25">
        <v>25</v>
      </c>
      <c r="AI92" s="18">
        <v>1004</v>
      </c>
      <c r="AJ92" s="16" t="s">
        <v>268</v>
      </c>
      <c r="AK92" s="16" t="s">
        <v>268</v>
      </c>
      <c r="AL92" s="16" t="s">
        <v>268</v>
      </c>
      <c r="AM92" s="16" t="s">
        <v>268</v>
      </c>
      <c r="AN92" s="128" t="s">
        <v>268</v>
      </c>
      <c r="AO92" s="131">
        <f t="shared" si="7"/>
        <v>3978.3710638534358</v>
      </c>
      <c r="AP92" s="128">
        <f t="shared" si="8"/>
        <v>3396.4289361465644</v>
      </c>
    </row>
    <row r="93" spans="1:42" s="162" customFormat="1" ht="18.95" customHeight="1">
      <c r="A93" s="125">
        <v>487</v>
      </c>
      <c r="B93" s="125">
        <f>VLOOKUP(C93,'station changes (20-21)'!$A$3:$D$298,4,)</f>
        <v>88</v>
      </c>
      <c r="C93" s="125">
        <v>487</v>
      </c>
      <c r="D93" s="126" t="s">
        <v>517</v>
      </c>
      <c r="E93" s="126" t="s">
        <v>516</v>
      </c>
      <c r="F93" s="17">
        <v>43873</v>
      </c>
      <c r="G93" s="127" t="s">
        <v>267</v>
      </c>
      <c r="H93" s="18" t="s">
        <v>243</v>
      </c>
      <c r="I93" s="16">
        <v>592</v>
      </c>
      <c r="J93" s="16">
        <v>975</v>
      </c>
      <c r="K93" s="16">
        <v>2035</v>
      </c>
      <c r="L93" s="202">
        <v>2590</v>
      </c>
      <c r="M93" s="202">
        <v>2915</v>
      </c>
      <c r="N93" s="202">
        <v>3056</v>
      </c>
      <c r="O93" s="202">
        <v>3218</v>
      </c>
      <c r="P93" s="202">
        <v>3710</v>
      </c>
      <c r="Q93" s="202">
        <v>3624</v>
      </c>
      <c r="R93" s="202">
        <f>VLOOKUP(B93,'2022 Count Table'!A93:X276,11)</f>
        <v>3349</v>
      </c>
      <c r="S93" s="19">
        <f t="shared" si="5"/>
        <v>4085.7999999999884</v>
      </c>
      <c r="T93" s="20">
        <f t="shared" si="6"/>
        <v>0.04</v>
      </c>
      <c r="U93" s="21">
        <v>0.47916666666666702</v>
      </c>
      <c r="V93" s="16">
        <v>329</v>
      </c>
      <c r="W93" s="16">
        <v>155</v>
      </c>
      <c r="X93" s="16">
        <v>174</v>
      </c>
      <c r="Y93" s="22">
        <v>8.8679245283018862E-2</v>
      </c>
      <c r="Z93" s="23">
        <v>0.52887537993920974</v>
      </c>
      <c r="AA93" s="21">
        <f>VLOOKUP(B93,'2022 Count Table'!A93:X276,19)</f>
        <v>0.5</v>
      </c>
      <c r="AB93" s="16">
        <f>VLOOKUP($B93,'2022 Count Table'!A93:X276,20)</f>
        <v>334</v>
      </c>
      <c r="AC93" s="16">
        <f>VLOOKUP($B93,'2022 Count Table'!A93:X276,21)</f>
        <v>153</v>
      </c>
      <c r="AD93" s="16">
        <f>VLOOKUP($B93,'2022 Count Table'!A93:X276,22)</f>
        <v>181</v>
      </c>
      <c r="AE93" s="22">
        <f>VLOOKUP($B93,'2022 Count Table'!A93:X276,23)</f>
        <v>9.9731263063601069E-2</v>
      </c>
      <c r="AF93" s="23">
        <f>VLOOKUP($B93,'2022 Count Table'!A93:X276,24)</f>
        <v>0.54191616766467066</v>
      </c>
      <c r="AG93" s="24">
        <v>2</v>
      </c>
      <c r="AH93" s="25">
        <v>30</v>
      </c>
      <c r="AI93" s="18" t="s">
        <v>268</v>
      </c>
      <c r="AJ93" s="16" t="s">
        <v>268</v>
      </c>
      <c r="AK93" s="16" t="s">
        <v>268</v>
      </c>
      <c r="AL93" s="16" t="s">
        <v>268</v>
      </c>
      <c r="AM93" s="16" t="s">
        <v>268</v>
      </c>
      <c r="AN93" s="128" t="s">
        <v>268</v>
      </c>
      <c r="AO93" s="131">
        <f t="shared" si="7"/>
        <v>3820.0372708946343</v>
      </c>
      <c r="AP93" s="128">
        <f t="shared" si="8"/>
        <v>2962.7627291053659</v>
      </c>
    </row>
    <row r="94" spans="1:42" s="205" customFormat="1" ht="18.95" customHeight="1">
      <c r="A94" s="125">
        <v>275</v>
      </c>
      <c r="B94" s="125">
        <f>VLOOKUP(C94,'station changes (20-21)'!$A$3:$D$298,4,)</f>
        <v>89</v>
      </c>
      <c r="C94" s="125">
        <v>275</v>
      </c>
      <c r="D94" s="126" t="s">
        <v>409</v>
      </c>
      <c r="E94" s="126" t="s">
        <v>410</v>
      </c>
      <c r="F94" s="17">
        <v>43865</v>
      </c>
      <c r="G94" s="127" t="s">
        <v>267</v>
      </c>
      <c r="H94" s="18">
        <v>1298</v>
      </c>
      <c r="I94" s="16">
        <v>5748</v>
      </c>
      <c r="J94" s="16">
        <v>1255</v>
      </c>
      <c r="K94" s="16">
        <v>1461</v>
      </c>
      <c r="L94" s="202">
        <v>1409</v>
      </c>
      <c r="M94" s="202">
        <v>1575</v>
      </c>
      <c r="N94" s="202">
        <v>1874</v>
      </c>
      <c r="O94" s="202">
        <v>2080</v>
      </c>
      <c r="P94" s="202">
        <v>2478</v>
      </c>
      <c r="Q94" s="202">
        <v>2445</v>
      </c>
      <c r="R94" s="202">
        <f>VLOOKUP(B94,'2022 Count Table'!A94:X277,11)</f>
        <v>3362</v>
      </c>
      <c r="S94" s="19">
        <f t="shared" si="5"/>
        <v>4786.5000000001164</v>
      </c>
      <c r="T94" s="20">
        <f t="shared" si="6"/>
        <v>7.2499999999999995E-2</v>
      </c>
      <c r="U94" s="21">
        <v>0.47916666666666702</v>
      </c>
      <c r="V94" s="16">
        <v>210</v>
      </c>
      <c r="W94" s="16">
        <v>114</v>
      </c>
      <c r="X94" s="16">
        <v>96</v>
      </c>
      <c r="Y94" s="22">
        <v>8.4745762711864403E-2</v>
      </c>
      <c r="Z94" s="23">
        <v>0.54285714285714282</v>
      </c>
      <c r="AA94" s="21">
        <f>VLOOKUP(B94,'2022 Count Table'!A94:X277,19)</f>
        <v>0.63541666666666663</v>
      </c>
      <c r="AB94" s="16">
        <f>VLOOKUP($B94,'2022 Count Table'!A94:X277,20)</f>
        <v>299</v>
      </c>
      <c r="AC94" s="16">
        <f>VLOOKUP($B94,'2022 Count Table'!A94:X277,21)</f>
        <v>137</v>
      </c>
      <c r="AD94" s="16">
        <f>VLOOKUP($B94,'2022 Count Table'!A94:X277,22)</f>
        <v>162</v>
      </c>
      <c r="AE94" s="22">
        <f>VLOOKUP($B94,'2022 Count Table'!A94:X277,23)</f>
        <v>8.8935157644259369E-2</v>
      </c>
      <c r="AF94" s="23">
        <f>VLOOKUP($B94,'2022 Count Table'!A94:X277,24)</f>
        <v>0.5418060200668896</v>
      </c>
      <c r="AG94" s="24">
        <v>2</v>
      </c>
      <c r="AH94" s="25">
        <v>35</v>
      </c>
      <c r="AI94" s="18" t="s">
        <v>268</v>
      </c>
      <c r="AJ94" s="16" t="s">
        <v>268</v>
      </c>
      <c r="AK94" s="16" t="s">
        <v>268</v>
      </c>
      <c r="AL94" s="16" t="s">
        <v>268</v>
      </c>
      <c r="AM94" s="16" t="s">
        <v>268</v>
      </c>
      <c r="AN94" s="128" t="s">
        <v>268</v>
      </c>
      <c r="AO94" s="131">
        <f t="shared" si="7"/>
        <v>3340.5418103796865</v>
      </c>
      <c r="AP94" s="128">
        <f t="shared" si="8"/>
        <v>1555.0581896203139</v>
      </c>
    </row>
    <row r="95" spans="1:42" s="162" customFormat="1" ht="18.95" customHeight="1">
      <c r="A95" s="125">
        <v>273</v>
      </c>
      <c r="B95" s="125">
        <f>VLOOKUP(C95,'station changes (20-21)'!$A$3:$D$298,4,)</f>
        <v>90</v>
      </c>
      <c r="C95" s="125">
        <v>273</v>
      </c>
      <c r="D95" s="126" t="s">
        <v>54</v>
      </c>
      <c r="E95" s="126" t="s">
        <v>407</v>
      </c>
      <c r="F95" s="17">
        <v>43844</v>
      </c>
      <c r="G95" s="127" t="s">
        <v>267</v>
      </c>
      <c r="H95" s="18">
        <v>6542</v>
      </c>
      <c r="I95" s="16">
        <v>7091.5280000000002</v>
      </c>
      <c r="J95" s="16">
        <v>6789</v>
      </c>
      <c r="K95" s="16">
        <v>7366</v>
      </c>
      <c r="L95" s="202">
        <v>7440</v>
      </c>
      <c r="M95" s="202">
        <v>7814</v>
      </c>
      <c r="N95" s="202">
        <v>7448</v>
      </c>
      <c r="O95" s="202">
        <v>7772</v>
      </c>
      <c r="P95" s="202">
        <v>8107</v>
      </c>
      <c r="Q95" s="202">
        <v>7944</v>
      </c>
      <c r="R95" s="202">
        <f>VLOOKUP(B95,'2022 Count Table'!A95:X278,11)</f>
        <v>7098</v>
      </c>
      <c r="S95" s="19">
        <f t="shared" si="5"/>
        <v>7304.2000000000116</v>
      </c>
      <c r="T95" s="20">
        <f t="shared" si="6"/>
        <v>5.0000000000000001E-3</v>
      </c>
      <c r="U95" s="21">
        <v>0.34375</v>
      </c>
      <c r="V95" s="16">
        <v>683</v>
      </c>
      <c r="W95" s="16">
        <v>512</v>
      </c>
      <c r="X95" s="16">
        <v>171</v>
      </c>
      <c r="Y95" s="22">
        <v>8.4248180584679908E-2</v>
      </c>
      <c r="Z95" s="23">
        <v>0.74963396778916547</v>
      </c>
      <c r="AA95" s="21">
        <f>VLOOKUP(B95,'2022 Count Table'!A95:X278,19)</f>
        <v>0.60416666666666663</v>
      </c>
      <c r="AB95" s="16">
        <f>VLOOKUP($B95,'2022 Count Table'!A95:X278,20)</f>
        <v>693</v>
      </c>
      <c r="AC95" s="16">
        <f>VLOOKUP($B95,'2022 Count Table'!A95:X278,21)</f>
        <v>376</v>
      </c>
      <c r="AD95" s="16">
        <f>VLOOKUP($B95,'2022 Count Table'!A95:X278,22)</f>
        <v>317</v>
      </c>
      <c r="AE95" s="22">
        <f>VLOOKUP($B95,'2022 Count Table'!A95:X278,23)</f>
        <v>9.7633136094674555E-2</v>
      </c>
      <c r="AF95" s="23">
        <f>VLOOKUP($B95,'2022 Count Table'!A95:X278,24)</f>
        <v>0.54256854256854259</v>
      </c>
      <c r="AG95" s="24">
        <v>2</v>
      </c>
      <c r="AH95" s="25">
        <v>35</v>
      </c>
      <c r="AI95" s="18" t="s">
        <v>268</v>
      </c>
      <c r="AJ95" s="16" t="s">
        <v>268</v>
      </c>
      <c r="AK95" s="16" t="s">
        <v>268</v>
      </c>
      <c r="AL95" s="16" t="s">
        <v>268</v>
      </c>
      <c r="AM95" s="16" t="s">
        <v>268</v>
      </c>
      <c r="AN95" s="128" t="s">
        <v>268</v>
      </c>
      <c r="AO95" s="131">
        <f t="shared" si="7"/>
        <v>8306.1507254680746</v>
      </c>
      <c r="AP95" s="128">
        <f t="shared" si="8"/>
        <v>7041.4492745319258</v>
      </c>
    </row>
    <row r="96" spans="1:42" s="205" customFormat="1" ht="18.95" customHeight="1">
      <c r="A96" s="184">
        <v>274</v>
      </c>
      <c r="B96" s="184">
        <f>VLOOKUP(C96,'station changes (20-21)'!$A$3:$D$298,4,)</f>
        <v>91</v>
      </c>
      <c r="C96" s="184">
        <v>274</v>
      </c>
      <c r="D96" s="185" t="s">
        <v>54</v>
      </c>
      <c r="E96" s="185" t="s">
        <v>408</v>
      </c>
      <c r="F96" s="186">
        <v>43844</v>
      </c>
      <c r="G96" s="187" t="s">
        <v>267</v>
      </c>
      <c r="H96" s="188">
        <v>2789</v>
      </c>
      <c r="I96" s="189">
        <v>3095</v>
      </c>
      <c r="J96" s="189">
        <v>3687</v>
      </c>
      <c r="K96" s="189">
        <v>3990</v>
      </c>
      <c r="L96" s="174">
        <v>3353</v>
      </c>
      <c r="M96" s="174">
        <v>4282</v>
      </c>
      <c r="N96" s="174">
        <v>3861</v>
      </c>
      <c r="O96" s="174">
        <v>4198</v>
      </c>
      <c r="P96" s="174">
        <v>4656</v>
      </c>
      <c r="Q96" s="174">
        <v>4555</v>
      </c>
      <c r="R96" s="174">
        <f>VLOOKUP(B96,'2022 Count Table'!A96:X279,11)</f>
        <v>4597</v>
      </c>
      <c r="S96" s="175">
        <f t="shared" si="5"/>
        <v>5653.7000000000116</v>
      </c>
      <c r="T96" s="176">
        <f t="shared" si="6"/>
        <v>4.2500000000000003E-2</v>
      </c>
      <c r="U96" s="192">
        <v>0.33333333333333298</v>
      </c>
      <c r="V96" s="189">
        <v>623</v>
      </c>
      <c r="W96" s="189">
        <v>158</v>
      </c>
      <c r="X96" s="189">
        <v>465</v>
      </c>
      <c r="Y96" s="193">
        <v>0.13380584192439862</v>
      </c>
      <c r="Z96" s="194">
        <v>0.7463884430176565</v>
      </c>
      <c r="AA96" s="192">
        <f>VLOOKUP(B96,'2022 Count Table'!A96:X279,19)</f>
        <v>0.69791666666666663</v>
      </c>
      <c r="AB96" s="189">
        <f>VLOOKUP($B96,'2022 Count Table'!A96:X279,20)</f>
        <v>462</v>
      </c>
      <c r="AC96" s="189">
        <f>VLOOKUP($B96,'2022 Count Table'!A96:X279,21)</f>
        <v>316</v>
      </c>
      <c r="AD96" s="189">
        <f>VLOOKUP($B96,'2022 Count Table'!A96:X279,22)</f>
        <v>146</v>
      </c>
      <c r="AE96" s="193">
        <f>VLOOKUP($B96,'2022 Count Table'!A96:X279,23)</f>
        <v>0.10050032629976072</v>
      </c>
      <c r="AF96" s="194">
        <f>VLOOKUP($B96,'2022 Count Table'!A96:X279,24)</f>
        <v>0.68398268398268403</v>
      </c>
      <c r="AG96" s="195">
        <v>2</v>
      </c>
      <c r="AH96" s="196">
        <v>35</v>
      </c>
      <c r="AI96" s="188" t="s">
        <v>268</v>
      </c>
      <c r="AJ96" s="189" t="s">
        <v>268</v>
      </c>
      <c r="AK96" s="189" t="s">
        <v>268</v>
      </c>
      <c r="AL96" s="189" t="s">
        <v>268</v>
      </c>
      <c r="AM96" s="189" t="s">
        <v>268</v>
      </c>
      <c r="AN96" s="197" t="s">
        <v>268</v>
      </c>
      <c r="AO96" s="198">
        <f t="shared" si="7"/>
        <v>4901.979497332236</v>
      </c>
      <c r="AP96" s="197">
        <f t="shared" si="8"/>
        <v>3844.8205026677629</v>
      </c>
    </row>
    <row r="97" spans="1:42" s="162" customFormat="1" ht="18.95" customHeight="1">
      <c r="A97" s="184">
        <v>466</v>
      </c>
      <c r="B97" s="184">
        <f>VLOOKUP(C97,'station changes (20-21)'!$A$3:$D$298,4,)</f>
        <v>92</v>
      </c>
      <c r="C97" s="184">
        <v>466</v>
      </c>
      <c r="D97" s="185" t="s">
        <v>107</v>
      </c>
      <c r="E97" s="185" t="s">
        <v>500</v>
      </c>
      <c r="F97" s="186">
        <v>43865</v>
      </c>
      <c r="G97" s="187" t="s">
        <v>267</v>
      </c>
      <c r="H97" s="188">
        <v>831</v>
      </c>
      <c r="I97" s="189">
        <v>847.62</v>
      </c>
      <c r="J97" s="189">
        <v>983</v>
      </c>
      <c r="K97" s="189">
        <v>919</v>
      </c>
      <c r="L97" s="174">
        <v>1046</v>
      </c>
      <c r="M97" s="174">
        <v>1156</v>
      </c>
      <c r="N97" s="174">
        <v>1076</v>
      </c>
      <c r="O97" s="174">
        <v>1324</v>
      </c>
      <c r="P97" s="174">
        <v>1440</v>
      </c>
      <c r="Q97" s="174">
        <v>1401</v>
      </c>
      <c r="R97" s="174">
        <f>VLOOKUP(B97,'2022 Count Table'!A97:X280,11)</f>
        <v>1256</v>
      </c>
      <c r="S97" s="175">
        <f t="shared" si="5"/>
        <v>1605.3000000000029</v>
      </c>
      <c r="T97" s="176">
        <f t="shared" si="6"/>
        <v>0.05</v>
      </c>
      <c r="U97" s="192">
        <v>0.29166666666666702</v>
      </c>
      <c r="V97" s="189">
        <v>246</v>
      </c>
      <c r="W97" s="189">
        <v>147</v>
      </c>
      <c r="X97" s="189">
        <v>99</v>
      </c>
      <c r="Y97" s="193">
        <v>0.17083333333333334</v>
      </c>
      <c r="Z97" s="194">
        <v>0.59756097560975607</v>
      </c>
      <c r="AA97" s="192">
        <f>VLOOKUP(B97,'2022 Count Table'!A97:X280,19)</f>
        <v>0.6875</v>
      </c>
      <c r="AB97" s="189">
        <f>VLOOKUP($B97,'2022 Count Table'!A97:X280,20)</f>
        <v>122</v>
      </c>
      <c r="AC97" s="189">
        <f>VLOOKUP($B97,'2022 Count Table'!A97:X280,21)</f>
        <v>33</v>
      </c>
      <c r="AD97" s="189">
        <f>VLOOKUP($B97,'2022 Count Table'!A97:X280,22)</f>
        <v>89</v>
      </c>
      <c r="AE97" s="193">
        <f>VLOOKUP($B97,'2022 Count Table'!A97:X280,23)</f>
        <v>9.7133757961783446E-2</v>
      </c>
      <c r="AF97" s="194">
        <f>VLOOKUP($B97,'2022 Count Table'!A97:X280,24)</f>
        <v>0.72950819672131151</v>
      </c>
      <c r="AG97" s="195">
        <v>2</v>
      </c>
      <c r="AH97" s="196">
        <v>35</v>
      </c>
      <c r="AI97" s="188" t="s">
        <v>268</v>
      </c>
      <c r="AJ97" s="189" t="s">
        <v>268</v>
      </c>
      <c r="AK97" s="189" t="s">
        <v>268</v>
      </c>
      <c r="AL97" s="189" t="s">
        <v>268</v>
      </c>
      <c r="AM97" s="189" t="s">
        <v>268</v>
      </c>
      <c r="AN97" s="197" t="s">
        <v>268</v>
      </c>
      <c r="AO97" s="198">
        <f t="shared" si="7"/>
        <v>1524.1741310738405</v>
      </c>
      <c r="AP97" s="197">
        <f t="shared" si="8"/>
        <v>1074.6258689261597</v>
      </c>
    </row>
    <row r="98" spans="1:42" s="205" customFormat="1" ht="18.95" customHeight="1">
      <c r="A98" s="184">
        <v>276</v>
      </c>
      <c r="B98" s="184">
        <f>VLOOKUP(C98,'station changes (20-21)'!$A$3:$D$298,4,)</f>
        <v>93</v>
      </c>
      <c r="C98" s="184">
        <v>276</v>
      </c>
      <c r="D98" s="185" t="s">
        <v>53</v>
      </c>
      <c r="E98" s="185" t="s">
        <v>411</v>
      </c>
      <c r="F98" s="186">
        <v>43844</v>
      </c>
      <c r="G98" s="187" t="s">
        <v>267</v>
      </c>
      <c r="H98" s="188">
        <v>2002</v>
      </c>
      <c r="I98" s="189">
        <v>1212</v>
      </c>
      <c r="J98" s="189">
        <v>2394</v>
      </c>
      <c r="K98" s="189">
        <v>2531</v>
      </c>
      <c r="L98" s="174">
        <v>2617</v>
      </c>
      <c r="M98" s="174">
        <v>3516</v>
      </c>
      <c r="N98" s="174">
        <v>3422</v>
      </c>
      <c r="O98" s="174">
        <v>3720</v>
      </c>
      <c r="P98" s="174">
        <v>3873</v>
      </c>
      <c r="Q98" s="174">
        <v>3804</v>
      </c>
      <c r="R98" s="174">
        <f>VLOOKUP(B98,'2022 Count Table'!A98:X281,11)</f>
        <v>3938</v>
      </c>
      <c r="S98" s="175">
        <f t="shared" si="5"/>
        <v>4532.5999999999767</v>
      </c>
      <c r="T98" s="176">
        <f t="shared" si="6"/>
        <v>2.75E-2</v>
      </c>
      <c r="U98" s="192">
        <v>0.29166666666666702</v>
      </c>
      <c r="V98" s="189">
        <v>475</v>
      </c>
      <c r="W98" s="189">
        <v>140</v>
      </c>
      <c r="X98" s="189">
        <v>335</v>
      </c>
      <c r="Y98" s="193">
        <v>0.12264394526207074</v>
      </c>
      <c r="Z98" s="194">
        <v>0.70526315789473681</v>
      </c>
      <c r="AA98" s="192">
        <f>VLOOKUP(B98,'2022 Count Table'!A98:X281,19)</f>
        <v>0.61458333333333337</v>
      </c>
      <c r="AB98" s="189">
        <f>VLOOKUP($B98,'2022 Count Table'!A98:X281,20)</f>
        <v>371</v>
      </c>
      <c r="AC98" s="189">
        <f>VLOOKUP($B98,'2022 Count Table'!A98:X281,21)</f>
        <v>192</v>
      </c>
      <c r="AD98" s="189">
        <f>VLOOKUP($B98,'2022 Count Table'!A98:X281,22)</f>
        <v>179</v>
      </c>
      <c r="AE98" s="193">
        <f>VLOOKUP($B98,'2022 Count Table'!A98:X281,23)</f>
        <v>9.4210259014728293E-2</v>
      </c>
      <c r="AF98" s="194">
        <f>VLOOKUP($B98,'2022 Count Table'!A98:X281,24)</f>
        <v>0.51752021563342321</v>
      </c>
      <c r="AG98" s="195">
        <v>2</v>
      </c>
      <c r="AH98" s="196">
        <v>35</v>
      </c>
      <c r="AI98" s="188" t="s">
        <v>268</v>
      </c>
      <c r="AJ98" s="189" t="s">
        <v>268</v>
      </c>
      <c r="AK98" s="189" t="s">
        <v>268</v>
      </c>
      <c r="AL98" s="189" t="s">
        <v>268</v>
      </c>
      <c r="AM98" s="189" t="s">
        <v>268</v>
      </c>
      <c r="AN98" s="197" t="s">
        <v>268</v>
      </c>
      <c r="AO98" s="198">
        <f t="shared" si="7"/>
        <v>4066.266971910361</v>
      </c>
      <c r="AP98" s="197">
        <f t="shared" si="8"/>
        <v>3436.5330280896392</v>
      </c>
    </row>
    <row r="99" spans="1:42" s="226" customFormat="1" ht="18.95" customHeight="1">
      <c r="A99" s="125">
        <v>468</v>
      </c>
      <c r="B99" s="125">
        <f>VLOOKUP(C99,'station changes (20-21)'!$A$3:$D$298,4,)</f>
        <v>94</v>
      </c>
      <c r="C99" s="125">
        <v>468</v>
      </c>
      <c r="D99" s="126" t="s">
        <v>108</v>
      </c>
      <c r="E99" s="126" t="s">
        <v>500</v>
      </c>
      <c r="F99" s="17">
        <v>43865</v>
      </c>
      <c r="G99" s="127" t="s">
        <v>267</v>
      </c>
      <c r="H99" s="18">
        <v>1384</v>
      </c>
      <c r="I99" s="16">
        <v>1480</v>
      </c>
      <c r="J99" s="16">
        <v>1755</v>
      </c>
      <c r="K99" s="16">
        <v>2056</v>
      </c>
      <c r="L99" s="202">
        <v>2272</v>
      </c>
      <c r="M99" s="202">
        <v>2655</v>
      </c>
      <c r="N99" s="202"/>
      <c r="O99" s="202">
        <v>2928</v>
      </c>
      <c r="P99" s="202">
        <v>3387</v>
      </c>
      <c r="Q99" s="202">
        <v>3265</v>
      </c>
      <c r="R99" s="202">
        <f>VLOOKUP(B99,'2022 Count Table'!A99:X282,11)</f>
        <v>3208</v>
      </c>
      <c r="S99" s="19">
        <f t="shared" si="5"/>
        <v>3663.7000000000116</v>
      </c>
      <c r="T99" s="20">
        <f t="shared" si="6"/>
        <v>2.75E-2</v>
      </c>
      <c r="U99" s="21">
        <v>0.29166666666666702</v>
      </c>
      <c r="V99" s="16">
        <v>530</v>
      </c>
      <c r="W99" s="16">
        <v>416</v>
      </c>
      <c r="X99" s="16">
        <v>114</v>
      </c>
      <c r="Y99" s="22">
        <v>0.1564806613522291</v>
      </c>
      <c r="Z99" s="23">
        <v>0.78490566037735854</v>
      </c>
      <c r="AA99" s="21">
        <f>VLOOKUP(B99,'2022 Count Table'!A99:X282,19)</f>
        <v>0.69791666666666663</v>
      </c>
      <c r="AB99" s="16">
        <f>VLOOKUP($B99,'2022 Count Table'!A99:X282,20)</f>
        <v>350</v>
      </c>
      <c r="AC99" s="16">
        <f>VLOOKUP($B99,'2022 Count Table'!A99:X282,21)</f>
        <v>108</v>
      </c>
      <c r="AD99" s="16">
        <f>VLOOKUP($B99,'2022 Count Table'!A99:X282,22)</f>
        <v>242</v>
      </c>
      <c r="AE99" s="22">
        <f>VLOOKUP($B99,'2022 Count Table'!A99:X282,23)</f>
        <v>0.10910224438902744</v>
      </c>
      <c r="AF99" s="23">
        <f>VLOOKUP($B99,'2022 Count Table'!A99:X282,24)</f>
        <v>0.69142857142857139</v>
      </c>
      <c r="AG99" s="24">
        <v>2</v>
      </c>
      <c r="AH99" s="25">
        <v>35</v>
      </c>
      <c r="AI99" s="18" t="s">
        <v>268</v>
      </c>
      <c r="AJ99" s="16" t="s">
        <v>268</v>
      </c>
      <c r="AK99" s="16" t="s">
        <v>268</v>
      </c>
      <c r="AL99" s="16" t="s">
        <v>268</v>
      </c>
      <c r="AM99" s="16" t="s">
        <v>268</v>
      </c>
      <c r="AN99" s="128" t="s">
        <v>268</v>
      </c>
      <c r="AO99" s="131">
        <f t="shared" si="7"/>
        <v>3491.4033691213467</v>
      </c>
      <c r="AP99" s="128">
        <f t="shared" si="8"/>
        <v>2902.5966308786533</v>
      </c>
    </row>
    <row r="100" spans="1:42" s="205" customFormat="1" ht="18.95" customHeight="1">
      <c r="A100" s="125">
        <v>464</v>
      </c>
      <c r="B100" s="125">
        <f>VLOOKUP(C100,'station changes (20-21)'!$A$3:$D$298,4,)</f>
        <v>96</v>
      </c>
      <c r="C100" s="125">
        <v>464</v>
      </c>
      <c r="D100" s="126" t="s">
        <v>48</v>
      </c>
      <c r="E100" s="126" t="s">
        <v>499</v>
      </c>
      <c r="F100" s="17">
        <v>43865</v>
      </c>
      <c r="G100" s="127" t="s">
        <v>267</v>
      </c>
      <c r="H100" s="18">
        <v>1841</v>
      </c>
      <c r="I100" s="16">
        <v>1941</v>
      </c>
      <c r="J100" s="16">
        <v>1953</v>
      </c>
      <c r="K100" s="16">
        <v>2612</v>
      </c>
      <c r="L100" s="202">
        <v>2246</v>
      </c>
      <c r="M100" s="202">
        <v>3085</v>
      </c>
      <c r="N100" s="202">
        <v>2772</v>
      </c>
      <c r="O100" s="202">
        <v>3366</v>
      </c>
      <c r="P100" s="202">
        <v>3583</v>
      </c>
      <c r="Q100" s="202">
        <v>3550</v>
      </c>
      <c r="R100" s="202">
        <f>VLOOKUP(B100,'2022 Count Table'!A100:X283,11)</f>
        <v>4174</v>
      </c>
      <c r="S100" s="19">
        <f t="shared" si="5"/>
        <v>5580.5999999999767</v>
      </c>
      <c r="T100" s="20">
        <f t="shared" si="6"/>
        <v>0.06</v>
      </c>
      <c r="U100" s="21">
        <v>0.29166666666666702</v>
      </c>
      <c r="V100" s="16">
        <v>324</v>
      </c>
      <c r="W100" s="16">
        <v>66</v>
      </c>
      <c r="X100" s="16">
        <v>258</v>
      </c>
      <c r="Y100" s="22">
        <v>9.0427016466648066E-2</v>
      </c>
      <c r="Z100" s="23">
        <v>0.79629629629629628</v>
      </c>
      <c r="AA100" s="21">
        <f>VLOOKUP(B100,'2022 Count Table'!A100:X283,19)</f>
        <v>0.6875</v>
      </c>
      <c r="AB100" s="16">
        <f>VLOOKUP($B100,'2022 Count Table'!A100:X283,20)</f>
        <v>412</v>
      </c>
      <c r="AC100" s="16">
        <f>VLOOKUP($B100,'2022 Count Table'!A100:X283,21)</f>
        <v>257</v>
      </c>
      <c r="AD100" s="16">
        <f>VLOOKUP($B100,'2022 Count Table'!A100:X283,22)</f>
        <v>155</v>
      </c>
      <c r="AE100" s="22">
        <f>VLOOKUP($B100,'2022 Count Table'!A100:X283,23)</f>
        <v>9.8706276952563482E-2</v>
      </c>
      <c r="AF100" s="23">
        <f>VLOOKUP($B100,'2022 Count Table'!A100:X283,24)</f>
        <v>0.62378640776699024</v>
      </c>
      <c r="AG100" s="24">
        <v>2</v>
      </c>
      <c r="AH100" s="25">
        <v>30</v>
      </c>
      <c r="AI100" s="18" t="s">
        <v>268</v>
      </c>
      <c r="AJ100" s="16" t="s">
        <v>268</v>
      </c>
      <c r="AK100" s="16" t="s">
        <v>268</v>
      </c>
      <c r="AL100" s="16" t="s">
        <v>268</v>
      </c>
      <c r="AM100" s="16" t="s">
        <v>268</v>
      </c>
      <c r="AN100" s="128" t="s">
        <v>268</v>
      </c>
      <c r="AO100" s="131">
        <f t="shared" si="7"/>
        <v>4275.916450457099</v>
      </c>
      <c r="AP100" s="128">
        <f t="shared" si="8"/>
        <v>2702.083549542901</v>
      </c>
    </row>
    <row r="101" spans="1:42" s="162" customFormat="1" ht="18.95" customHeight="1">
      <c r="A101" s="184">
        <v>500</v>
      </c>
      <c r="B101" s="184">
        <f>VLOOKUP(C101,'station changes (20-21)'!$A$3:$D$298,4,)</f>
        <v>97</v>
      </c>
      <c r="C101" s="184">
        <v>500</v>
      </c>
      <c r="D101" s="185" t="s">
        <v>41</v>
      </c>
      <c r="E101" s="185" t="s">
        <v>523</v>
      </c>
      <c r="F101" s="186">
        <v>43860</v>
      </c>
      <c r="G101" s="187" t="s">
        <v>267</v>
      </c>
      <c r="H101" s="188">
        <v>5760</v>
      </c>
      <c r="I101" s="189">
        <v>6492</v>
      </c>
      <c r="J101" s="189">
        <v>8522</v>
      </c>
      <c r="K101" s="189">
        <v>12628</v>
      </c>
      <c r="L101" s="174">
        <v>10420</v>
      </c>
      <c r="M101" s="174">
        <v>10599</v>
      </c>
      <c r="N101" s="174">
        <v>11485</v>
      </c>
      <c r="O101" s="174">
        <v>13419</v>
      </c>
      <c r="P101" s="174">
        <v>15097</v>
      </c>
      <c r="Q101" s="174">
        <v>14460</v>
      </c>
      <c r="R101" s="174">
        <f>VLOOKUP(B101,'2022 Count Table'!A101:X284,11)</f>
        <v>17456</v>
      </c>
      <c r="S101" s="175">
        <f t="shared" si="5"/>
        <v>23471.5</v>
      </c>
      <c r="T101" s="176">
        <f t="shared" si="6"/>
        <v>0.06</v>
      </c>
      <c r="U101" s="192">
        <v>0.48958333333333298</v>
      </c>
      <c r="V101" s="189">
        <v>1235</v>
      </c>
      <c r="W101" s="189">
        <v>602</v>
      </c>
      <c r="X101" s="189">
        <v>633</v>
      </c>
      <c r="Y101" s="193">
        <v>8.1804331986487386E-2</v>
      </c>
      <c r="Z101" s="194">
        <v>0.51255060728744939</v>
      </c>
      <c r="AA101" s="192">
        <f>VLOOKUP(B101,'2022 Count Table'!A101:X284,19)</f>
        <v>0.6875</v>
      </c>
      <c r="AB101" s="189">
        <f>VLOOKUP($B101,'2022 Count Table'!A101:X284,20)</f>
        <v>1535</v>
      </c>
      <c r="AC101" s="189">
        <f>VLOOKUP($B101,'2022 Count Table'!A101:X284,21)</f>
        <v>938</v>
      </c>
      <c r="AD101" s="189">
        <f>VLOOKUP($B101,'2022 Count Table'!A101:X284,22)</f>
        <v>597</v>
      </c>
      <c r="AE101" s="193">
        <f>VLOOKUP($B101,'2022 Count Table'!A101:X284,23)</f>
        <v>8.7935380384967926E-2</v>
      </c>
      <c r="AF101" s="194">
        <f>VLOOKUP($B101,'2022 Count Table'!A101:X284,24)</f>
        <v>0.6110749185667752</v>
      </c>
      <c r="AG101" s="195">
        <v>4</v>
      </c>
      <c r="AH101" s="196">
        <v>35</v>
      </c>
      <c r="AI101" s="188" t="s">
        <v>268</v>
      </c>
      <c r="AJ101" s="189" t="s">
        <v>268</v>
      </c>
      <c r="AK101" s="189" t="s">
        <v>268</v>
      </c>
      <c r="AL101" s="189" t="s">
        <v>268</v>
      </c>
      <c r="AM101" s="189" t="s">
        <v>268</v>
      </c>
      <c r="AN101" s="197" t="s">
        <v>268</v>
      </c>
      <c r="AO101" s="198">
        <f t="shared" si="7"/>
        <v>17820.424343090981</v>
      </c>
      <c r="AP101" s="197">
        <f t="shared" si="8"/>
        <v>10946.375656909016</v>
      </c>
    </row>
    <row r="102" spans="1:42" s="205" customFormat="1" ht="18.95" customHeight="1">
      <c r="A102" s="184">
        <v>454</v>
      </c>
      <c r="B102" s="184">
        <f>VLOOKUP(C102,'station changes (20-21)'!$A$3:$D$298,4,)</f>
        <v>98</v>
      </c>
      <c r="C102" s="184">
        <v>454</v>
      </c>
      <c r="D102" s="185" t="s">
        <v>110</v>
      </c>
      <c r="E102" s="185" t="s">
        <v>440</v>
      </c>
      <c r="F102" s="186">
        <v>43860</v>
      </c>
      <c r="G102" s="187" t="s">
        <v>267</v>
      </c>
      <c r="H102" s="188">
        <v>5364</v>
      </c>
      <c r="I102" s="189">
        <v>6574</v>
      </c>
      <c r="J102" s="189">
        <v>7759</v>
      </c>
      <c r="K102" s="189">
        <v>9603</v>
      </c>
      <c r="L102" s="174">
        <v>10280</v>
      </c>
      <c r="M102" s="174">
        <v>9551</v>
      </c>
      <c r="N102" s="174">
        <v>9937</v>
      </c>
      <c r="O102" s="174">
        <v>10667</v>
      </c>
      <c r="P102" s="174">
        <v>12273</v>
      </c>
      <c r="Q102" s="174">
        <v>11650</v>
      </c>
      <c r="R102" s="174">
        <f>VLOOKUP(B102,'2022 Count Table'!A102:X285,11)</f>
        <v>12446</v>
      </c>
      <c r="S102" s="175">
        <f t="shared" si="5"/>
        <v>15595.300000000047</v>
      </c>
      <c r="T102" s="176">
        <f t="shared" si="6"/>
        <v>4.4999999999999998E-2</v>
      </c>
      <c r="U102" s="192">
        <v>0.48958333333333298</v>
      </c>
      <c r="V102" s="189">
        <v>968</v>
      </c>
      <c r="W102" s="189">
        <v>518</v>
      </c>
      <c r="X102" s="189">
        <v>450</v>
      </c>
      <c r="Y102" s="193">
        <v>7.8872321355821728E-2</v>
      </c>
      <c r="Z102" s="194">
        <v>0.53512396694214881</v>
      </c>
      <c r="AA102" s="192">
        <f>VLOOKUP(B102,'2022 Count Table'!A102:X285,19)</f>
        <v>0.65625</v>
      </c>
      <c r="AB102" s="189">
        <f>VLOOKUP($B102,'2022 Count Table'!A102:X285,20)</f>
        <v>1111</v>
      </c>
      <c r="AC102" s="189">
        <f>VLOOKUP($B102,'2022 Count Table'!A102:X285,21)</f>
        <v>482</v>
      </c>
      <c r="AD102" s="189">
        <f>VLOOKUP($B102,'2022 Count Table'!A102:X285,22)</f>
        <v>629</v>
      </c>
      <c r="AE102" s="193">
        <f>VLOOKUP($B102,'2022 Count Table'!A102:X285,23)</f>
        <v>8.9265627510846865E-2</v>
      </c>
      <c r="AF102" s="194">
        <f>VLOOKUP($B102,'2022 Count Table'!A102:X285,24)</f>
        <v>0.56615661566156616</v>
      </c>
      <c r="AG102" s="195">
        <v>4</v>
      </c>
      <c r="AH102" s="196">
        <v>35</v>
      </c>
      <c r="AI102" s="188" t="s">
        <v>268</v>
      </c>
      <c r="AJ102" s="189" t="s">
        <v>268</v>
      </c>
      <c r="AK102" s="189" t="s">
        <v>268</v>
      </c>
      <c r="AL102" s="189" t="s">
        <v>268</v>
      </c>
      <c r="AM102" s="189" t="s">
        <v>268</v>
      </c>
      <c r="AN102" s="197" t="s">
        <v>268</v>
      </c>
      <c r="AO102" s="198">
        <f t="shared" si="7"/>
        <v>13072.458019917061</v>
      </c>
      <c r="AP102" s="197">
        <f t="shared" si="8"/>
        <v>9716.7419800829393</v>
      </c>
    </row>
    <row r="103" spans="1:42" s="162" customFormat="1" ht="18.95" customHeight="1">
      <c r="A103" s="184">
        <v>382</v>
      </c>
      <c r="B103" s="184">
        <f>VLOOKUP(C103,'station changes (20-21)'!$A$3:$D$298,4,)</f>
        <v>99</v>
      </c>
      <c r="C103" s="184">
        <v>382</v>
      </c>
      <c r="D103" s="185" t="s">
        <v>111</v>
      </c>
      <c r="E103" s="185" t="s">
        <v>460</v>
      </c>
      <c r="F103" s="186" t="s">
        <v>243</v>
      </c>
      <c r="G103" s="187" t="s">
        <v>267</v>
      </c>
      <c r="H103" s="188">
        <v>620</v>
      </c>
      <c r="I103" s="189">
        <v>634</v>
      </c>
      <c r="J103" s="189">
        <v>729</v>
      </c>
      <c r="K103" s="189">
        <v>849</v>
      </c>
      <c r="L103" s="174" t="s">
        <v>243</v>
      </c>
      <c r="M103" s="174" t="s">
        <v>243</v>
      </c>
      <c r="N103" s="174" t="s">
        <v>243</v>
      </c>
      <c r="O103" s="174" t="s">
        <v>243</v>
      </c>
      <c r="P103" s="174" t="s">
        <v>243</v>
      </c>
      <c r="Q103" s="174">
        <v>1310</v>
      </c>
      <c r="R103" s="174">
        <f>VLOOKUP(B103,'2022 Count Table'!A103:X286,11)</f>
        <v>1396</v>
      </c>
      <c r="S103" s="175">
        <f t="shared" si="5"/>
        <v>1826</v>
      </c>
      <c r="T103" s="176">
        <f t="shared" si="6"/>
        <v>5.5E-2</v>
      </c>
      <c r="U103" s="192" t="s">
        <v>243</v>
      </c>
      <c r="V103" s="189" t="s">
        <v>243</v>
      </c>
      <c r="W103" s="189" t="s">
        <v>243</v>
      </c>
      <c r="X103" s="189" t="s">
        <v>243</v>
      </c>
      <c r="Y103" s="193" t="s">
        <v>243</v>
      </c>
      <c r="Z103" s="194" t="s">
        <v>243</v>
      </c>
      <c r="AA103" s="192">
        <f>VLOOKUP(B103,'2022 Count Table'!A103:X286,19)</f>
        <v>0.69791666666666663</v>
      </c>
      <c r="AB103" s="189">
        <f>VLOOKUP($B103,'2022 Count Table'!A103:X286,20)</f>
        <v>116</v>
      </c>
      <c r="AC103" s="189">
        <f>VLOOKUP($B103,'2022 Count Table'!A103:X286,21)</f>
        <v>59</v>
      </c>
      <c r="AD103" s="189">
        <f>VLOOKUP($B103,'2022 Count Table'!A103:X286,22)</f>
        <v>57</v>
      </c>
      <c r="AE103" s="193">
        <f>VLOOKUP($B103,'2022 Count Table'!A103:X286,23)</f>
        <v>8.3094555873925502E-2</v>
      </c>
      <c r="AF103" s="194">
        <f>VLOOKUP($B103,'2022 Count Table'!A103:X286,24)</f>
        <v>0.50862068965517238</v>
      </c>
      <c r="AG103" s="195">
        <v>2</v>
      </c>
      <c r="AH103" s="196">
        <v>25</v>
      </c>
      <c r="AI103" s="188" t="s">
        <v>268</v>
      </c>
      <c r="AJ103" s="189" t="s">
        <v>268</v>
      </c>
      <c r="AK103" s="189" t="s">
        <v>268</v>
      </c>
      <c r="AL103" s="189" t="s">
        <v>268</v>
      </c>
      <c r="AM103" s="189" t="s">
        <v>268</v>
      </c>
      <c r="AN103" s="197" t="s">
        <v>268</v>
      </c>
      <c r="AO103" s="198">
        <f t="shared" si="7"/>
        <v>1428.25</v>
      </c>
      <c r="AP103" s="197">
        <f t="shared" si="8"/>
        <v>1277.75</v>
      </c>
    </row>
    <row r="104" spans="1:42" s="205" customFormat="1" ht="18.95" customHeight="1">
      <c r="A104" s="184">
        <v>120</v>
      </c>
      <c r="B104" s="184">
        <f>VLOOKUP(C104,'station changes (20-21)'!$A$3:$D$298,4,)</f>
        <v>100</v>
      </c>
      <c r="C104" s="184">
        <v>120</v>
      </c>
      <c r="D104" s="185" t="s">
        <v>46</v>
      </c>
      <c r="E104" s="185" t="s">
        <v>359</v>
      </c>
      <c r="F104" s="186" t="s">
        <v>243</v>
      </c>
      <c r="G104" s="187" t="s">
        <v>267</v>
      </c>
      <c r="H104" s="188">
        <v>449</v>
      </c>
      <c r="I104" s="189">
        <v>761</v>
      </c>
      <c r="J104" s="189">
        <v>833</v>
      </c>
      <c r="K104" s="189">
        <v>869</v>
      </c>
      <c r="L104" s="174" t="s">
        <v>243</v>
      </c>
      <c r="M104" s="174" t="s">
        <v>243</v>
      </c>
      <c r="N104" s="174" t="s">
        <v>243</v>
      </c>
      <c r="O104" s="174" t="s">
        <v>243</v>
      </c>
      <c r="P104" s="174" t="s">
        <v>243</v>
      </c>
      <c r="Q104" s="174">
        <v>1948</v>
      </c>
      <c r="R104" s="174">
        <f>VLOOKUP(B104,'2022 Count Table'!A104:X287,11)</f>
        <v>2491</v>
      </c>
      <c r="S104" s="175">
        <f>_xlfn.FORECAST.LINEAR($S$5,$N104:$R104,$N$5:$R$5)</f>
        <v>5206</v>
      </c>
      <c r="T104" s="176">
        <f>IF(S104&lt;R104,0,MROUND((S104/R104)^(1/5)-1,0.0025))</f>
        <v>0.16</v>
      </c>
      <c r="U104" s="192" t="s">
        <v>243</v>
      </c>
      <c r="V104" s="189" t="s">
        <v>243</v>
      </c>
      <c r="W104" s="189" t="s">
        <v>243</v>
      </c>
      <c r="X104" s="189" t="s">
        <v>243</v>
      </c>
      <c r="Y104" s="193" t="s">
        <v>243</v>
      </c>
      <c r="Z104" s="194" t="s">
        <v>243</v>
      </c>
      <c r="AA104" s="192">
        <f>VLOOKUP(B104,'2022 Count Table'!A104:X287,19)</f>
        <v>0.70833333333333337</v>
      </c>
      <c r="AB104" s="189">
        <f>VLOOKUP($B104,'2022 Count Table'!A104:X287,20)</f>
        <v>486</v>
      </c>
      <c r="AC104" s="189">
        <f>VLOOKUP($B104,'2022 Count Table'!A104:X287,21)</f>
        <v>266</v>
      </c>
      <c r="AD104" s="189">
        <f>VLOOKUP($B104,'2022 Count Table'!A104:X287,22)</f>
        <v>220</v>
      </c>
      <c r="AE104" s="193">
        <f>VLOOKUP($B104,'2022 Count Table'!A104:X287,23)</f>
        <v>0.1951023685266961</v>
      </c>
      <c r="AF104" s="194">
        <f>VLOOKUP($B104,'2022 Count Table'!A104:X287,24)</f>
        <v>0.54732510288065839</v>
      </c>
      <c r="AG104" s="195">
        <v>2</v>
      </c>
      <c r="AH104" s="196">
        <v>45</v>
      </c>
      <c r="AI104" s="188" t="s">
        <v>268</v>
      </c>
      <c r="AJ104" s="189" t="s">
        <v>268</v>
      </c>
      <c r="AK104" s="189" t="s">
        <v>268</v>
      </c>
      <c r="AL104" s="189" t="s">
        <v>268</v>
      </c>
      <c r="AM104" s="189" t="s">
        <v>268</v>
      </c>
      <c r="AN104" s="197" t="s">
        <v>268</v>
      </c>
      <c r="AO104" s="198">
        <f t="shared" si="7"/>
        <v>2694.625</v>
      </c>
      <c r="AP104" s="197">
        <f t="shared" si="8"/>
        <v>1744.375</v>
      </c>
    </row>
    <row r="105" spans="1:42" s="162" customFormat="1" ht="18.95" customHeight="1">
      <c r="A105" s="184">
        <v>462</v>
      </c>
      <c r="B105" s="184">
        <f>VLOOKUP(C105,'station changes (20-21)'!$A$3:$D$298,4,)</f>
        <v>101</v>
      </c>
      <c r="C105" s="184">
        <v>462</v>
      </c>
      <c r="D105" s="185" t="s">
        <v>46</v>
      </c>
      <c r="E105" s="185" t="s">
        <v>498</v>
      </c>
      <c r="F105" s="186" t="s">
        <v>243</v>
      </c>
      <c r="G105" s="187" t="s">
        <v>267</v>
      </c>
      <c r="H105" s="188" t="s">
        <v>243</v>
      </c>
      <c r="I105" s="189">
        <v>612</v>
      </c>
      <c r="J105" s="189">
        <v>708</v>
      </c>
      <c r="K105" s="189">
        <v>717</v>
      </c>
      <c r="L105" s="174" t="s">
        <v>243</v>
      </c>
      <c r="M105" s="174" t="s">
        <v>243</v>
      </c>
      <c r="N105" s="174" t="s">
        <v>243</v>
      </c>
      <c r="O105" s="174" t="s">
        <v>243</v>
      </c>
      <c r="P105" s="174" t="s">
        <v>243</v>
      </c>
      <c r="Q105" s="174">
        <v>1200</v>
      </c>
      <c r="R105" s="174">
        <f>VLOOKUP(B105,'2022 Count Table'!A105:X288,11)</f>
        <v>1363</v>
      </c>
      <c r="S105" s="175">
        <f t="shared" si="5"/>
        <v>2178</v>
      </c>
      <c r="T105" s="176">
        <f t="shared" si="6"/>
        <v>9.7500000000000003E-2</v>
      </c>
      <c r="U105" s="192" t="s">
        <v>243</v>
      </c>
      <c r="V105" s="189" t="s">
        <v>243</v>
      </c>
      <c r="W105" s="189" t="s">
        <v>243</v>
      </c>
      <c r="X105" s="189" t="s">
        <v>243</v>
      </c>
      <c r="Y105" s="193" t="s">
        <v>243</v>
      </c>
      <c r="Z105" s="194" t="s">
        <v>243</v>
      </c>
      <c r="AA105" s="192">
        <f>VLOOKUP(B105,'2022 Count Table'!A105:X288,19)</f>
        <v>0.69791666666666663</v>
      </c>
      <c r="AB105" s="189">
        <f>VLOOKUP($B105,'2022 Count Table'!A105:X288,20)</f>
        <v>189</v>
      </c>
      <c r="AC105" s="189">
        <f>VLOOKUP($B105,'2022 Count Table'!A105:X288,21)</f>
        <v>109</v>
      </c>
      <c r="AD105" s="189">
        <f>VLOOKUP($B105,'2022 Count Table'!A105:X288,22)</f>
        <v>80</v>
      </c>
      <c r="AE105" s="193">
        <f>VLOOKUP($B105,'2022 Count Table'!A105:X288,23)</f>
        <v>0.13866471019809246</v>
      </c>
      <c r="AF105" s="194">
        <f>VLOOKUP($B105,'2022 Count Table'!A105:X288,24)</f>
        <v>0.57671957671957674</v>
      </c>
      <c r="AG105" s="195">
        <v>2</v>
      </c>
      <c r="AH105" s="196">
        <v>35</v>
      </c>
      <c r="AI105" s="188" t="s">
        <v>268</v>
      </c>
      <c r="AJ105" s="189" t="s">
        <v>268</v>
      </c>
      <c r="AK105" s="189" t="s">
        <v>268</v>
      </c>
      <c r="AL105" s="189" t="s">
        <v>268</v>
      </c>
      <c r="AM105" s="189" t="s">
        <v>268</v>
      </c>
      <c r="AN105" s="197" t="s">
        <v>268</v>
      </c>
      <c r="AO105" s="198">
        <f t="shared" si="7"/>
        <v>1424.125</v>
      </c>
      <c r="AP105" s="197">
        <f t="shared" si="8"/>
        <v>1138.875</v>
      </c>
    </row>
    <row r="106" spans="1:42" s="205" customFormat="1" ht="18.95" customHeight="1">
      <c r="A106" s="184">
        <v>484</v>
      </c>
      <c r="B106" s="184">
        <f>VLOOKUP(C106,'station changes (20-21)'!$A$3:$D$298,4,)</f>
        <v>102</v>
      </c>
      <c r="C106" s="184">
        <v>484</v>
      </c>
      <c r="D106" s="185" t="s">
        <v>46</v>
      </c>
      <c r="E106" s="185" t="s">
        <v>470</v>
      </c>
      <c r="F106" s="186" t="s">
        <v>243</v>
      </c>
      <c r="G106" s="187" t="s">
        <v>267</v>
      </c>
      <c r="H106" s="188" t="s">
        <v>243</v>
      </c>
      <c r="I106" s="189">
        <v>7530</v>
      </c>
      <c r="J106" s="189">
        <v>491</v>
      </c>
      <c r="K106" s="189">
        <v>521</v>
      </c>
      <c r="L106" s="174" t="s">
        <v>243</v>
      </c>
      <c r="M106" s="174" t="s">
        <v>243</v>
      </c>
      <c r="N106" s="174" t="s">
        <v>243</v>
      </c>
      <c r="O106" s="174" t="s">
        <v>243</v>
      </c>
      <c r="P106" s="174" t="s">
        <v>243</v>
      </c>
      <c r="Q106" s="174">
        <v>716</v>
      </c>
      <c r="R106" s="174">
        <f>VLOOKUP(B106,'2022 Count Table'!A106:X289,11)</f>
        <v>610</v>
      </c>
      <c r="S106" s="175">
        <f t="shared" si="5"/>
        <v>80</v>
      </c>
      <c r="T106" s="176">
        <f t="shared" si="6"/>
        <v>0</v>
      </c>
      <c r="U106" s="192" t="s">
        <v>243</v>
      </c>
      <c r="V106" s="189" t="s">
        <v>243</v>
      </c>
      <c r="W106" s="189" t="s">
        <v>243</v>
      </c>
      <c r="X106" s="189" t="s">
        <v>243</v>
      </c>
      <c r="Y106" s="193" t="s">
        <v>243</v>
      </c>
      <c r="Z106" s="194" t="s">
        <v>243</v>
      </c>
      <c r="AA106" s="192">
        <f>VLOOKUP(B106,'2022 Count Table'!A106:X289,19)</f>
        <v>0.69791666666666663</v>
      </c>
      <c r="AB106" s="189">
        <f>VLOOKUP($B106,'2022 Count Table'!A106:X289,20)</f>
        <v>75</v>
      </c>
      <c r="AC106" s="189">
        <f>VLOOKUP($B106,'2022 Count Table'!A106:X289,21)</f>
        <v>42</v>
      </c>
      <c r="AD106" s="189">
        <f>VLOOKUP($B106,'2022 Count Table'!A106:X289,22)</f>
        <v>33</v>
      </c>
      <c r="AE106" s="193">
        <f>VLOOKUP($B106,'2022 Count Table'!A106:X289,23)</f>
        <v>0.12295081967213115</v>
      </c>
      <c r="AF106" s="194">
        <f>VLOOKUP($B106,'2022 Count Table'!A106:X289,24)</f>
        <v>0.56000000000000005</v>
      </c>
      <c r="AG106" s="195">
        <v>2</v>
      </c>
      <c r="AH106" s="196">
        <v>35</v>
      </c>
      <c r="AI106" s="188" t="s">
        <v>268</v>
      </c>
      <c r="AJ106" s="189" t="s">
        <v>268</v>
      </c>
      <c r="AK106" s="189" t="s">
        <v>268</v>
      </c>
      <c r="AL106" s="189" t="s">
        <v>268</v>
      </c>
      <c r="AM106" s="189" t="s">
        <v>268</v>
      </c>
      <c r="AN106" s="197" t="s">
        <v>268</v>
      </c>
      <c r="AO106" s="198">
        <f t="shared" si="7"/>
        <v>755.75</v>
      </c>
      <c r="AP106" s="197">
        <f t="shared" si="8"/>
        <v>570.25</v>
      </c>
    </row>
    <row r="107" spans="1:42" s="162" customFormat="1" ht="18.95" customHeight="1">
      <c r="A107" s="125">
        <v>1402</v>
      </c>
      <c r="B107" s="125">
        <f>VLOOKUP(C107,'station changes (20-21)'!$A$3:$D$298,4,)</f>
        <v>103</v>
      </c>
      <c r="C107" s="125">
        <v>1402</v>
      </c>
      <c r="D107" s="126" t="s">
        <v>46</v>
      </c>
      <c r="E107" s="126" t="s">
        <v>489</v>
      </c>
      <c r="F107" s="17" t="s">
        <v>243</v>
      </c>
      <c r="G107" s="127" t="s">
        <v>267</v>
      </c>
      <c r="H107" s="18">
        <v>454</v>
      </c>
      <c r="I107" s="16">
        <v>401</v>
      </c>
      <c r="J107" s="16">
        <v>437</v>
      </c>
      <c r="K107" s="16">
        <v>575</v>
      </c>
      <c r="L107" s="202" t="s">
        <v>243</v>
      </c>
      <c r="M107" s="202" t="s">
        <v>243</v>
      </c>
      <c r="N107" s="202" t="s">
        <v>243</v>
      </c>
      <c r="O107" s="202" t="s">
        <v>243</v>
      </c>
      <c r="P107" s="202" t="s">
        <v>243</v>
      </c>
      <c r="Q107" s="202">
        <v>1948</v>
      </c>
      <c r="R107" s="202">
        <f>VLOOKUP(B107,'2022 Count Table'!A107:X290,11)</f>
        <v>1272</v>
      </c>
      <c r="S107" s="19">
        <f t="shared" si="5"/>
        <v>-2108</v>
      </c>
      <c r="T107" s="20">
        <f t="shared" si="6"/>
        <v>0</v>
      </c>
      <c r="U107" s="21" t="s">
        <v>243</v>
      </c>
      <c r="V107" s="16" t="s">
        <v>243</v>
      </c>
      <c r="W107" s="16" t="s">
        <v>243</v>
      </c>
      <c r="X107" s="16" t="s">
        <v>243</v>
      </c>
      <c r="Y107" s="22" t="s">
        <v>243</v>
      </c>
      <c r="Z107" s="23" t="s">
        <v>243</v>
      </c>
      <c r="AA107" s="21">
        <f>VLOOKUP(B107,'2022 Count Table'!A107:X290,19)</f>
        <v>0.70833333333333337</v>
      </c>
      <c r="AB107" s="16">
        <f>VLOOKUP($B107,'2022 Count Table'!A107:X290,20)</f>
        <v>231</v>
      </c>
      <c r="AC107" s="16">
        <f>VLOOKUP($B107,'2022 Count Table'!A107:X290,21)</f>
        <v>191</v>
      </c>
      <c r="AD107" s="16">
        <f>VLOOKUP($B107,'2022 Count Table'!A107:X290,22)</f>
        <v>40</v>
      </c>
      <c r="AE107" s="22">
        <f>VLOOKUP($B107,'2022 Count Table'!A107:X290,23)</f>
        <v>0.18160377358490565</v>
      </c>
      <c r="AF107" s="23">
        <f>VLOOKUP($B107,'2022 Count Table'!A107:X290,24)</f>
        <v>0.82683982683982682</v>
      </c>
      <c r="AG107" s="24">
        <v>2</v>
      </c>
      <c r="AH107" s="25">
        <v>35</v>
      </c>
      <c r="AI107" s="18" t="s">
        <v>268</v>
      </c>
      <c r="AJ107" s="16" t="s">
        <v>268</v>
      </c>
      <c r="AK107" s="16" t="s">
        <v>268</v>
      </c>
      <c r="AL107" s="16" t="s">
        <v>268</v>
      </c>
      <c r="AM107" s="16" t="s">
        <v>268</v>
      </c>
      <c r="AN107" s="128" t="s">
        <v>268</v>
      </c>
      <c r="AO107" s="131">
        <f t="shared" si="7"/>
        <v>2201.5</v>
      </c>
      <c r="AP107" s="128">
        <f t="shared" si="8"/>
        <v>1018.5</v>
      </c>
    </row>
    <row r="108" spans="1:42" s="205" customFormat="1" ht="18.95" customHeight="1">
      <c r="A108" s="184">
        <v>200</v>
      </c>
      <c r="B108" s="184">
        <f>VLOOKUP(C108,'station changes (20-21)'!$A$3:$D$298,4,)</f>
        <v>104</v>
      </c>
      <c r="C108" s="184">
        <v>200</v>
      </c>
      <c r="D108" s="185" t="s">
        <v>39</v>
      </c>
      <c r="E108" s="185" t="s">
        <v>386</v>
      </c>
      <c r="F108" s="186" t="s">
        <v>243</v>
      </c>
      <c r="G108" s="187" t="s">
        <v>267</v>
      </c>
      <c r="H108" s="188">
        <v>425</v>
      </c>
      <c r="I108" s="189">
        <v>457</v>
      </c>
      <c r="J108" s="189">
        <v>411</v>
      </c>
      <c r="K108" s="189">
        <v>466</v>
      </c>
      <c r="L108" s="174" t="s">
        <v>243</v>
      </c>
      <c r="M108" s="174" t="s">
        <v>243</v>
      </c>
      <c r="N108" s="174" t="s">
        <v>243</v>
      </c>
      <c r="O108" s="174" t="s">
        <v>243</v>
      </c>
      <c r="P108" s="174" t="s">
        <v>243</v>
      </c>
      <c r="Q108" s="174">
        <v>490</v>
      </c>
      <c r="R108" s="174">
        <f>VLOOKUP(B108,'2022 Count Table'!A108:X291,11)</f>
        <v>505</v>
      </c>
      <c r="S108" s="175">
        <f t="shared" si="5"/>
        <v>580</v>
      </c>
      <c r="T108" s="176">
        <f t="shared" si="6"/>
        <v>2.75E-2</v>
      </c>
      <c r="U108" s="192" t="s">
        <v>243</v>
      </c>
      <c r="V108" s="189" t="s">
        <v>243</v>
      </c>
      <c r="W108" s="189" t="s">
        <v>243</v>
      </c>
      <c r="X108" s="189" t="s">
        <v>243</v>
      </c>
      <c r="Y108" s="193" t="s">
        <v>243</v>
      </c>
      <c r="Z108" s="194" t="s">
        <v>243</v>
      </c>
      <c r="AA108" s="192">
        <f>VLOOKUP(B108,'2022 Count Table'!A108:X291,19)</f>
        <v>0.70833333333333337</v>
      </c>
      <c r="AB108" s="189">
        <f>VLOOKUP($B108,'2022 Count Table'!A108:X291,20)</f>
        <v>54</v>
      </c>
      <c r="AC108" s="189">
        <f>VLOOKUP($B108,'2022 Count Table'!A108:X291,21)</f>
        <v>34</v>
      </c>
      <c r="AD108" s="189">
        <f>VLOOKUP($B108,'2022 Count Table'!A108:X291,22)</f>
        <v>20</v>
      </c>
      <c r="AE108" s="193">
        <f>VLOOKUP($B108,'2022 Count Table'!A108:X291,23)</f>
        <v>0.10693069306930693</v>
      </c>
      <c r="AF108" s="194">
        <f>VLOOKUP($B108,'2022 Count Table'!A108:X291,24)</f>
        <v>0.62962962962962965</v>
      </c>
      <c r="AG108" s="195">
        <v>2</v>
      </c>
      <c r="AH108" s="196">
        <v>30</v>
      </c>
      <c r="AI108" s="188" t="s">
        <v>268</v>
      </c>
      <c r="AJ108" s="189" t="s">
        <v>268</v>
      </c>
      <c r="AK108" s="189" t="s">
        <v>268</v>
      </c>
      <c r="AL108" s="189" t="s">
        <v>268</v>
      </c>
      <c r="AM108" s="189" t="s">
        <v>268</v>
      </c>
      <c r="AN108" s="197" t="s">
        <v>268</v>
      </c>
      <c r="AO108" s="198">
        <f t="shared" si="7"/>
        <v>510.625</v>
      </c>
      <c r="AP108" s="197">
        <f t="shared" si="8"/>
        <v>484.375</v>
      </c>
    </row>
    <row r="109" spans="1:42" s="162" customFormat="1" ht="18.95" customHeight="1">
      <c r="A109" s="125">
        <v>340</v>
      </c>
      <c r="B109" s="125">
        <f>VLOOKUP(C109,'station changes (20-21)'!$A$3:$D$298,4,)</f>
        <v>105</v>
      </c>
      <c r="C109" s="125">
        <v>340</v>
      </c>
      <c r="D109" s="126" t="s">
        <v>43</v>
      </c>
      <c r="E109" s="126" t="s">
        <v>435</v>
      </c>
      <c r="F109" s="17" t="s">
        <v>243</v>
      </c>
      <c r="G109" s="127" t="s">
        <v>267</v>
      </c>
      <c r="H109" s="18">
        <v>3010</v>
      </c>
      <c r="I109" s="16">
        <v>2131</v>
      </c>
      <c r="J109" s="16">
        <v>2050</v>
      </c>
      <c r="K109" s="16">
        <v>2441</v>
      </c>
      <c r="L109" s="202" t="s">
        <v>243</v>
      </c>
      <c r="M109" s="202" t="s">
        <v>243</v>
      </c>
      <c r="N109" s="202" t="s">
        <v>243</v>
      </c>
      <c r="O109" s="202" t="s">
        <v>243</v>
      </c>
      <c r="P109" s="202" t="s">
        <v>243</v>
      </c>
      <c r="Q109" s="202">
        <v>3826</v>
      </c>
      <c r="R109" s="202">
        <f>VLOOKUP(B109,'2022 Count Table'!A109:X292,11)</f>
        <v>4654</v>
      </c>
      <c r="S109" s="19">
        <f t="shared" si="5"/>
        <v>8794</v>
      </c>
      <c r="T109" s="20">
        <f t="shared" si="6"/>
        <v>0.13500000000000001</v>
      </c>
      <c r="U109" s="21" t="s">
        <v>243</v>
      </c>
      <c r="V109" s="16" t="s">
        <v>243</v>
      </c>
      <c r="W109" s="16" t="s">
        <v>243</v>
      </c>
      <c r="X109" s="16" t="s">
        <v>243</v>
      </c>
      <c r="Y109" s="22" t="s">
        <v>243</v>
      </c>
      <c r="Z109" s="23" t="s">
        <v>243</v>
      </c>
      <c r="AA109" s="21">
        <f>VLOOKUP(B109,'2022 Count Table'!A109:X292,19)</f>
        <v>0.6875</v>
      </c>
      <c r="AB109" s="16">
        <f>VLOOKUP($B109,'2022 Count Table'!A109:X292,20)</f>
        <v>427</v>
      </c>
      <c r="AC109" s="16">
        <f>VLOOKUP($B109,'2022 Count Table'!A109:X292,21)</f>
        <v>210</v>
      </c>
      <c r="AD109" s="16">
        <f>VLOOKUP($B109,'2022 Count Table'!A109:X292,22)</f>
        <v>217</v>
      </c>
      <c r="AE109" s="22">
        <f>VLOOKUP($B109,'2022 Count Table'!A109:X292,23)</f>
        <v>9.1749033089815218E-2</v>
      </c>
      <c r="AF109" s="23">
        <f>VLOOKUP($B109,'2022 Count Table'!A109:X292,24)</f>
        <v>0.50819672131147542</v>
      </c>
      <c r="AG109" s="24">
        <v>2</v>
      </c>
      <c r="AH109" s="25">
        <v>45</v>
      </c>
      <c r="AI109" s="18" t="s">
        <v>268</v>
      </c>
      <c r="AJ109" s="16" t="s">
        <v>268</v>
      </c>
      <c r="AK109" s="16" t="s">
        <v>268</v>
      </c>
      <c r="AL109" s="16" t="s">
        <v>268</v>
      </c>
      <c r="AM109" s="16" t="s">
        <v>268</v>
      </c>
      <c r="AN109" s="128" t="s">
        <v>268</v>
      </c>
      <c r="AO109" s="131">
        <f t="shared" si="7"/>
        <v>4964.5</v>
      </c>
      <c r="AP109" s="128">
        <f t="shared" si="8"/>
        <v>3515.5</v>
      </c>
    </row>
    <row r="110" spans="1:42" s="205" customFormat="1" ht="18.95" customHeight="1">
      <c r="A110" s="184">
        <v>342</v>
      </c>
      <c r="B110" s="184">
        <f>VLOOKUP(C110,'station changes (20-21)'!$A$3:$D$298,4,)</f>
        <v>106</v>
      </c>
      <c r="C110" s="184">
        <v>342</v>
      </c>
      <c r="D110" s="185" t="s">
        <v>43</v>
      </c>
      <c r="E110" s="185" t="s">
        <v>436</v>
      </c>
      <c r="F110" s="186" t="s">
        <v>243</v>
      </c>
      <c r="G110" s="187" t="s">
        <v>267</v>
      </c>
      <c r="H110" s="188">
        <v>1841</v>
      </c>
      <c r="I110" s="189">
        <v>1937</v>
      </c>
      <c r="J110" s="189">
        <v>1935</v>
      </c>
      <c r="K110" s="189">
        <v>2283</v>
      </c>
      <c r="L110" s="174" t="s">
        <v>243</v>
      </c>
      <c r="M110" s="174" t="s">
        <v>243</v>
      </c>
      <c r="N110" s="174" t="s">
        <v>243</v>
      </c>
      <c r="O110" s="174" t="s">
        <v>243</v>
      </c>
      <c r="P110" s="174" t="s">
        <v>243</v>
      </c>
      <c r="Q110" s="174">
        <v>3725</v>
      </c>
      <c r="R110" s="174">
        <f>VLOOKUP(B110,'2022 Count Table'!A110:X293,11)</f>
        <v>3893</v>
      </c>
      <c r="S110" s="175">
        <f t="shared" si="5"/>
        <v>4733</v>
      </c>
      <c r="T110" s="176">
        <f t="shared" si="6"/>
        <v>0.04</v>
      </c>
      <c r="U110" s="192" t="s">
        <v>243</v>
      </c>
      <c r="V110" s="189" t="s">
        <v>243</v>
      </c>
      <c r="W110" s="189" t="s">
        <v>243</v>
      </c>
      <c r="X110" s="189" t="s">
        <v>243</v>
      </c>
      <c r="Y110" s="193" t="s">
        <v>243</v>
      </c>
      <c r="Z110" s="194" t="s">
        <v>243</v>
      </c>
      <c r="AA110" s="192">
        <f>VLOOKUP(B110,'2022 Count Table'!A110:X293,19)</f>
        <v>0.6875</v>
      </c>
      <c r="AB110" s="189">
        <f>VLOOKUP($B110,'2022 Count Table'!A110:X293,20)</f>
        <v>369</v>
      </c>
      <c r="AC110" s="189">
        <f>VLOOKUP($B110,'2022 Count Table'!A110:X293,21)</f>
        <v>190</v>
      </c>
      <c r="AD110" s="189">
        <f>VLOOKUP($B110,'2022 Count Table'!A110:X293,22)</f>
        <v>179</v>
      </c>
      <c r="AE110" s="193">
        <f>VLOOKUP($B110,'2022 Count Table'!A110:X293,23)</f>
        <v>9.4785512458258406E-2</v>
      </c>
      <c r="AF110" s="194">
        <f>VLOOKUP($B110,'2022 Count Table'!A110:X293,24)</f>
        <v>0.51490514905149054</v>
      </c>
      <c r="AG110" s="195">
        <v>2</v>
      </c>
      <c r="AH110" s="196">
        <v>45</v>
      </c>
      <c r="AI110" s="188" t="s">
        <v>268</v>
      </c>
      <c r="AJ110" s="189" t="s">
        <v>268</v>
      </c>
      <c r="AK110" s="189" t="s">
        <v>268</v>
      </c>
      <c r="AL110" s="189" t="s">
        <v>268</v>
      </c>
      <c r="AM110" s="189" t="s">
        <v>268</v>
      </c>
      <c r="AN110" s="197" t="s">
        <v>268</v>
      </c>
      <c r="AO110" s="198">
        <f t="shared" si="7"/>
        <v>3956</v>
      </c>
      <c r="AP110" s="197">
        <f t="shared" si="8"/>
        <v>3662</v>
      </c>
    </row>
    <row r="111" spans="1:42" s="162" customFormat="1" ht="18.95" customHeight="1">
      <c r="A111" s="125">
        <v>344</v>
      </c>
      <c r="B111" s="125">
        <f>VLOOKUP(C111,'station changes (20-21)'!$A$3:$D$298,4,)</f>
        <v>107</v>
      </c>
      <c r="C111" s="125">
        <v>344</v>
      </c>
      <c r="D111" s="126" t="s">
        <v>115</v>
      </c>
      <c r="E111" s="126" t="s">
        <v>437</v>
      </c>
      <c r="F111" s="17" t="s">
        <v>243</v>
      </c>
      <c r="G111" s="127" t="s">
        <v>267</v>
      </c>
      <c r="H111" s="18">
        <v>359</v>
      </c>
      <c r="I111" s="16">
        <v>377</v>
      </c>
      <c r="J111" s="16">
        <v>363</v>
      </c>
      <c r="K111" s="16">
        <v>412</v>
      </c>
      <c r="L111" s="202" t="s">
        <v>243</v>
      </c>
      <c r="M111" s="202" t="s">
        <v>243</v>
      </c>
      <c r="N111" s="202" t="s">
        <v>243</v>
      </c>
      <c r="O111" s="202" t="s">
        <v>243</v>
      </c>
      <c r="P111" s="202" t="s">
        <v>243</v>
      </c>
      <c r="Q111" s="202">
        <v>381</v>
      </c>
      <c r="R111" s="202">
        <f>VLOOKUP(B111,'2022 Count Table'!A111:X294,11)</f>
        <v>560</v>
      </c>
      <c r="S111" s="19">
        <f t="shared" si="5"/>
        <v>1455</v>
      </c>
      <c r="T111" s="20">
        <f t="shared" si="6"/>
        <v>0.21</v>
      </c>
      <c r="U111" s="21" t="s">
        <v>243</v>
      </c>
      <c r="V111" s="16" t="s">
        <v>243</v>
      </c>
      <c r="W111" s="16" t="s">
        <v>243</v>
      </c>
      <c r="X111" s="16" t="s">
        <v>243</v>
      </c>
      <c r="Y111" s="22" t="s">
        <v>243</v>
      </c>
      <c r="Z111" s="23" t="s">
        <v>243</v>
      </c>
      <c r="AA111" s="21">
        <f>VLOOKUP(B111,'2022 Count Table'!A111:X294,19)</f>
        <v>0.6875</v>
      </c>
      <c r="AB111" s="16">
        <f>VLOOKUP($B111,'2022 Count Table'!A111:X294,20)</f>
        <v>68</v>
      </c>
      <c r="AC111" s="16">
        <f>VLOOKUP($B111,'2022 Count Table'!A111:X294,21)</f>
        <v>43</v>
      </c>
      <c r="AD111" s="16">
        <f>VLOOKUP($B111,'2022 Count Table'!A111:X294,22)</f>
        <v>25</v>
      </c>
      <c r="AE111" s="22">
        <f>VLOOKUP($B111,'2022 Count Table'!A111:X294,23)</f>
        <v>0.12142857142857143</v>
      </c>
      <c r="AF111" s="23">
        <f>VLOOKUP($B111,'2022 Count Table'!A111:X294,24)</f>
        <v>0.63235294117647056</v>
      </c>
      <c r="AG111" s="24">
        <v>2</v>
      </c>
      <c r="AH111" s="25">
        <v>40</v>
      </c>
      <c r="AI111" s="18" t="s">
        <v>268</v>
      </c>
      <c r="AJ111" s="16" t="s">
        <v>268</v>
      </c>
      <c r="AK111" s="16" t="s">
        <v>268</v>
      </c>
      <c r="AL111" s="16" t="s">
        <v>268</v>
      </c>
      <c r="AM111" s="16" t="s">
        <v>268</v>
      </c>
      <c r="AN111" s="128" t="s">
        <v>268</v>
      </c>
      <c r="AO111" s="131">
        <f t="shared" si="7"/>
        <v>627.125</v>
      </c>
      <c r="AP111" s="128">
        <f t="shared" si="8"/>
        <v>313.875</v>
      </c>
    </row>
    <row r="112" spans="1:42" s="205" customFormat="1" ht="18.95" customHeight="1">
      <c r="A112" s="125">
        <v>113</v>
      </c>
      <c r="B112" s="125">
        <f>VLOOKUP(C112,'station changes (20-21)'!$A$3:$D$298,4,)</f>
        <v>108</v>
      </c>
      <c r="C112" s="125">
        <v>113</v>
      </c>
      <c r="D112" s="126" t="s">
        <v>59</v>
      </c>
      <c r="E112" s="126" t="s">
        <v>353</v>
      </c>
      <c r="F112" s="17">
        <v>43860</v>
      </c>
      <c r="G112" s="127" t="s">
        <v>267</v>
      </c>
      <c r="H112" s="18">
        <v>2295</v>
      </c>
      <c r="I112" s="16">
        <v>2304</v>
      </c>
      <c r="J112" s="16">
        <v>2376</v>
      </c>
      <c r="K112" s="16">
        <v>2612</v>
      </c>
      <c r="L112" s="202">
        <v>3021</v>
      </c>
      <c r="M112" s="202">
        <v>4070</v>
      </c>
      <c r="N112" s="202">
        <v>5444</v>
      </c>
      <c r="O112" s="202">
        <v>6291</v>
      </c>
      <c r="P112" s="202">
        <v>7295</v>
      </c>
      <c r="Q112" s="202">
        <v>7582</v>
      </c>
      <c r="R112" s="202">
        <f>VLOOKUP(B112,'2022 Count Table'!A112:X295,11)</f>
        <v>11703</v>
      </c>
      <c r="S112" s="19">
        <f t="shared" si="5"/>
        <v>17329.300000000279</v>
      </c>
      <c r="T112" s="20">
        <f t="shared" si="6"/>
        <v>8.2500000000000004E-2</v>
      </c>
      <c r="U112" s="21">
        <v>0.30208333333333298</v>
      </c>
      <c r="V112" s="16">
        <v>626</v>
      </c>
      <c r="W112" s="16">
        <v>267</v>
      </c>
      <c r="X112" s="16">
        <v>359</v>
      </c>
      <c r="Y112" s="22">
        <v>8.5812200137080186E-2</v>
      </c>
      <c r="Z112" s="23">
        <v>0.57348242811501593</v>
      </c>
      <c r="AA112" s="21">
        <f>VLOOKUP(B112,'2022 Count Table'!A112:X295,19)</f>
        <v>0.5</v>
      </c>
      <c r="AB112" s="16">
        <f>VLOOKUP($B112,'2022 Count Table'!A112:X295,20)</f>
        <v>990</v>
      </c>
      <c r="AC112" s="16">
        <f>VLOOKUP($B112,'2022 Count Table'!A112:X295,21)</f>
        <v>516</v>
      </c>
      <c r="AD112" s="16">
        <f>VLOOKUP($B112,'2022 Count Table'!A112:X295,22)</f>
        <v>474</v>
      </c>
      <c r="AE112" s="22">
        <f>VLOOKUP($B112,'2022 Count Table'!A112:X295,23)</f>
        <v>8.4593693924634714E-2</v>
      </c>
      <c r="AF112" s="23">
        <f>VLOOKUP($B112,'2022 Count Table'!A112:X295,24)</f>
        <v>0.52121212121212124</v>
      </c>
      <c r="AG112" s="24">
        <v>2</v>
      </c>
      <c r="AH112" s="25">
        <v>55</v>
      </c>
      <c r="AI112" s="18" t="s">
        <v>268</v>
      </c>
      <c r="AJ112" s="16" t="s">
        <v>268</v>
      </c>
      <c r="AK112" s="16" t="s">
        <v>268</v>
      </c>
      <c r="AL112" s="16" t="s">
        <v>268</v>
      </c>
      <c r="AM112" s="16" t="s">
        <v>268</v>
      </c>
      <c r="AN112" s="128" t="s">
        <v>268</v>
      </c>
      <c r="AO112" s="131">
        <f t="shared" si="7"/>
        <v>11438.292323118834</v>
      </c>
      <c r="AP112" s="128">
        <f t="shared" si="8"/>
        <v>3887.7076768811662</v>
      </c>
    </row>
    <row r="113" spans="1:42" s="162" customFormat="1" ht="18.95" customHeight="1">
      <c r="A113" s="184">
        <v>114</v>
      </c>
      <c r="B113" s="184">
        <f>VLOOKUP(C113,'station changes (20-21)'!$A$3:$D$298,4,)</f>
        <v>109</v>
      </c>
      <c r="C113" s="184">
        <v>114</v>
      </c>
      <c r="D113" s="185" t="s">
        <v>59</v>
      </c>
      <c r="E113" s="185" t="s">
        <v>354</v>
      </c>
      <c r="F113" s="186" t="s">
        <v>243</v>
      </c>
      <c r="G113" s="187" t="s">
        <v>267</v>
      </c>
      <c r="H113" s="188">
        <v>2238</v>
      </c>
      <c r="I113" s="189">
        <v>2260.38</v>
      </c>
      <c r="J113" s="189">
        <v>2340</v>
      </c>
      <c r="K113" s="189">
        <v>2581</v>
      </c>
      <c r="L113" s="309">
        <f>M325</f>
        <v>0</v>
      </c>
      <c r="M113" s="309">
        <f>N325</f>
        <v>0</v>
      </c>
      <c r="N113" s="309" t="s">
        <v>243</v>
      </c>
      <c r="O113" s="309" t="s">
        <v>243</v>
      </c>
      <c r="P113" s="309" t="s">
        <v>243</v>
      </c>
      <c r="Q113" s="309">
        <v>5379</v>
      </c>
      <c r="R113" s="309">
        <f>VLOOKUP(B113,'2022 Count Table'!A113:X296,11)</f>
        <v>6079</v>
      </c>
      <c r="S113" s="175">
        <f>_xlfn.FORECAST.LINEAR($S$5,$N113:$R113,$N$5:$R$5)</f>
        <v>9579</v>
      </c>
      <c r="T113" s="176">
        <f>IF(S113&lt;R113,0,MROUND((S113/R113)^(1/5)-1,0.0025))</f>
        <v>9.5000000000000001E-2</v>
      </c>
      <c r="U113" s="192" t="s">
        <v>243</v>
      </c>
      <c r="V113" s="189" t="s">
        <v>243</v>
      </c>
      <c r="W113" s="189" t="s">
        <v>243</v>
      </c>
      <c r="X113" s="189" t="s">
        <v>243</v>
      </c>
      <c r="Y113" s="193" t="s">
        <v>243</v>
      </c>
      <c r="Z113" s="194" t="s">
        <v>243</v>
      </c>
      <c r="AA113" s="192">
        <f>VLOOKUP(B113,'2022 Count Table'!A113:X296,19)</f>
        <v>0.70833333333333337</v>
      </c>
      <c r="AB113" s="189">
        <f>VLOOKUP($B113,'2022 Count Table'!A113:X296,20)</f>
        <v>566</v>
      </c>
      <c r="AC113" s="189">
        <f>VLOOKUP($B113,'2022 Count Table'!A113:X296,21)</f>
        <v>288</v>
      </c>
      <c r="AD113" s="189">
        <f>VLOOKUP($B113,'2022 Count Table'!A113:X296,22)</f>
        <v>278</v>
      </c>
      <c r="AE113" s="193">
        <f>VLOOKUP($B113,'2022 Count Table'!A113:X296,23)</f>
        <v>9.3107418983385426E-2</v>
      </c>
      <c r="AF113" s="194">
        <f>VLOOKUP($B113,'2022 Count Table'!A113:X296,24)</f>
        <v>0.50883392226148405</v>
      </c>
      <c r="AG113" s="195">
        <v>2</v>
      </c>
      <c r="AH113" s="196">
        <v>45</v>
      </c>
      <c r="AI113" s="188" t="s">
        <v>268</v>
      </c>
      <c r="AJ113" s="189" t="s">
        <v>268</v>
      </c>
      <c r="AK113" s="189" t="s">
        <v>268</v>
      </c>
      <c r="AL113" s="189" t="s">
        <v>268</v>
      </c>
      <c r="AM113" s="189" t="s">
        <v>268</v>
      </c>
      <c r="AN113" s="197" t="s">
        <v>268</v>
      </c>
      <c r="AO113" s="198">
        <f t="shared" si="7"/>
        <v>6341.5</v>
      </c>
      <c r="AP113" s="197">
        <f t="shared" si="8"/>
        <v>5116.5</v>
      </c>
    </row>
    <row r="114" spans="1:42" s="205" customFormat="1" ht="18.95" customHeight="1">
      <c r="A114" s="184">
        <v>281</v>
      </c>
      <c r="B114" s="184">
        <f>VLOOKUP(C114,'station changes (20-21)'!$A$3:$D$298,4,)</f>
        <v>111</v>
      </c>
      <c r="C114" s="184">
        <v>281</v>
      </c>
      <c r="D114" s="185" t="s">
        <v>87</v>
      </c>
      <c r="E114" s="185" t="s">
        <v>413</v>
      </c>
      <c r="F114" s="186">
        <v>43879</v>
      </c>
      <c r="G114" s="187" t="s">
        <v>267</v>
      </c>
      <c r="H114" s="188">
        <v>3102</v>
      </c>
      <c r="I114" s="189">
        <v>3314</v>
      </c>
      <c r="J114" s="189">
        <v>3425</v>
      </c>
      <c r="K114" s="189">
        <v>3516</v>
      </c>
      <c r="L114" s="174">
        <v>3770</v>
      </c>
      <c r="M114" s="174">
        <v>4054</v>
      </c>
      <c r="N114" s="174">
        <v>4253</v>
      </c>
      <c r="O114" s="174">
        <v>4388</v>
      </c>
      <c r="P114" s="174">
        <v>4517</v>
      </c>
      <c r="Q114" s="174">
        <v>4329</v>
      </c>
      <c r="R114" s="174">
        <f>VLOOKUP(B114,'2022 Count Table'!A114:X297,11)</f>
        <v>5016</v>
      </c>
      <c r="S114" s="175">
        <f t="shared" si="5"/>
        <v>5527.4999999999418</v>
      </c>
      <c r="T114" s="176">
        <f t="shared" si="6"/>
        <v>0.02</v>
      </c>
      <c r="U114" s="192">
        <v>0.47916666666666702</v>
      </c>
      <c r="V114" s="189">
        <v>336</v>
      </c>
      <c r="W114" s="189">
        <v>186</v>
      </c>
      <c r="X114" s="189">
        <v>150</v>
      </c>
      <c r="Y114" s="193">
        <v>7.4385654195262343E-2</v>
      </c>
      <c r="Z114" s="194">
        <v>0.5535714285714286</v>
      </c>
      <c r="AA114" s="192">
        <f>VLOOKUP(B114,'2022 Count Table'!A114:X297,19)</f>
        <v>0.6875</v>
      </c>
      <c r="AB114" s="189">
        <f>VLOOKUP($B114,'2022 Count Table'!A114:X297,20)</f>
        <v>416</v>
      </c>
      <c r="AC114" s="189">
        <f>VLOOKUP($B114,'2022 Count Table'!A114:X297,21)</f>
        <v>198</v>
      </c>
      <c r="AD114" s="189">
        <f>VLOOKUP($B114,'2022 Count Table'!A114:X297,22)</f>
        <v>218</v>
      </c>
      <c r="AE114" s="193">
        <f>VLOOKUP($B114,'2022 Count Table'!A114:X297,23)</f>
        <v>8.2934609250398722E-2</v>
      </c>
      <c r="AF114" s="194">
        <f>VLOOKUP($B114,'2022 Count Table'!A114:X297,24)</f>
        <v>0.52403846153846156</v>
      </c>
      <c r="AG114" s="195">
        <v>2</v>
      </c>
      <c r="AH114" s="196">
        <v>45</v>
      </c>
      <c r="AI114" s="188" t="s">
        <v>268</v>
      </c>
      <c r="AJ114" s="189" t="s">
        <v>268</v>
      </c>
      <c r="AK114" s="189" t="s">
        <v>268</v>
      </c>
      <c r="AL114" s="189" t="s">
        <v>268</v>
      </c>
      <c r="AM114" s="189" t="s">
        <v>268</v>
      </c>
      <c r="AN114" s="197" t="s">
        <v>268</v>
      </c>
      <c r="AO114" s="198">
        <f t="shared" si="7"/>
        <v>4976.2248889618795</v>
      </c>
      <c r="AP114" s="197">
        <f t="shared" si="8"/>
        <v>4024.9751110381212</v>
      </c>
    </row>
    <row r="115" spans="1:42" s="162" customFormat="1" ht="18.95" customHeight="1">
      <c r="A115" s="125">
        <v>386</v>
      </c>
      <c r="B115" s="125">
        <f>VLOOKUP(C115,'station changes (20-21)'!$A$3:$D$298,4,)</f>
        <v>112</v>
      </c>
      <c r="C115" s="125">
        <v>386</v>
      </c>
      <c r="D115" s="126" t="s">
        <v>86</v>
      </c>
      <c r="E115" s="126" t="s">
        <v>461</v>
      </c>
      <c r="F115" s="17" t="s">
        <v>243</v>
      </c>
      <c r="G115" s="127" t="s">
        <v>267</v>
      </c>
      <c r="H115" s="18">
        <v>371</v>
      </c>
      <c r="I115" s="16">
        <v>447</v>
      </c>
      <c r="J115" s="16">
        <v>392</v>
      </c>
      <c r="K115" s="16">
        <v>369</v>
      </c>
      <c r="L115" s="202" t="s">
        <v>243</v>
      </c>
      <c r="M115" s="202" t="s">
        <v>243</v>
      </c>
      <c r="N115" s="202" t="s">
        <v>243</v>
      </c>
      <c r="O115" s="202" t="s">
        <v>243</v>
      </c>
      <c r="P115" s="202" t="s">
        <v>243</v>
      </c>
      <c r="Q115" s="202">
        <v>384</v>
      </c>
      <c r="R115" s="202">
        <f>VLOOKUP(B115,'2022 Count Table'!A115:X298,11)</f>
        <v>362</v>
      </c>
      <c r="S115" s="19">
        <f t="shared" si="5"/>
        <v>252</v>
      </c>
      <c r="T115" s="20">
        <f t="shared" si="6"/>
        <v>0</v>
      </c>
      <c r="U115" s="21" t="s">
        <v>243</v>
      </c>
      <c r="V115" s="16" t="s">
        <v>243</v>
      </c>
      <c r="W115" s="16" t="s">
        <v>243</v>
      </c>
      <c r="X115" s="16" t="s">
        <v>243</v>
      </c>
      <c r="Y115" s="22" t="s">
        <v>243</v>
      </c>
      <c r="Z115" s="23" t="s">
        <v>243</v>
      </c>
      <c r="AA115" s="21">
        <f>VLOOKUP(B115,'2022 Count Table'!A115:X298,19)</f>
        <v>0.67708333333333337</v>
      </c>
      <c r="AB115" s="16">
        <f>VLOOKUP($B115,'2022 Count Table'!A115:X298,20)</f>
        <v>35</v>
      </c>
      <c r="AC115" s="16">
        <f>VLOOKUP($B115,'2022 Count Table'!A115:X298,21)</f>
        <v>19</v>
      </c>
      <c r="AD115" s="16">
        <f>VLOOKUP($B115,'2022 Count Table'!A115:X298,22)</f>
        <v>16</v>
      </c>
      <c r="AE115" s="22">
        <f>VLOOKUP($B115,'2022 Count Table'!A115:X298,23)</f>
        <v>9.668508287292818E-2</v>
      </c>
      <c r="AF115" s="23">
        <f>VLOOKUP($B115,'2022 Count Table'!A115:X298,24)</f>
        <v>0.54285714285714282</v>
      </c>
      <c r="AG115" s="24">
        <v>2</v>
      </c>
      <c r="AH115" s="25">
        <v>35</v>
      </c>
      <c r="AI115" s="18" t="s">
        <v>268</v>
      </c>
      <c r="AJ115" s="16" t="s">
        <v>268</v>
      </c>
      <c r="AK115" s="16" t="s">
        <v>268</v>
      </c>
      <c r="AL115" s="16" t="s">
        <v>268</v>
      </c>
      <c r="AM115" s="16" t="s">
        <v>268</v>
      </c>
      <c r="AN115" s="128" t="s">
        <v>268</v>
      </c>
      <c r="AO115" s="131">
        <f t="shared" si="7"/>
        <v>392.25</v>
      </c>
      <c r="AP115" s="128">
        <f t="shared" si="8"/>
        <v>353.75</v>
      </c>
    </row>
    <row r="116" spans="1:42" s="205" customFormat="1" ht="18.95" customHeight="1">
      <c r="A116" s="125">
        <v>115</v>
      </c>
      <c r="B116" s="125">
        <f>VLOOKUP(C116,'station changes (20-21)'!$A$3:$D$298,4,)</f>
        <v>113</v>
      </c>
      <c r="C116" s="125">
        <v>115</v>
      </c>
      <c r="D116" s="126" t="s">
        <v>118</v>
      </c>
      <c r="E116" s="126" t="s">
        <v>355</v>
      </c>
      <c r="F116" s="17">
        <v>43852</v>
      </c>
      <c r="G116" s="127" t="s">
        <v>267</v>
      </c>
      <c r="H116" s="18">
        <v>1557</v>
      </c>
      <c r="I116" s="16">
        <v>1438</v>
      </c>
      <c r="J116" s="16">
        <v>1503</v>
      </c>
      <c r="K116" s="16">
        <v>2224</v>
      </c>
      <c r="L116" s="202">
        <v>2078</v>
      </c>
      <c r="M116" s="202">
        <v>2025</v>
      </c>
      <c r="N116" s="202">
        <v>1940</v>
      </c>
      <c r="O116" s="202">
        <v>2236</v>
      </c>
      <c r="P116" s="202">
        <v>2197</v>
      </c>
      <c r="Q116" s="202">
        <v>2224</v>
      </c>
      <c r="R116" s="202">
        <f>VLOOKUP(B116,'2022 Count Table'!A116:X299,11)</f>
        <v>3508</v>
      </c>
      <c r="S116" s="19">
        <f t="shared" si="5"/>
        <v>4607.7999999999302</v>
      </c>
      <c r="T116" s="20">
        <f t="shared" si="6"/>
        <v>5.5E-2</v>
      </c>
      <c r="U116" s="21">
        <v>0.32291666666666702</v>
      </c>
      <c r="V116" s="16">
        <v>164</v>
      </c>
      <c r="W116" s="16">
        <v>63</v>
      </c>
      <c r="X116" s="16">
        <v>101</v>
      </c>
      <c r="Y116" s="22">
        <v>7.4647246244879381E-2</v>
      </c>
      <c r="Z116" s="23">
        <v>0.61585365853658536</v>
      </c>
      <c r="AA116" s="21">
        <f>VLOOKUP(B116,'2022 Count Table'!A116:X299,19)</f>
        <v>0.5</v>
      </c>
      <c r="AB116" s="16">
        <f>VLOOKUP($B116,'2022 Count Table'!A116:X299,20)</f>
        <v>298</v>
      </c>
      <c r="AC116" s="16">
        <f>VLOOKUP($B116,'2022 Count Table'!A116:X299,21)</f>
        <v>130</v>
      </c>
      <c r="AD116" s="16">
        <f>VLOOKUP($B116,'2022 Count Table'!A116:X299,22)</f>
        <v>168</v>
      </c>
      <c r="AE116" s="22">
        <f>VLOOKUP($B116,'2022 Count Table'!A116:X299,23)</f>
        <v>8.4948688711516535E-2</v>
      </c>
      <c r="AF116" s="23">
        <f>VLOOKUP($B116,'2022 Count Table'!A116:X299,24)</f>
        <v>0.56375838926174493</v>
      </c>
      <c r="AG116" s="24">
        <v>2</v>
      </c>
      <c r="AH116" s="25">
        <v>45</v>
      </c>
      <c r="AI116" s="18" t="s">
        <v>268</v>
      </c>
      <c r="AJ116" s="16" t="s">
        <v>268</v>
      </c>
      <c r="AK116" s="16" t="s">
        <v>268</v>
      </c>
      <c r="AL116" s="16" t="s">
        <v>268</v>
      </c>
      <c r="AM116" s="16" t="s">
        <v>268</v>
      </c>
      <c r="AN116" s="128" t="s">
        <v>268</v>
      </c>
      <c r="AO116" s="131">
        <f t="shared" si="7"/>
        <v>3390.9926546113634</v>
      </c>
      <c r="AP116" s="128">
        <f t="shared" si="8"/>
        <v>1451.0073453886366</v>
      </c>
    </row>
    <row r="117" spans="1:42" s="162" customFormat="1" ht="18.95" customHeight="1">
      <c r="A117" s="184">
        <v>116</v>
      </c>
      <c r="B117" s="184">
        <f>VLOOKUP(C117,'station changes (20-21)'!$A$3:$D$298,4,)</f>
        <v>114</v>
      </c>
      <c r="C117" s="184">
        <v>116</v>
      </c>
      <c r="D117" s="185" t="s">
        <v>118</v>
      </c>
      <c r="E117" s="185" t="s">
        <v>356</v>
      </c>
      <c r="F117" s="186">
        <v>43852</v>
      </c>
      <c r="G117" s="187" t="s">
        <v>267</v>
      </c>
      <c r="H117" s="188">
        <v>1564</v>
      </c>
      <c r="I117" s="189">
        <v>1202</v>
      </c>
      <c r="J117" s="189">
        <v>1300</v>
      </c>
      <c r="K117" s="189">
        <v>1389</v>
      </c>
      <c r="L117" s="174">
        <v>1723</v>
      </c>
      <c r="M117" s="174">
        <v>1727</v>
      </c>
      <c r="N117" s="174">
        <v>1604</v>
      </c>
      <c r="O117" s="174">
        <v>2198</v>
      </c>
      <c r="P117" s="174">
        <v>1687</v>
      </c>
      <c r="Q117" s="174">
        <v>1726</v>
      </c>
      <c r="R117" s="174">
        <f>VLOOKUP(B117,'2022 Count Table'!A117:X300,11)</f>
        <v>2532</v>
      </c>
      <c r="S117" s="175">
        <f t="shared" si="5"/>
        <v>2918.2000000000116</v>
      </c>
      <c r="T117" s="176">
        <f t="shared" si="6"/>
        <v>0.03</v>
      </c>
      <c r="U117" s="192">
        <v>0.48958333333333298</v>
      </c>
      <c r="V117" s="189">
        <v>126</v>
      </c>
      <c r="W117" s="189">
        <v>50</v>
      </c>
      <c r="X117" s="189">
        <v>76</v>
      </c>
      <c r="Y117" s="193">
        <v>7.4688796680497924E-2</v>
      </c>
      <c r="Z117" s="194">
        <v>0.60317460317460314</v>
      </c>
      <c r="AA117" s="192">
        <f>VLOOKUP(B117,'2022 Count Table'!A117:X300,19)</f>
        <v>0.65625</v>
      </c>
      <c r="AB117" s="189">
        <f>VLOOKUP($B117,'2022 Count Table'!A117:X300,20)</f>
        <v>228</v>
      </c>
      <c r="AC117" s="189">
        <f>VLOOKUP($B117,'2022 Count Table'!A117:X300,21)</f>
        <v>103</v>
      </c>
      <c r="AD117" s="189">
        <f>VLOOKUP($B117,'2022 Count Table'!A117:X300,22)</f>
        <v>125</v>
      </c>
      <c r="AE117" s="193">
        <f>VLOOKUP($B117,'2022 Count Table'!A117:X300,23)</f>
        <v>9.004739336492891E-2</v>
      </c>
      <c r="AF117" s="194">
        <f>VLOOKUP($B117,'2022 Count Table'!A117:X300,24)</f>
        <v>0.54824561403508776</v>
      </c>
      <c r="AG117" s="195">
        <v>2</v>
      </c>
      <c r="AH117" s="196">
        <v>40</v>
      </c>
      <c r="AI117" s="188" t="s">
        <v>268</v>
      </c>
      <c r="AJ117" s="189" t="s">
        <v>268</v>
      </c>
      <c r="AK117" s="189" t="s">
        <v>268</v>
      </c>
      <c r="AL117" s="189" t="s">
        <v>268</v>
      </c>
      <c r="AM117" s="189" t="s">
        <v>268</v>
      </c>
      <c r="AN117" s="197" t="s">
        <v>268</v>
      </c>
      <c r="AO117" s="198">
        <f t="shared" si="7"/>
        <v>2575.1502776667385</v>
      </c>
      <c r="AP117" s="197">
        <f t="shared" si="8"/>
        <v>1323.6497223332617</v>
      </c>
    </row>
    <row r="118" spans="1:42" s="205" customFormat="1" ht="18.95" customHeight="1">
      <c r="A118" s="184">
        <v>332</v>
      </c>
      <c r="B118" s="184">
        <f>VLOOKUP(C118,'station changes (20-21)'!$A$3:$D$298,4,)</f>
        <v>118</v>
      </c>
      <c r="C118" s="184">
        <v>332</v>
      </c>
      <c r="D118" s="185" t="s">
        <v>120</v>
      </c>
      <c r="E118" s="185" t="s">
        <v>432</v>
      </c>
      <c r="F118" s="186">
        <v>43873</v>
      </c>
      <c r="G118" s="187" t="s">
        <v>267</v>
      </c>
      <c r="H118" s="188">
        <v>604</v>
      </c>
      <c r="I118" s="189">
        <v>657</v>
      </c>
      <c r="J118" s="189">
        <v>734</v>
      </c>
      <c r="K118" s="189">
        <v>659</v>
      </c>
      <c r="L118" s="174">
        <v>716</v>
      </c>
      <c r="M118" s="174">
        <v>729</v>
      </c>
      <c r="N118" s="174">
        <v>710</v>
      </c>
      <c r="O118" s="174">
        <v>912</v>
      </c>
      <c r="P118" s="174">
        <v>748</v>
      </c>
      <c r="Q118" s="174">
        <v>719</v>
      </c>
      <c r="R118" s="174">
        <f>VLOOKUP(B118,'2022 Count Table'!A118:X301,11)</f>
        <v>696</v>
      </c>
      <c r="S118" s="175">
        <f t="shared" si="5"/>
        <v>602.29999999999563</v>
      </c>
      <c r="T118" s="176">
        <f>IF(S118&lt;R118,0,MROUND((S118/R118)^(1/5)-1,0.0025))</f>
        <v>0</v>
      </c>
      <c r="U118" s="192">
        <v>0.45833333333333298</v>
      </c>
      <c r="V118" s="189">
        <v>83</v>
      </c>
      <c r="W118" s="189">
        <v>28</v>
      </c>
      <c r="X118" s="189">
        <v>55</v>
      </c>
      <c r="Y118" s="193">
        <v>0.11096256684491979</v>
      </c>
      <c r="Z118" s="194">
        <v>0.66265060240963858</v>
      </c>
      <c r="AA118" s="192">
        <f>VLOOKUP(B118,'2022 Count Table'!A118:X301,19)</f>
        <v>0.6875</v>
      </c>
      <c r="AB118" s="189">
        <f>VLOOKUP($B118,'2022 Count Table'!A118:X301,20)</f>
        <v>71</v>
      </c>
      <c r="AC118" s="189">
        <f>VLOOKUP($B118,'2022 Count Table'!A118:X301,21)</f>
        <v>40</v>
      </c>
      <c r="AD118" s="189">
        <f>VLOOKUP($B118,'2022 Count Table'!A118:X301,22)</f>
        <v>31</v>
      </c>
      <c r="AE118" s="193">
        <f>VLOOKUP($B118,'2022 Count Table'!A118:X301,23)</f>
        <v>0.10201149425287356</v>
      </c>
      <c r="AF118" s="194">
        <f>VLOOKUP($B118,'2022 Count Table'!A118:X301,24)</f>
        <v>0.56338028169014087</v>
      </c>
      <c r="AG118" s="195">
        <v>2</v>
      </c>
      <c r="AH118" s="196">
        <v>35</v>
      </c>
      <c r="AI118" s="188" t="s">
        <v>268</v>
      </c>
      <c r="AJ118" s="189" t="s">
        <v>268</v>
      </c>
      <c r="AK118" s="189" t="s">
        <v>268</v>
      </c>
      <c r="AL118" s="189" t="s">
        <v>268</v>
      </c>
      <c r="AM118" s="189" t="s">
        <v>268</v>
      </c>
      <c r="AN118" s="197" t="s">
        <v>268</v>
      </c>
      <c r="AO118" s="198">
        <f t="shared" si="7"/>
        <v>895.8578409741416</v>
      </c>
      <c r="AP118" s="197">
        <f t="shared" si="8"/>
        <v>618.1421590258584</v>
      </c>
    </row>
    <row r="119" spans="1:42" s="162" customFormat="1" ht="18.95" customHeight="1">
      <c r="A119" s="125">
        <v>332.1</v>
      </c>
      <c r="B119" s="125">
        <f>VLOOKUP(C119,'station changes (20-21)'!$A$3:$D$298,4,)</f>
        <v>119</v>
      </c>
      <c r="C119" s="125">
        <v>332.1</v>
      </c>
      <c r="D119" s="126" t="s">
        <v>120</v>
      </c>
      <c r="E119" s="126" t="s">
        <v>432</v>
      </c>
      <c r="F119" s="17" t="s">
        <v>243</v>
      </c>
      <c r="G119" s="127" t="s">
        <v>267</v>
      </c>
      <c r="H119" s="18">
        <v>595</v>
      </c>
      <c r="I119" s="16">
        <v>766</v>
      </c>
      <c r="J119" s="16">
        <v>747</v>
      </c>
      <c r="K119" s="16">
        <v>920</v>
      </c>
      <c r="L119" s="202" t="s">
        <v>243</v>
      </c>
      <c r="M119" s="202" t="s">
        <v>243</v>
      </c>
      <c r="N119" s="202" t="s">
        <v>243</v>
      </c>
      <c r="O119" s="202" t="s">
        <v>243</v>
      </c>
      <c r="P119" s="202" t="s">
        <v>243</v>
      </c>
      <c r="Q119" s="202">
        <v>286</v>
      </c>
      <c r="R119" s="202">
        <f>VLOOKUP(B119,'2022 Count Table'!A119:X302,11)</f>
        <v>330</v>
      </c>
      <c r="S119" s="19">
        <f t="shared" si="5"/>
        <v>550</v>
      </c>
      <c r="T119" s="20">
        <f t="shared" si="6"/>
        <v>0.1075</v>
      </c>
      <c r="U119" s="21" t="s">
        <v>243</v>
      </c>
      <c r="V119" s="16" t="s">
        <v>243</v>
      </c>
      <c r="W119" s="16" t="s">
        <v>243</v>
      </c>
      <c r="X119" s="16" t="s">
        <v>243</v>
      </c>
      <c r="Y119" s="22" t="s">
        <v>243</v>
      </c>
      <c r="Z119" s="23" t="s">
        <v>243</v>
      </c>
      <c r="AA119" s="21">
        <f>VLOOKUP(B119,'2022 Count Table'!A119:X302,19)</f>
        <v>0.67708333333333337</v>
      </c>
      <c r="AB119" s="16">
        <f>VLOOKUP($B119,'2022 Count Table'!A119:X302,20)</f>
        <v>37</v>
      </c>
      <c r="AC119" s="16">
        <f>VLOOKUP($B119,'2022 Count Table'!A119:X302,21)</f>
        <v>17</v>
      </c>
      <c r="AD119" s="16">
        <f>VLOOKUP($B119,'2022 Count Table'!A119:X302,22)</f>
        <v>20</v>
      </c>
      <c r="AE119" s="22">
        <f>VLOOKUP($B119,'2022 Count Table'!A119:X302,23)</f>
        <v>0.11212121212121212</v>
      </c>
      <c r="AF119" s="23">
        <f>VLOOKUP($B119,'2022 Count Table'!A119:X302,24)</f>
        <v>0.54054054054054057</v>
      </c>
      <c r="AG119" s="24">
        <v>2</v>
      </c>
      <c r="AH119" s="25">
        <v>35</v>
      </c>
      <c r="AI119" s="18" t="s">
        <v>268</v>
      </c>
      <c r="AJ119" s="16" t="s">
        <v>268</v>
      </c>
      <c r="AK119" s="16" t="s">
        <v>268</v>
      </c>
      <c r="AL119" s="16" t="s">
        <v>268</v>
      </c>
      <c r="AM119" s="16" t="s">
        <v>268</v>
      </c>
      <c r="AN119" s="128" t="s">
        <v>268</v>
      </c>
      <c r="AO119" s="131">
        <f t="shared" si="7"/>
        <v>346.5</v>
      </c>
      <c r="AP119" s="128">
        <f t="shared" si="8"/>
        <v>269.5</v>
      </c>
    </row>
    <row r="120" spans="1:42" s="205" customFormat="1" ht="18.95" customHeight="1">
      <c r="A120" s="125">
        <v>330</v>
      </c>
      <c r="B120" s="125">
        <f>VLOOKUP(C120,'station changes (20-21)'!$A$3:$D$298,4,)</f>
        <v>120</v>
      </c>
      <c r="C120" s="125">
        <v>330</v>
      </c>
      <c r="D120" s="126" t="s">
        <v>121</v>
      </c>
      <c r="E120" s="126" t="s">
        <v>431</v>
      </c>
      <c r="F120" s="17" t="s">
        <v>243</v>
      </c>
      <c r="G120" s="127" t="s">
        <v>267</v>
      </c>
      <c r="H120" s="18">
        <v>148</v>
      </c>
      <c r="I120" s="16">
        <v>191</v>
      </c>
      <c r="J120" s="16" t="s">
        <v>243</v>
      </c>
      <c r="K120" s="16">
        <v>174</v>
      </c>
      <c r="L120" s="202" t="s">
        <v>243</v>
      </c>
      <c r="M120" s="202" t="s">
        <v>243</v>
      </c>
      <c r="N120" s="202" t="s">
        <v>243</v>
      </c>
      <c r="O120" s="202" t="s">
        <v>243</v>
      </c>
      <c r="P120" s="202" t="s">
        <v>243</v>
      </c>
      <c r="Q120" s="202">
        <v>159</v>
      </c>
      <c r="R120" s="202">
        <f>VLOOKUP(B120,'2022 Count Table'!A120:X303,11)</f>
        <v>245</v>
      </c>
      <c r="S120" s="19">
        <f>_xlfn.FORECAST.LINEAR($S$5,$N120:$R120,$N$5:$R$5)</f>
        <v>675</v>
      </c>
      <c r="T120" s="20">
        <f t="shared" si="6"/>
        <v>0.22500000000000001</v>
      </c>
      <c r="U120" s="21" t="s">
        <v>243</v>
      </c>
      <c r="V120" s="16" t="s">
        <v>243</v>
      </c>
      <c r="W120" s="16" t="s">
        <v>243</v>
      </c>
      <c r="X120" s="16" t="s">
        <v>243</v>
      </c>
      <c r="Y120" s="22" t="s">
        <v>243</v>
      </c>
      <c r="Z120" s="23" t="s">
        <v>243</v>
      </c>
      <c r="AA120" s="21">
        <f>VLOOKUP(B120,'2022 Count Table'!A120:X303,19)</f>
        <v>0.61458333333333337</v>
      </c>
      <c r="AB120" s="16">
        <f>VLOOKUP($B120,'2022 Count Table'!A120:X303,20)</f>
        <v>29</v>
      </c>
      <c r="AC120" s="16">
        <f>VLOOKUP($B120,'2022 Count Table'!A120:X303,21)</f>
        <v>19</v>
      </c>
      <c r="AD120" s="16">
        <f>VLOOKUP($B120,'2022 Count Table'!A120:X303,22)</f>
        <v>10</v>
      </c>
      <c r="AE120" s="22">
        <f>VLOOKUP($B120,'2022 Count Table'!A120:X303,23)</f>
        <v>0.11836734693877551</v>
      </c>
      <c r="AF120" s="23">
        <f>VLOOKUP($B120,'2022 Count Table'!A120:X303,24)</f>
        <v>0.65517241379310343</v>
      </c>
      <c r="AG120" s="24">
        <v>2</v>
      </c>
      <c r="AH120" s="25">
        <v>35</v>
      </c>
      <c r="AI120" s="18" t="s">
        <v>268</v>
      </c>
      <c r="AJ120" s="16" t="s">
        <v>268</v>
      </c>
      <c r="AK120" s="16" t="s">
        <v>268</v>
      </c>
      <c r="AL120" s="16" t="s">
        <v>268</v>
      </c>
      <c r="AM120" s="16" t="s">
        <v>268</v>
      </c>
      <c r="AN120" s="128" t="s">
        <v>268</v>
      </c>
      <c r="AO120" s="131">
        <f t="shared" si="7"/>
        <v>277.25</v>
      </c>
      <c r="AP120" s="128">
        <f t="shared" si="8"/>
        <v>126.75</v>
      </c>
    </row>
    <row r="121" spans="1:42" s="162" customFormat="1" ht="18.95" customHeight="1">
      <c r="A121" s="184">
        <v>388</v>
      </c>
      <c r="B121" s="184">
        <f>VLOOKUP(C121,'station changes (20-21)'!$A$3:$D$298,4,)</f>
        <v>121</v>
      </c>
      <c r="C121" s="184">
        <v>388</v>
      </c>
      <c r="D121" s="185" t="s">
        <v>63</v>
      </c>
      <c r="E121" s="185" t="s">
        <v>462</v>
      </c>
      <c r="F121" s="186" t="s">
        <v>243</v>
      </c>
      <c r="G121" s="187" t="s">
        <v>267</v>
      </c>
      <c r="H121" s="188">
        <v>351</v>
      </c>
      <c r="I121" s="189">
        <v>385</v>
      </c>
      <c r="J121" s="189" t="s">
        <v>243</v>
      </c>
      <c r="K121" s="189">
        <v>468</v>
      </c>
      <c r="L121" s="309">
        <f>L198</f>
        <v>4400</v>
      </c>
      <c r="M121" s="309">
        <f>M198</f>
        <v>4800</v>
      </c>
      <c r="N121" s="309">
        <f>N198</f>
        <v>4600</v>
      </c>
      <c r="O121" s="309">
        <f>O198</f>
        <v>4600</v>
      </c>
      <c r="P121" s="309">
        <f>P198</f>
        <v>3900</v>
      </c>
      <c r="Q121" s="309">
        <v>438</v>
      </c>
      <c r="R121" s="309">
        <f>VLOOKUP(B121,'2022 Count Table'!A121:X304,11)</f>
        <v>611</v>
      </c>
      <c r="S121" s="175">
        <f t="shared" si="5"/>
        <v>-5668.2000000001863</v>
      </c>
      <c r="T121" s="176">
        <f t="shared" si="6"/>
        <v>0</v>
      </c>
      <c r="U121" s="192" t="s">
        <v>243</v>
      </c>
      <c r="V121" s="189" t="s">
        <v>243</v>
      </c>
      <c r="W121" s="189" t="s">
        <v>243</v>
      </c>
      <c r="X121" s="189" t="s">
        <v>243</v>
      </c>
      <c r="Y121" s="193" t="s">
        <v>243</v>
      </c>
      <c r="Z121" s="194" t="s">
        <v>243</v>
      </c>
      <c r="AA121" s="192">
        <f>VLOOKUP(B121,'2022 Count Table'!A121:X304,19)</f>
        <v>0.69791666666666663</v>
      </c>
      <c r="AB121" s="189">
        <f>VLOOKUP($B121,'2022 Count Table'!A121:X304,20)</f>
        <v>71</v>
      </c>
      <c r="AC121" s="189">
        <f>VLOOKUP($B121,'2022 Count Table'!A121:X304,21)</f>
        <v>31</v>
      </c>
      <c r="AD121" s="189">
        <f>VLOOKUP($B121,'2022 Count Table'!A121:X304,22)</f>
        <v>40</v>
      </c>
      <c r="AE121" s="193">
        <f>VLOOKUP($B121,'2022 Count Table'!A121:X304,23)</f>
        <v>0.11620294599018004</v>
      </c>
      <c r="AF121" s="194">
        <f>VLOOKUP($B121,'2022 Count Table'!A121:X304,24)</f>
        <v>0.56338028169014087</v>
      </c>
      <c r="AG121" s="195">
        <v>2</v>
      </c>
      <c r="AH121" s="196">
        <v>35</v>
      </c>
      <c r="AI121" s="188" t="s">
        <v>268</v>
      </c>
      <c r="AJ121" s="189" t="s">
        <v>268</v>
      </c>
      <c r="AK121" s="189" t="s">
        <v>268</v>
      </c>
      <c r="AL121" s="189" t="s">
        <v>268</v>
      </c>
      <c r="AM121" s="189" t="s">
        <v>268</v>
      </c>
      <c r="AN121" s="197" t="s">
        <v>268</v>
      </c>
      <c r="AO121" s="198">
        <f t="shared" si="7"/>
        <v>6155.3824963455654</v>
      </c>
      <c r="AP121" s="197">
        <f t="shared" si="8"/>
        <v>-495.78249634556505</v>
      </c>
    </row>
    <row r="122" spans="1:42" s="205" customFormat="1" ht="18.95" customHeight="1">
      <c r="A122" s="125">
        <v>334</v>
      </c>
      <c r="B122" s="125">
        <f>VLOOKUP(C122,'station changes (20-21)'!$A$3:$D$298,4,)</f>
        <v>123</v>
      </c>
      <c r="C122" s="125">
        <v>334</v>
      </c>
      <c r="D122" s="126" t="s">
        <v>89</v>
      </c>
      <c r="E122" s="126" t="s">
        <v>433</v>
      </c>
      <c r="F122" s="17">
        <v>43852</v>
      </c>
      <c r="G122" s="127" t="s">
        <v>267</v>
      </c>
      <c r="H122" s="18">
        <v>1310</v>
      </c>
      <c r="I122" s="16">
        <v>1180</v>
      </c>
      <c r="J122" s="16">
        <v>1296</v>
      </c>
      <c r="K122" s="16">
        <v>1284</v>
      </c>
      <c r="L122" s="202">
        <v>1299</v>
      </c>
      <c r="M122" s="202">
        <v>1274</v>
      </c>
      <c r="N122" s="202">
        <v>1210</v>
      </c>
      <c r="O122" s="202">
        <v>1395</v>
      </c>
      <c r="P122" s="202">
        <v>1587</v>
      </c>
      <c r="Q122" s="202">
        <v>1549</v>
      </c>
      <c r="R122" s="202">
        <f>VLOOKUP(B122,'2022 Count Table'!A122:X305,11)</f>
        <v>1248</v>
      </c>
      <c r="S122" s="19">
        <f t="shared" si="5"/>
        <v>1558.8000000000029</v>
      </c>
      <c r="T122" s="20">
        <f t="shared" si="6"/>
        <v>4.4999999999999998E-2</v>
      </c>
      <c r="U122" s="21">
        <v>0.33333333333333298</v>
      </c>
      <c r="V122" s="16">
        <v>216</v>
      </c>
      <c r="W122" s="16">
        <v>123</v>
      </c>
      <c r="X122" s="16">
        <v>93</v>
      </c>
      <c r="Y122" s="22">
        <v>0.13610586011342155</v>
      </c>
      <c r="Z122" s="23">
        <v>0.56944444444444442</v>
      </c>
      <c r="AA122" s="21">
        <f>VLOOKUP(B122,'2022 Count Table'!A122:X305,19)</f>
        <v>0.64583333333333337</v>
      </c>
      <c r="AB122" s="16">
        <f>VLOOKUP($B122,'2022 Count Table'!A122:X305,20)</f>
        <v>169</v>
      </c>
      <c r="AC122" s="16">
        <f>VLOOKUP($B122,'2022 Count Table'!A122:X305,21)</f>
        <v>104</v>
      </c>
      <c r="AD122" s="16">
        <f>VLOOKUP($B122,'2022 Count Table'!A122:X305,22)</f>
        <v>65</v>
      </c>
      <c r="AE122" s="22">
        <f>VLOOKUP($B122,'2022 Count Table'!A122:X305,23)</f>
        <v>0.13541666666666666</v>
      </c>
      <c r="AF122" s="23">
        <f>VLOOKUP($B122,'2022 Count Table'!A122:X305,24)</f>
        <v>0.61538461538461542</v>
      </c>
      <c r="AG122" s="24">
        <v>2</v>
      </c>
      <c r="AH122" s="25">
        <v>40</v>
      </c>
      <c r="AI122" s="18" t="s">
        <v>268</v>
      </c>
      <c r="AJ122" s="16" t="s">
        <v>268</v>
      </c>
      <c r="AK122" s="16" t="s">
        <v>268</v>
      </c>
      <c r="AL122" s="16" t="s">
        <v>268</v>
      </c>
      <c r="AM122" s="16" t="s">
        <v>268</v>
      </c>
      <c r="AN122" s="128" t="s">
        <v>268</v>
      </c>
      <c r="AO122" s="131">
        <f t="shared" si="7"/>
        <v>1664.7823308760337</v>
      </c>
      <c r="AP122" s="128">
        <f t="shared" si="8"/>
        <v>1130.8176691239662</v>
      </c>
    </row>
    <row r="123" spans="1:42" s="162" customFormat="1" ht="18.95" customHeight="1">
      <c r="A123" s="184">
        <v>336</v>
      </c>
      <c r="B123" s="184">
        <f>VLOOKUP(C123,'station changes (20-21)'!$A$3:$D$298,4,)</f>
        <v>124</v>
      </c>
      <c r="C123" s="184">
        <v>336</v>
      </c>
      <c r="D123" s="185" t="s">
        <v>89</v>
      </c>
      <c r="E123" s="185" t="s">
        <v>434</v>
      </c>
      <c r="F123" s="186">
        <v>43852</v>
      </c>
      <c r="G123" s="187" t="s">
        <v>267</v>
      </c>
      <c r="H123" s="188">
        <v>690</v>
      </c>
      <c r="I123" s="189">
        <v>648</v>
      </c>
      <c r="J123" s="189">
        <v>716</v>
      </c>
      <c r="K123" s="189">
        <v>731</v>
      </c>
      <c r="L123" s="174">
        <v>693</v>
      </c>
      <c r="M123" s="174">
        <v>704</v>
      </c>
      <c r="N123" s="174">
        <v>634</v>
      </c>
      <c r="O123" s="174"/>
      <c r="P123" s="174">
        <v>638</v>
      </c>
      <c r="Q123" s="174">
        <v>639</v>
      </c>
      <c r="R123" s="174">
        <f>VLOOKUP(B123,'2022 Count Table'!A123:X306,11)</f>
        <v>718</v>
      </c>
      <c r="S123" s="175">
        <f t="shared" si="5"/>
        <v>772.77142857142462</v>
      </c>
      <c r="T123" s="176">
        <f t="shared" si="6"/>
        <v>1.4999999999999999E-2</v>
      </c>
      <c r="U123" s="192">
        <v>0.35416666666666702</v>
      </c>
      <c r="V123" s="189">
        <v>52</v>
      </c>
      <c r="W123" s="189">
        <v>29</v>
      </c>
      <c r="X123" s="189">
        <v>23</v>
      </c>
      <c r="Y123" s="193">
        <v>8.1504702194357362E-2</v>
      </c>
      <c r="Z123" s="194">
        <v>0.55769230769230771</v>
      </c>
      <c r="AA123" s="192">
        <f>VLOOKUP(B123,'2022 Count Table'!A123:X306,19)</f>
        <v>0.65625</v>
      </c>
      <c r="AB123" s="189">
        <f>VLOOKUP($B123,'2022 Count Table'!A123:X306,20)</f>
        <v>78</v>
      </c>
      <c r="AC123" s="189">
        <f>VLOOKUP($B123,'2022 Count Table'!A123:X306,21)</f>
        <v>25</v>
      </c>
      <c r="AD123" s="189">
        <f>VLOOKUP($B123,'2022 Count Table'!A123:X306,22)</f>
        <v>53</v>
      </c>
      <c r="AE123" s="193">
        <f>VLOOKUP($B123,'2022 Count Table'!A123:X306,23)</f>
        <v>0.10863509749303621</v>
      </c>
      <c r="AF123" s="194">
        <f>VLOOKUP($B123,'2022 Count Table'!A123:X306,24)</f>
        <v>0.67948717948717952</v>
      </c>
      <c r="AG123" s="195">
        <v>2</v>
      </c>
      <c r="AH123" s="196">
        <v>40</v>
      </c>
      <c r="AI123" s="188" t="s">
        <v>268</v>
      </c>
      <c r="AJ123" s="189" t="s">
        <v>268</v>
      </c>
      <c r="AK123" s="189" t="s">
        <v>268</v>
      </c>
      <c r="AL123" s="189" t="s">
        <v>268</v>
      </c>
      <c r="AM123" s="189" t="s">
        <v>268</v>
      </c>
      <c r="AN123" s="197" t="s">
        <v>268</v>
      </c>
      <c r="AO123" s="198">
        <f t="shared" si="7"/>
        <v>718.71680379481268</v>
      </c>
      <c r="AP123" s="197">
        <f t="shared" si="8"/>
        <v>595.78319620518732</v>
      </c>
    </row>
    <row r="124" spans="1:42" s="205" customFormat="1" ht="18.95" customHeight="1">
      <c r="A124" s="227">
        <v>134</v>
      </c>
      <c r="B124" s="227">
        <f>VLOOKUP(C124,'station changes (20-21)'!$A$3:$D$298,4,)</f>
        <v>125</v>
      </c>
      <c r="C124" s="227">
        <v>134</v>
      </c>
      <c r="D124" s="228" t="s">
        <v>364</v>
      </c>
      <c r="E124" s="228" t="s">
        <v>365</v>
      </c>
      <c r="F124" s="229">
        <v>43865</v>
      </c>
      <c r="G124" s="230" t="s">
        <v>267</v>
      </c>
      <c r="H124" s="231">
        <v>13268</v>
      </c>
      <c r="I124" s="139">
        <v>15616</v>
      </c>
      <c r="J124" s="139">
        <v>13390</v>
      </c>
      <c r="K124" s="139">
        <v>10932</v>
      </c>
      <c r="L124" s="146">
        <v>13335</v>
      </c>
      <c r="M124" s="146">
        <v>13488</v>
      </c>
      <c r="N124" s="146">
        <v>13204</v>
      </c>
      <c r="O124" s="146">
        <v>13320</v>
      </c>
      <c r="P124" s="146">
        <v>13526</v>
      </c>
      <c r="Q124" s="146">
        <v>13110</v>
      </c>
      <c r="R124" s="146">
        <f>VLOOKUP(B124,'2022 Count Table'!A124:X307,11)</f>
        <v>11224</v>
      </c>
      <c r="S124" s="232">
        <f t="shared" si="5"/>
        <v>9957.8000000000466</v>
      </c>
      <c r="T124" s="233">
        <f t="shared" si="6"/>
        <v>0</v>
      </c>
      <c r="U124" s="234">
        <v>0.48958333333333298</v>
      </c>
      <c r="V124" s="139">
        <v>1337</v>
      </c>
      <c r="W124" s="139">
        <v>719</v>
      </c>
      <c r="X124" s="139">
        <v>618</v>
      </c>
      <c r="Y124" s="235">
        <v>9.8846665680910842E-2</v>
      </c>
      <c r="Z124" s="236">
        <v>0.53777112939416605</v>
      </c>
      <c r="AA124" s="234">
        <f>VLOOKUP(B124,'2022 Count Table'!A124:X307,19)</f>
        <v>0.5</v>
      </c>
      <c r="AB124" s="139">
        <f>VLOOKUP($B124,'2022 Count Table'!A124:X307,20)</f>
        <v>1088</v>
      </c>
      <c r="AC124" s="139">
        <f>VLOOKUP($B124,'2022 Count Table'!A124:X307,21)</f>
        <v>540</v>
      </c>
      <c r="AD124" s="139">
        <f>VLOOKUP($B124,'2022 Count Table'!A124:X307,22)</f>
        <v>548</v>
      </c>
      <c r="AE124" s="235">
        <f>VLOOKUP($B124,'2022 Count Table'!A124:X307,23)</f>
        <v>9.6935138987883113E-2</v>
      </c>
      <c r="AF124" s="236">
        <f>VLOOKUP($B124,'2022 Count Table'!A124:X307,24)</f>
        <v>0.50367647058823528</v>
      </c>
      <c r="AG124" s="237">
        <v>2</v>
      </c>
      <c r="AH124" s="238">
        <v>20</v>
      </c>
      <c r="AI124" s="231" t="s">
        <v>268</v>
      </c>
      <c r="AJ124" s="139" t="s">
        <v>268</v>
      </c>
      <c r="AK124" s="139" t="s">
        <v>268</v>
      </c>
      <c r="AL124" s="139" t="s">
        <v>268</v>
      </c>
      <c r="AM124" s="139" t="s">
        <v>268</v>
      </c>
      <c r="AN124" s="239" t="s">
        <v>268</v>
      </c>
      <c r="AO124" s="240">
        <f t="shared" si="7"/>
        <v>14343.270095160484</v>
      </c>
      <c r="AP124" s="239">
        <f t="shared" si="8"/>
        <v>11410.329904839515</v>
      </c>
    </row>
    <row r="125" spans="1:42" s="162" customFormat="1" ht="18.95" customHeight="1">
      <c r="A125" s="184">
        <v>137</v>
      </c>
      <c r="B125" s="184">
        <f>VLOOKUP(C125,'station changes (20-21)'!$A$3:$D$298,4,)</f>
        <v>126</v>
      </c>
      <c r="C125" s="184">
        <v>137</v>
      </c>
      <c r="D125" s="185" t="s">
        <v>364</v>
      </c>
      <c r="E125" s="185" t="s">
        <v>366</v>
      </c>
      <c r="F125" s="186">
        <v>43865</v>
      </c>
      <c r="G125" s="187" t="s">
        <v>267</v>
      </c>
      <c r="H125" s="188">
        <v>12864</v>
      </c>
      <c r="I125" s="189">
        <v>17960</v>
      </c>
      <c r="J125" s="189">
        <v>12994</v>
      </c>
      <c r="K125" s="189">
        <v>10158</v>
      </c>
      <c r="L125" s="174">
        <v>13166</v>
      </c>
      <c r="M125" s="174">
        <v>12879</v>
      </c>
      <c r="N125" s="174">
        <v>12977</v>
      </c>
      <c r="O125" s="174">
        <v>13472</v>
      </c>
      <c r="P125" s="174">
        <v>12947</v>
      </c>
      <c r="Q125" s="174">
        <v>12419</v>
      </c>
      <c r="R125" s="174">
        <f>VLOOKUP(B125,'2022 Count Table'!A125:X308,11)</f>
        <v>11556</v>
      </c>
      <c r="S125" s="175">
        <f t="shared" si="5"/>
        <v>9947.6999999999534</v>
      </c>
      <c r="T125" s="176">
        <f t="shared" si="6"/>
        <v>0</v>
      </c>
      <c r="U125" s="192">
        <v>0.47916666666666702</v>
      </c>
      <c r="V125" s="189">
        <v>1234</v>
      </c>
      <c r="W125" s="189">
        <v>591</v>
      </c>
      <c r="X125" s="189">
        <v>643</v>
      </c>
      <c r="Y125" s="193">
        <v>9.5311655209701085E-2</v>
      </c>
      <c r="Z125" s="194">
        <v>0.52106969205834686</v>
      </c>
      <c r="AA125" s="192">
        <f>VLOOKUP(B125,'2022 Count Table'!A125:X308,19)</f>
        <v>0.60416666666666663</v>
      </c>
      <c r="AB125" s="189">
        <f>VLOOKUP($B125,'2022 Count Table'!A125:X308,20)</f>
        <v>1073</v>
      </c>
      <c r="AC125" s="189">
        <f>VLOOKUP($B125,'2022 Count Table'!A125:X308,21)</f>
        <v>506</v>
      </c>
      <c r="AD125" s="189">
        <f>VLOOKUP($B125,'2022 Count Table'!A125:X308,22)</f>
        <v>567</v>
      </c>
      <c r="AE125" s="193">
        <f>VLOOKUP($B125,'2022 Count Table'!A125:X308,23)</f>
        <v>9.2852197992384908E-2</v>
      </c>
      <c r="AF125" s="194">
        <f>VLOOKUP($B125,'2022 Count Table'!A125:X308,24)</f>
        <v>0.52842497670083877</v>
      </c>
      <c r="AG125" s="195">
        <v>4</v>
      </c>
      <c r="AH125" s="196">
        <v>35</v>
      </c>
      <c r="AI125" s="188" t="s">
        <v>268</v>
      </c>
      <c r="AJ125" s="189" t="s">
        <v>268</v>
      </c>
      <c r="AK125" s="189" t="s">
        <v>268</v>
      </c>
      <c r="AL125" s="189" t="s">
        <v>268</v>
      </c>
      <c r="AM125" s="189" t="s">
        <v>268</v>
      </c>
      <c r="AN125" s="197" t="s">
        <v>268</v>
      </c>
      <c r="AO125" s="198">
        <f t="shared" si="7"/>
        <v>13813.204220799906</v>
      </c>
      <c r="AP125" s="197">
        <f t="shared" si="8"/>
        <v>11535.195779200096</v>
      </c>
    </row>
    <row r="126" spans="1:42" s="205" customFormat="1" ht="18.95" customHeight="1">
      <c r="A126" s="125">
        <v>140</v>
      </c>
      <c r="B126" s="125">
        <f>VLOOKUP(C126,'station changes (20-21)'!$A$3:$D$298,4,)</f>
        <v>127</v>
      </c>
      <c r="C126" s="125">
        <v>140</v>
      </c>
      <c r="D126" s="126" t="s">
        <v>364</v>
      </c>
      <c r="E126" s="126" t="s">
        <v>367</v>
      </c>
      <c r="F126" s="17">
        <v>43865</v>
      </c>
      <c r="G126" s="127" t="s">
        <v>267</v>
      </c>
      <c r="H126" s="18">
        <v>18533</v>
      </c>
      <c r="I126" s="16">
        <v>10568</v>
      </c>
      <c r="J126" s="16">
        <v>19294</v>
      </c>
      <c r="K126" s="16">
        <v>20496</v>
      </c>
      <c r="L126" s="202">
        <v>18939</v>
      </c>
      <c r="M126" s="202">
        <v>19131</v>
      </c>
      <c r="N126" s="202">
        <v>18177</v>
      </c>
      <c r="O126" s="202">
        <v>18945</v>
      </c>
      <c r="P126" s="202">
        <v>18544</v>
      </c>
      <c r="Q126" s="202">
        <v>18366</v>
      </c>
      <c r="R126" s="202">
        <f>VLOOKUP(B126,'2022 Count Table'!A126:X309,11)</f>
        <v>16992</v>
      </c>
      <c r="S126" s="19">
        <f t="shared" si="5"/>
        <v>16140.500000000116</v>
      </c>
      <c r="T126" s="20">
        <f t="shared" si="6"/>
        <v>0</v>
      </c>
      <c r="U126" s="21">
        <v>0.48958333333333298</v>
      </c>
      <c r="V126" s="16">
        <v>1764</v>
      </c>
      <c r="W126" s="16">
        <v>836</v>
      </c>
      <c r="X126" s="16">
        <v>928</v>
      </c>
      <c r="Y126" s="22">
        <v>9.5125107851596197E-2</v>
      </c>
      <c r="Z126" s="23">
        <v>0.52607709750566889</v>
      </c>
      <c r="AA126" s="21">
        <f>VLOOKUP(B126,'2022 Count Table'!A126:X309,19)</f>
        <v>0.5</v>
      </c>
      <c r="AB126" s="16">
        <f>VLOOKUP($B126,'2022 Count Table'!A126:X309,20)</f>
        <v>1634</v>
      </c>
      <c r="AC126" s="16">
        <f>VLOOKUP($B126,'2022 Count Table'!A126:X309,21)</f>
        <v>807</v>
      </c>
      <c r="AD126" s="16">
        <f>VLOOKUP($B126,'2022 Count Table'!A126:X309,22)</f>
        <v>827</v>
      </c>
      <c r="AE126" s="22">
        <f>VLOOKUP($B126,'2022 Count Table'!A126:X309,23)</f>
        <v>9.6162900188323922E-2</v>
      </c>
      <c r="AF126" s="23">
        <f>VLOOKUP($B126,'2022 Count Table'!A126:X309,24)</f>
        <v>0.50611995104039165</v>
      </c>
      <c r="AG126" s="24">
        <v>4</v>
      </c>
      <c r="AH126" s="25">
        <v>35</v>
      </c>
      <c r="AI126" s="18" t="s">
        <v>268</v>
      </c>
      <c r="AJ126" s="16" t="s">
        <v>268</v>
      </c>
      <c r="AK126" s="16" t="s">
        <v>268</v>
      </c>
      <c r="AL126" s="16" t="s">
        <v>268</v>
      </c>
      <c r="AM126" s="16" t="s">
        <v>268</v>
      </c>
      <c r="AN126" s="128" t="s">
        <v>268</v>
      </c>
      <c r="AO126" s="131">
        <f t="shared" si="7"/>
        <v>19355.17572775159</v>
      </c>
      <c r="AP126" s="128">
        <f t="shared" si="8"/>
        <v>17054.424272248409</v>
      </c>
    </row>
    <row r="127" spans="1:42" s="162" customFormat="1" ht="18.95" customHeight="1">
      <c r="A127" s="184">
        <v>143</v>
      </c>
      <c r="B127" s="184">
        <f>VLOOKUP(C127,'station changes (20-21)'!$A$3:$D$298,4,)</f>
        <v>128</v>
      </c>
      <c r="C127" s="184">
        <v>143</v>
      </c>
      <c r="D127" s="185" t="s">
        <v>364</v>
      </c>
      <c r="E127" s="185" t="s">
        <v>368</v>
      </c>
      <c r="F127" s="186">
        <v>43865</v>
      </c>
      <c r="G127" s="187" t="s">
        <v>267</v>
      </c>
      <c r="H127" s="188">
        <v>16801</v>
      </c>
      <c r="I127" s="189">
        <v>14773</v>
      </c>
      <c r="J127" s="189">
        <v>16646</v>
      </c>
      <c r="K127" s="189">
        <v>16187</v>
      </c>
      <c r="L127" s="174">
        <v>20330</v>
      </c>
      <c r="M127" s="174">
        <v>16998</v>
      </c>
      <c r="N127" s="174">
        <v>17058</v>
      </c>
      <c r="O127" s="174">
        <v>17285</v>
      </c>
      <c r="P127" s="174">
        <v>16953</v>
      </c>
      <c r="Q127" s="174">
        <v>16152</v>
      </c>
      <c r="R127" s="174">
        <f>VLOOKUP(B127,'2022 Count Table'!A127:X310,11)</f>
        <v>15151</v>
      </c>
      <c r="S127" s="175">
        <f t="shared" si="5"/>
        <v>13056.900000000023</v>
      </c>
      <c r="T127" s="176">
        <f t="shared" si="6"/>
        <v>0</v>
      </c>
      <c r="U127" s="192">
        <v>0.44791666666666702</v>
      </c>
      <c r="V127" s="189">
        <v>1602</v>
      </c>
      <c r="W127" s="189">
        <v>794</v>
      </c>
      <c r="X127" s="189">
        <v>808</v>
      </c>
      <c r="Y127" s="193">
        <v>9.4496549283312692E-2</v>
      </c>
      <c r="Z127" s="194">
        <v>0.50436953807740326</v>
      </c>
      <c r="AA127" s="192">
        <f>VLOOKUP(B127,'2022 Count Table'!A127:X310,19)</f>
        <v>0.5</v>
      </c>
      <c r="AB127" s="189">
        <f>VLOOKUP($B127,'2022 Count Table'!A127:X310,20)</f>
        <v>1473</v>
      </c>
      <c r="AC127" s="189">
        <f>VLOOKUP($B127,'2022 Count Table'!A127:X310,21)</f>
        <v>703</v>
      </c>
      <c r="AD127" s="189">
        <f>VLOOKUP($B127,'2022 Count Table'!A127:X310,22)</f>
        <v>770</v>
      </c>
      <c r="AE127" s="193">
        <f>VLOOKUP($B127,'2022 Count Table'!A127:X310,23)</f>
        <v>9.7221305524387833E-2</v>
      </c>
      <c r="AF127" s="194">
        <f>VLOOKUP($B127,'2022 Count Table'!A127:X310,24)</f>
        <v>0.52274270196877126</v>
      </c>
      <c r="AG127" s="195">
        <v>4</v>
      </c>
      <c r="AH127" s="196">
        <v>35</v>
      </c>
      <c r="AI127" s="188" t="s">
        <v>268</v>
      </c>
      <c r="AJ127" s="189" t="s">
        <v>268</v>
      </c>
      <c r="AK127" s="189" t="s">
        <v>268</v>
      </c>
      <c r="AL127" s="189" t="s">
        <v>268</v>
      </c>
      <c r="AM127" s="189" t="s">
        <v>268</v>
      </c>
      <c r="AN127" s="197" t="s">
        <v>268</v>
      </c>
      <c r="AO127" s="198">
        <f t="shared" si="7"/>
        <v>17891.456832083011</v>
      </c>
      <c r="AP127" s="197">
        <f t="shared" si="8"/>
        <v>15148.143167916989</v>
      </c>
    </row>
    <row r="128" spans="1:42" s="205" customFormat="1" ht="18.95" customHeight="1">
      <c r="A128" s="125">
        <v>483</v>
      </c>
      <c r="B128" s="125">
        <f>VLOOKUP(C128,'station changes (20-21)'!$A$3:$D$298,4,)</f>
        <v>129</v>
      </c>
      <c r="C128" s="125">
        <v>483</v>
      </c>
      <c r="D128" s="126" t="s">
        <v>668</v>
      </c>
      <c r="E128" s="126" t="s">
        <v>513</v>
      </c>
      <c r="F128" s="17">
        <v>43859</v>
      </c>
      <c r="G128" s="127" t="s">
        <v>267</v>
      </c>
      <c r="H128" s="18" t="s">
        <v>243</v>
      </c>
      <c r="I128" s="16">
        <v>1955</v>
      </c>
      <c r="J128" s="16">
        <v>7548</v>
      </c>
      <c r="K128" s="16">
        <v>9111</v>
      </c>
      <c r="L128" s="202">
        <v>9194</v>
      </c>
      <c r="M128" s="16">
        <v>7989</v>
      </c>
      <c r="N128" s="16">
        <v>7404</v>
      </c>
      <c r="O128" s="16">
        <v>7673</v>
      </c>
      <c r="P128" s="16">
        <v>6889</v>
      </c>
      <c r="Q128" s="16">
        <v>7135</v>
      </c>
      <c r="R128" s="16">
        <f>VLOOKUP(B128,'2022 Count Table'!A128:X311,11)</f>
        <v>12224</v>
      </c>
      <c r="S128" s="19">
        <f t="shared" si="5"/>
        <v>14636.40000000014</v>
      </c>
      <c r="T128" s="20">
        <f t="shared" si="6"/>
        <v>3.7499999999999999E-2</v>
      </c>
      <c r="U128" s="21">
        <v>0.48958333333333298</v>
      </c>
      <c r="V128" s="16">
        <v>696</v>
      </c>
      <c r="W128" s="16">
        <v>354</v>
      </c>
      <c r="X128" s="16">
        <v>342</v>
      </c>
      <c r="Y128" s="22">
        <v>0.10103062853824939</v>
      </c>
      <c r="Z128" s="23">
        <v>0.50862068965517238</v>
      </c>
      <c r="AA128" s="21">
        <f>VLOOKUP(B128,'2022 Count Table'!A128:X311,19)</f>
        <v>0.5</v>
      </c>
      <c r="AB128" s="16">
        <f>VLOOKUP($B128,'2022 Count Table'!A128:X311,20)</f>
        <v>1087</v>
      </c>
      <c r="AC128" s="16">
        <f>VLOOKUP($B128,'2022 Count Table'!A128:X311,21)</f>
        <v>507</v>
      </c>
      <c r="AD128" s="16">
        <f>VLOOKUP($B128,'2022 Count Table'!A128:X311,22)</f>
        <v>580</v>
      </c>
      <c r="AE128" s="22">
        <f>VLOOKUP($B128,'2022 Count Table'!A128:X311,23)</f>
        <v>8.8923429319371722E-2</v>
      </c>
      <c r="AF128" s="23">
        <f>VLOOKUP($B128,'2022 Count Table'!A128:X311,24)</f>
        <v>0.53357865685372585</v>
      </c>
      <c r="AG128" s="24">
        <v>2</v>
      </c>
      <c r="AH128" s="25">
        <v>30</v>
      </c>
      <c r="AI128" s="18" t="s">
        <v>268</v>
      </c>
      <c r="AJ128" s="16" t="s">
        <v>268</v>
      </c>
      <c r="AK128" s="16" t="s">
        <v>268</v>
      </c>
      <c r="AL128" s="16" t="s">
        <v>268</v>
      </c>
      <c r="AM128" s="16" t="s">
        <v>268</v>
      </c>
      <c r="AN128" s="128" t="s">
        <v>268</v>
      </c>
      <c r="AO128" s="131">
        <f t="shared" si="7"/>
        <v>11759.372901537556</v>
      </c>
      <c r="AP128" s="128">
        <f t="shared" si="8"/>
        <v>4770.6270984624443</v>
      </c>
    </row>
    <row r="129" spans="1:42" s="162" customFormat="1" ht="18.75" customHeight="1">
      <c r="A129" s="125">
        <v>1271</v>
      </c>
      <c r="B129" s="125">
        <f>VLOOKUP(C129,'station changes (20-21)'!$A$3:$D$298,4,)</f>
        <v>130</v>
      </c>
      <c r="C129" s="125">
        <v>1271</v>
      </c>
      <c r="D129" s="126" t="s">
        <v>536</v>
      </c>
      <c r="E129" s="126" t="s">
        <v>537</v>
      </c>
      <c r="F129" s="17">
        <v>43887</v>
      </c>
      <c r="G129" s="127" t="s">
        <v>267</v>
      </c>
      <c r="H129" s="18" t="s">
        <v>243</v>
      </c>
      <c r="I129" s="16" t="s">
        <v>243</v>
      </c>
      <c r="J129" s="16" t="s">
        <v>243</v>
      </c>
      <c r="K129" s="16" t="s">
        <v>243</v>
      </c>
      <c r="L129" s="202" t="s">
        <v>243</v>
      </c>
      <c r="M129" s="202" t="s">
        <v>243</v>
      </c>
      <c r="N129" s="202" t="s">
        <v>243</v>
      </c>
      <c r="O129" s="202">
        <v>6780</v>
      </c>
      <c r="P129" s="202">
        <v>6052</v>
      </c>
      <c r="Q129" s="202">
        <v>5823</v>
      </c>
      <c r="R129" s="202">
        <f>VLOOKUP(B129,'2022 Count Table'!A129:X312,11)</f>
        <v>7338</v>
      </c>
      <c r="S129" s="19">
        <f t="shared" si="5"/>
        <v>7437.5</v>
      </c>
      <c r="T129" s="20">
        <f t="shared" si="6"/>
        <v>2.5000000000000001E-3</v>
      </c>
      <c r="U129" s="21">
        <v>0.48958333333333298</v>
      </c>
      <c r="V129" s="16">
        <v>601</v>
      </c>
      <c r="W129" s="16">
        <v>302</v>
      </c>
      <c r="X129" s="16">
        <v>299</v>
      </c>
      <c r="Y129" s="22">
        <v>9.9306014540647719E-2</v>
      </c>
      <c r="Z129" s="23">
        <v>0.50249584026622296</v>
      </c>
      <c r="AA129" s="21">
        <f>VLOOKUP(B129,'2022 Count Table'!A129:X312,19)</f>
        <v>0.5</v>
      </c>
      <c r="AB129" s="16">
        <f>VLOOKUP($B129,'2022 Count Table'!A129:X312,20)</f>
        <v>756</v>
      </c>
      <c r="AC129" s="16">
        <f>VLOOKUP($B129,'2022 Count Table'!A129:X312,21)</f>
        <v>415</v>
      </c>
      <c r="AD129" s="16">
        <f>VLOOKUP($B129,'2022 Count Table'!A129:X312,22)</f>
        <v>341</v>
      </c>
      <c r="AE129" s="22">
        <f>VLOOKUP($B129,'2022 Count Table'!A129:X312,23)</f>
        <v>0.10302534750613246</v>
      </c>
      <c r="AF129" s="23">
        <f>VLOOKUP($B129,'2022 Count Table'!A129:X312,24)</f>
        <v>0.54894179894179895</v>
      </c>
      <c r="AG129" s="24">
        <v>2</v>
      </c>
      <c r="AH129" s="25">
        <v>30</v>
      </c>
      <c r="AI129" s="18" t="s">
        <v>268</v>
      </c>
      <c r="AJ129" s="16" t="s">
        <v>268</v>
      </c>
      <c r="AK129" s="16" t="s">
        <v>268</v>
      </c>
      <c r="AL129" s="16" t="s">
        <v>268</v>
      </c>
      <c r="AM129" s="16">
        <v>1139</v>
      </c>
      <c r="AN129" s="128">
        <v>1229</v>
      </c>
      <c r="AO129" s="131">
        <f t="shared" si="7"/>
        <v>7548.1277663227038</v>
      </c>
      <c r="AP129" s="128">
        <f t="shared" si="8"/>
        <v>5448.3722336772962</v>
      </c>
    </row>
    <row r="130" spans="1:42" s="162" customFormat="1" ht="18.95" customHeight="1">
      <c r="A130" s="125"/>
      <c r="B130" s="125">
        <v>131</v>
      </c>
      <c r="C130" s="125"/>
      <c r="D130" s="126" t="s">
        <v>845</v>
      </c>
      <c r="E130" s="126" t="s">
        <v>846</v>
      </c>
      <c r="F130" s="17"/>
      <c r="G130" s="127"/>
      <c r="H130" s="18"/>
      <c r="I130" s="16"/>
      <c r="J130" s="16"/>
      <c r="K130" s="16"/>
      <c r="L130" s="202"/>
      <c r="M130" s="202"/>
      <c r="N130" s="202" t="s">
        <v>243</v>
      </c>
      <c r="O130" s="202" t="s">
        <v>243</v>
      </c>
      <c r="P130" s="202" t="s">
        <v>243</v>
      </c>
      <c r="Q130" s="202">
        <v>5583</v>
      </c>
      <c r="R130" s="202">
        <f>VLOOKUP(B130,'2022 Count Table'!A130:X313,11)</f>
        <v>7639</v>
      </c>
      <c r="S130" s="19">
        <f t="shared" si="5"/>
        <v>17919</v>
      </c>
      <c r="T130" s="20">
        <f t="shared" si="6"/>
        <v>0.185</v>
      </c>
      <c r="U130" s="21"/>
      <c r="V130" s="16"/>
      <c r="W130" s="16"/>
      <c r="X130" s="16"/>
      <c r="Y130" s="22"/>
      <c r="Z130" s="23"/>
      <c r="AA130" s="21">
        <f>VLOOKUP(B130,'2022 Count Table'!A130:X313,19)</f>
        <v>0.625</v>
      </c>
      <c r="AB130" s="16">
        <f>VLOOKUP($B130,'2022 Count Table'!A130:X313,20)</f>
        <v>801</v>
      </c>
      <c r="AC130" s="16">
        <f>VLOOKUP($B130,'2022 Count Table'!A130:X313,21)</f>
        <v>368</v>
      </c>
      <c r="AD130" s="16">
        <f>VLOOKUP($B130,'2022 Count Table'!A130:X313,22)</f>
        <v>433</v>
      </c>
      <c r="AE130" s="22">
        <f>VLOOKUP($B130,'2022 Count Table'!A130:X313,23)</f>
        <v>0.104856656630449</v>
      </c>
      <c r="AF130" s="23">
        <f>VLOOKUP($B130,'2022 Count Table'!A130:X313,24)</f>
        <v>0.54057428214731584</v>
      </c>
      <c r="AG130" s="24"/>
      <c r="AH130" s="25"/>
      <c r="AI130" s="18"/>
      <c r="AJ130" s="16"/>
      <c r="AK130" s="16"/>
      <c r="AL130" s="16"/>
      <c r="AM130" s="16"/>
      <c r="AN130" s="128"/>
      <c r="AO130" s="131">
        <f t="shared" si="7"/>
        <v>8410</v>
      </c>
      <c r="AP130" s="128">
        <f t="shared" si="8"/>
        <v>4812</v>
      </c>
    </row>
    <row r="131" spans="1:42" s="205" customFormat="1" ht="18.95" customHeight="1">
      <c r="A131" s="125">
        <v>485</v>
      </c>
      <c r="B131" s="125">
        <f>VLOOKUP(C131,'station changes (20-21)'!$A$3:$D$298,4,)</f>
        <v>132</v>
      </c>
      <c r="C131" s="125">
        <v>485</v>
      </c>
      <c r="D131" s="126" t="s">
        <v>669</v>
      </c>
      <c r="E131" s="126" t="s">
        <v>514</v>
      </c>
      <c r="F131" s="17">
        <v>43859</v>
      </c>
      <c r="G131" s="127" t="s">
        <v>267</v>
      </c>
      <c r="H131" s="18" t="s">
        <v>243</v>
      </c>
      <c r="I131" s="16">
        <v>244</v>
      </c>
      <c r="J131" s="16">
        <v>1852</v>
      </c>
      <c r="K131" s="16">
        <v>7667</v>
      </c>
      <c r="L131" s="202">
        <v>9889</v>
      </c>
      <c r="M131" s="202">
        <v>10385</v>
      </c>
      <c r="N131" s="202">
        <v>12054</v>
      </c>
      <c r="O131" s="202">
        <v>13007</v>
      </c>
      <c r="P131" s="202">
        <v>13318</v>
      </c>
      <c r="Q131" s="202">
        <v>13428</v>
      </c>
      <c r="R131" s="202">
        <f>VLOOKUP(B131,'2022 Count Table'!A131:X314,11)</f>
        <v>16973</v>
      </c>
      <c r="S131" s="19">
        <f t="shared" si="5"/>
        <v>20937.300000000047</v>
      </c>
      <c r="T131" s="20">
        <f t="shared" si="6"/>
        <v>4.2500000000000003E-2</v>
      </c>
      <c r="U131" s="21">
        <v>0.29166666666666702</v>
      </c>
      <c r="V131" s="16">
        <v>1109</v>
      </c>
      <c r="W131" s="16">
        <v>612</v>
      </c>
      <c r="X131" s="16">
        <v>497</v>
      </c>
      <c r="Y131" s="22">
        <v>8.3270761375581925E-2</v>
      </c>
      <c r="Z131" s="23">
        <v>0.55184851217312891</v>
      </c>
      <c r="AA131" s="21">
        <f>VLOOKUP(B131,'2022 Count Table'!A131:X314,19)</f>
        <v>0.52083333333333337</v>
      </c>
      <c r="AB131" s="16">
        <f>VLOOKUP($B131,'2022 Count Table'!A131:X314,20)</f>
        <v>1605</v>
      </c>
      <c r="AC131" s="16">
        <f>VLOOKUP($B131,'2022 Count Table'!A131:X314,21)</f>
        <v>780</v>
      </c>
      <c r="AD131" s="16">
        <f>VLOOKUP($B131,'2022 Count Table'!A131:X314,22)</f>
        <v>825</v>
      </c>
      <c r="AE131" s="22">
        <f>VLOOKUP($B131,'2022 Count Table'!A131:X314,23)</f>
        <v>9.4561951334472399E-2</v>
      </c>
      <c r="AF131" s="23">
        <f>VLOOKUP($B131,'2022 Count Table'!A131:X314,24)</f>
        <v>0.51401869158878499</v>
      </c>
      <c r="AG131" s="24">
        <v>4</v>
      </c>
      <c r="AH131" s="25">
        <v>45</v>
      </c>
      <c r="AI131" s="18" t="s">
        <v>268</v>
      </c>
      <c r="AJ131" s="16" t="s">
        <v>268</v>
      </c>
      <c r="AK131" s="16" t="s">
        <v>268</v>
      </c>
      <c r="AL131" s="16" t="s">
        <v>268</v>
      </c>
      <c r="AM131" s="16" t="s">
        <v>268</v>
      </c>
      <c r="AN131" s="128" t="s">
        <v>268</v>
      </c>
      <c r="AO131" s="131">
        <f t="shared" si="7"/>
        <v>16695.408482160994</v>
      </c>
      <c r="AP131" s="128">
        <f t="shared" si="8"/>
        <v>10816.591517839006</v>
      </c>
    </row>
    <row r="132" spans="1:42" s="162" customFormat="1" ht="18.95" customHeight="1">
      <c r="A132" s="184">
        <v>490</v>
      </c>
      <c r="B132" s="184">
        <f>VLOOKUP(C132,'station changes (20-21)'!$A$3:$D$298,4,)</f>
        <v>133</v>
      </c>
      <c r="C132" s="184">
        <v>490</v>
      </c>
      <c r="D132" s="185" t="s">
        <v>669</v>
      </c>
      <c r="E132" s="185" t="s">
        <v>519</v>
      </c>
      <c r="F132" s="186">
        <v>43859</v>
      </c>
      <c r="G132" s="187" t="s">
        <v>267</v>
      </c>
      <c r="H132" s="188" t="s">
        <v>243</v>
      </c>
      <c r="I132" s="189">
        <v>7208</v>
      </c>
      <c r="J132" s="189">
        <v>11024</v>
      </c>
      <c r="K132" s="189">
        <v>14669</v>
      </c>
      <c r="L132" s="174">
        <v>8521</v>
      </c>
      <c r="M132" s="174">
        <v>16983</v>
      </c>
      <c r="N132" s="174">
        <v>16677</v>
      </c>
      <c r="O132" s="174">
        <v>16307</v>
      </c>
      <c r="P132" s="174">
        <v>16420</v>
      </c>
      <c r="Q132" s="174">
        <v>15670</v>
      </c>
      <c r="R132" s="174">
        <f>VLOOKUP(B132,'2022 Count Table'!A132:X315,11)</f>
        <v>17949</v>
      </c>
      <c r="S132" s="175">
        <f t="shared" si="5"/>
        <v>17939.499999999942</v>
      </c>
      <c r="T132" s="176">
        <f t="shared" si="6"/>
        <v>0</v>
      </c>
      <c r="U132" s="192">
        <v>0.48958333333333298</v>
      </c>
      <c r="V132" s="189">
        <v>1559</v>
      </c>
      <c r="W132" s="189">
        <v>874</v>
      </c>
      <c r="X132" s="189">
        <v>685</v>
      </c>
      <c r="Y132" s="193">
        <v>9.4945188794153465E-2</v>
      </c>
      <c r="Z132" s="194">
        <v>0.56061577934573448</v>
      </c>
      <c r="AA132" s="192">
        <f>VLOOKUP(B132,'2022 Count Table'!A132:X315,19)</f>
        <v>0.5</v>
      </c>
      <c r="AB132" s="189">
        <f>VLOOKUP($B132,'2022 Count Table'!A132:X315,20)</f>
        <v>1713</v>
      </c>
      <c r="AC132" s="189">
        <f>VLOOKUP($B132,'2022 Count Table'!A132:X315,21)</f>
        <v>825</v>
      </c>
      <c r="AD132" s="189">
        <f>VLOOKUP($B132,'2022 Count Table'!A132:X315,22)</f>
        <v>888</v>
      </c>
      <c r="AE132" s="193">
        <f>VLOOKUP($B132,'2022 Count Table'!A132:X315,23)</f>
        <v>9.5437071703158946E-2</v>
      </c>
      <c r="AF132" s="194">
        <f>VLOOKUP($B132,'2022 Count Table'!A132:X315,24)</f>
        <v>0.51838879159369522</v>
      </c>
      <c r="AG132" s="195">
        <v>2</v>
      </c>
      <c r="AH132" s="196">
        <v>30</v>
      </c>
      <c r="AI132" s="188" t="s">
        <v>268</v>
      </c>
      <c r="AJ132" s="189" t="s">
        <v>268</v>
      </c>
      <c r="AK132" s="189" t="s">
        <v>268</v>
      </c>
      <c r="AL132" s="189" t="s">
        <v>268</v>
      </c>
      <c r="AM132" s="189" t="s">
        <v>268</v>
      </c>
      <c r="AN132" s="197" t="s">
        <v>268</v>
      </c>
      <c r="AO132" s="198">
        <f t="shared" si="7"/>
        <v>17916.230125073373</v>
      </c>
      <c r="AP132" s="197">
        <f t="shared" si="8"/>
        <v>15292.969874926623</v>
      </c>
    </row>
    <row r="133" spans="1:42" s="205" customFormat="1" ht="18.95" customHeight="1">
      <c r="A133" s="184">
        <v>352</v>
      </c>
      <c r="B133" s="184">
        <f>VLOOKUP(C133,'station changes (20-21)'!$A$3:$D$298,4,)</f>
        <v>134</v>
      </c>
      <c r="C133" s="184">
        <v>352</v>
      </c>
      <c r="D133" s="185" t="s">
        <v>441</v>
      </c>
      <c r="E133" s="185" t="s">
        <v>442</v>
      </c>
      <c r="F133" s="186">
        <v>43865</v>
      </c>
      <c r="G133" s="187" t="s">
        <v>267</v>
      </c>
      <c r="H133" s="188">
        <v>17646</v>
      </c>
      <c r="I133" s="189">
        <v>14697</v>
      </c>
      <c r="J133" s="189">
        <v>20049</v>
      </c>
      <c r="K133" s="189">
        <v>17090</v>
      </c>
      <c r="L133" s="174">
        <v>20847</v>
      </c>
      <c r="M133" s="174">
        <v>20955</v>
      </c>
      <c r="N133" s="174">
        <v>20786</v>
      </c>
      <c r="O133" s="174">
        <v>21462</v>
      </c>
      <c r="P133" s="174">
        <v>20939</v>
      </c>
      <c r="Q133" s="174">
        <v>20056</v>
      </c>
      <c r="R133" s="174">
        <f>VLOOKUP(B133,'2022 Count Table'!A133:X316,11)</f>
        <v>19234</v>
      </c>
      <c r="S133" s="175">
        <f t="shared" si="5"/>
        <v>17338.400000000023</v>
      </c>
      <c r="T133" s="176">
        <f t="shared" si="6"/>
        <v>0</v>
      </c>
      <c r="U133" s="192">
        <v>0.45833333333333298</v>
      </c>
      <c r="V133" s="189">
        <v>1937</v>
      </c>
      <c r="W133" s="189">
        <v>967</v>
      </c>
      <c r="X133" s="189">
        <v>970</v>
      </c>
      <c r="Y133" s="193">
        <v>9.2506805482592297E-2</v>
      </c>
      <c r="Z133" s="194">
        <v>0.50077439339184304</v>
      </c>
      <c r="AA133" s="192">
        <f>VLOOKUP(B133,'2022 Count Table'!A133:X316,19)</f>
        <v>0.5</v>
      </c>
      <c r="AB133" s="189">
        <f>VLOOKUP($B133,'2022 Count Table'!A133:X316,20)</f>
        <v>1745</v>
      </c>
      <c r="AC133" s="189">
        <f>VLOOKUP($B133,'2022 Count Table'!A133:X316,21)</f>
        <v>855</v>
      </c>
      <c r="AD133" s="189">
        <f>VLOOKUP($B133,'2022 Count Table'!A133:X316,22)</f>
        <v>890</v>
      </c>
      <c r="AE133" s="193">
        <f>VLOOKUP($B133,'2022 Count Table'!A133:X316,23)</f>
        <v>9.0724758240615572E-2</v>
      </c>
      <c r="AF133" s="194">
        <f>VLOOKUP($B133,'2022 Count Table'!A133:X316,24)</f>
        <v>0.51002865329512892</v>
      </c>
      <c r="AG133" s="195">
        <v>4</v>
      </c>
      <c r="AH133" s="196">
        <v>35</v>
      </c>
      <c r="AI133" s="188" t="s">
        <v>268</v>
      </c>
      <c r="AJ133" s="189" t="s">
        <v>268</v>
      </c>
      <c r="AK133" s="189" t="s">
        <v>268</v>
      </c>
      <c r="AL133" s="189" t="s">
        <v>268</v>
      </c>
      <c r="AM133" s="189" t="s">
        <v>268</v>
      </c>
      <c r="AN133" s="197" t="s">
        <v>268</v>
      </c>
      <c r="AO133" s="198">
        <f t="shared" si="7"/>
        <v>21850.887056374941</v>
      </c>
      <c r="AP133" s="197">
        <f t="shared" si="8"/>
        <v>19139.912943625062</v>
      </c>
    </row>
    <row r="134" spans="1:42" s="162" customFormat="1" ht="18.95" customHeight="1">
      <c r="A134" s="184">
        <v>149</v>
      </c>
      <c r="B134" s="184">
        <f>VLOOKUP(C134,'station changes (20-21)'!$A$3:$D$298,4,)</f>
        <v>135</v>
      </c>
      <c r="C134" s="184">
        <v>149</v>
      </c>
      <c r="D134" s="185" t="s">
        <v>371</v>
      </c>
      <c r="E134" s="185" t="s">
        <v>372</v>
      </c>
      <c r="F134" s="186">
        <v>43844</v>
      </c>
      <c r="G134" s="187" t="s">
        <v>267</v>
      </c>
      <c r="H134" s="188">
        <v>17570</v>
      </c>
      <c r="I134" s="189">
        <v>15153</v>
      </c>
      <c r="J134" s="189">
        <v>17643</v>
      </c>
      <c r="K134" s="189">
        <v>19601</v>
      </c>
      <c r="L134" s="189">
        <v>18886</v>
      </c>
      <c r="M134" s="189">
        <v>19664</v>
      </c>
      <c r="N134" s="189">
        <v>19148</v>
      </c>
      <c r="O134" s="189">
        <v>19270</v>
      </c>
      <c r="P134" s="189">
        <v>20490</v>
      </c>
      <c r="Q134" s="189">
        <v>19390</v>
      </c>
      <c r="R134" s="189">
        <f>VLOOKUP(B134,'2022 Count Table'!A134:X317,11)</f>
        <v>17841</v>
      </c>
      <c r="S134" s="175">
        <f t="shared" si="5"/>
        <v>17482</v>
      </c>
      <c r="T134" s="176">
        <f t="shared" si="6"/>
        <v>0</v>
      </c>
      <c r="U134" s="192">
        <v>0.48958333333333298</v>
      </c>
      <c r="V134" s="189">
        <v>1923</v>
      </c>
      <c r="W134" s="189">
        <v>983</v>
      </c>
      <c r="X134" s="189">
        <v>940</v>
      </c>
      <c r="Y134" s="193">
        <v>9.3850658857979496E-2</v>
      </c>
      <c r="Z134" s="194">
        <v>0.51118044721788869</v>
      </c>
      <c r="AA134" s="192">
        <f>VLOOKUP(B134,'2022 Count Table'!A134:X317,19)</f>
        <v>0.59375</v>
      </c>
      <c r="AB134" s="189">
        <f>VLOOKUP($B134,'2022 Count Table'!A134:X317,20)</f>
        <v>1575</v>
      </c>
      <c r="AC134" s="189">
        <f>VLOOKUP($B134,'2022 Count Table'!A134:X317,21)</f>
        <v>765</v>
      </c>
      <c r="AD134" s="189">
        <f>VLOOKUP($B134,'2022 Count Table'!A134:X317,22)</f>
        <v>810</v>
      </c>
      <c r="AE134" s="193">
        <f>VLOOKUP($B134,'2022 Count Table'!A134:X317,23)</f>
        <v>8.8279804943669077E-2</v>
      </c>
      <c r="AF134" s="194">
        <f>VLOOKUP($B134,'2022 Count Table'!A134:X317,24)</f>
        <v>0.51428571428571423</v>
      </c>
      <c r="AG134" s="195">
        <v>4</v>
      </c>
      <c r="AH134" s="196">
        <v>35</v>
      </c>
      <c r="AI134" s="188" t="s">
        <v>268</v>
      </c>
      <c r="AJ134" s="189" t="s">
        <v>268</v>
      </c>
      <c r="AK134" s="189" t="s">
        <v>268</v>
      </c>
      <c r="AL134" s="189" t="s">
        <v>268</v>
      </c>
      <c r="AM134" s="189" t="s">
        <v>268</v>
      </c>
      <c r="AN134" s="197" t="s">
        <v>268</v>
      </c>
      <c r="AO134" s="198">
        <f t="shared" si="7"/>
        <v>20702.546669770778</v>
      </c>
      <c r="AP134" s="197">
        <f t="shared" si="8"/>
        <v>17753.053330229221</v>
      </c>
    </row>
    <row r="135" spans="1:42" s="205" customFormat="1" ht="18.95" customHeight="1">
      <c r="A135" s="125">
        <v>155</v>
      </c>
      <c r="B135" s="125">
        <f>VLOOKUP(C135,'station changes (20-21)'!$A$3:$D$298,4,)</f>
        <v>136</v>
      </c>
      <c r="C135" s="125">
        <v>155</v>
      </c>
      <c r="D135" s="126" t="s">
        <v>371</v>
      </c>
      <c r="E135" s="126" t="s">
        <v>373</v>
      </c>
      <c r="F135" s="17">
        <v>43865</v>
      </c>
      <c r="G135" s="127" t="s">
        <v>267</v>
      </c>
      <c r="H135" s="18">
        <v>16146</v>
      </c>
      <c r="I135" s="16">
        <v>17058</v>
      </c>
      <c r="J135" s="16">
        <v>15471</v>
      </c>
      <c r="K135" s="16">
        <v>13140</v>
      </c>
      <c r="L135" s="202">
        <v>15861</v>
      </c>
      <c r="M135" s="202">
        <v>15816</v>
      </c>
      <c r="N135" s="202">
        <v>15327</v>
      </c>
      <c r="O135" s="202">
        <v>15599</v>
      </c>
      <c r="P135" s="202">
        <v>15979</v>
      </c>
      <c r="Q135" s="202">
        <v>15314</v>
      </c>
      <c r="R135" s="202">
        <f>VLOOKUP(B135,'2022 Count Table'!A135:X318,11)</f>
        <v>14555</v>
      </c>
      <c r="S135" s="19">
        <f t="shared" ref="S135:S198" si="9">_xlfn.FORECAST.LINEAR($S$5,$N135:$R135,$N$5:$R$5)</f>
        <v>14074.5</v>
      </c>
      <c r="T135" s="20">
        <f t="shared" ref="T135:T198" si="10">IF(S135&lt;R135,0,MROUND((S135/R135)^(1/5)-1,0.0025))</f>
        <v>0</v>
      </c>
      <c r="U135" s="21">
        <v>0.44791666666666702</v>
      </c>
      <c r="V135" s="16">
        <v>1526</v>
      </c>
      <c r="W135" s="16">
        <v>775</v>
      </c>
      <c r="X135" s="16">
        <v>751</v>
      </c>
      <c r="Y135" s="22">
        <v>9.5500344201764814E-2</v>
      </c>
      <c r="Z135" s="23">
        <v>0.50786369593709046</v>
      </c>
      <c r="AA135" s="21">
        <f>VLOOKUP(B135,'2022 Count Table'!A135:X318,19)</f>
        <v>0.5</v>
      </c>
      <c r="AB135" s="16">
        <f>VLOOKUP($B135,'2022 Count Table'!A135:X318,20)</f>
        <v>1372</v>
      </c>
      <c r="AC135" s="16">
        <f>VLOOKUP($B135,'2022 Count Table'!A135:X318,21)</f>
        <v>706</v>
      </c>
      <c r="AD135" s="16">
        <f>VLOOKUP($B135,'2022 Count Table'!A135:X318,22)</f>
        <v>666</v>
      </c>
      <c r="AE135" s="22">
        <f>VLOOKUP($B135,'2022 Count Table'!A135:X318,23)</f>
        <v>9.426313981449673E-2</v>
      </c>
      <c r="AF135" s="23">
        <f>VLOOKUP($B135,'2022 Count Table'!A135:X318,24)</f>
        <v>0.51457725947521871</v>
      </c>
      <c r="AG135" s="24">
        <v>4</v>
      </c>
      <c r="AH135" s="25">
        <v>35</v>
      </c>
      <c r="AI135" s="18" t="s">
        <v>268</v>
      </c>
      <c r="AJ135" s="16" t="s">
        <v>268</v>
      </c>
      <c r="AK135" s="16" t="s">
        <v>268</v>
      </c>
      <c r="AL135" s="16" t="s">
        <v>268</v>
      </c>
      <c r="AM135" s="16" t="s">
        <v>268</v>
      </c>
      <c r="AN135" s="128" t="s">
        <v>268</v>
      </c>
      <c r="AO135" s="131">
        <f t="shared" ref="AO135:AO198" si="11">AVERAGE(N135:R135)+_xlfn.STDEV.P(N135:R135)*1.75</f>
        <v>16172.399101026902</v>
      </c>
      <c r="AP135" s="128">
        <f t="shared" ref="AP135:AP198" si="12">AVERAGE(N135:R135)-_xlfn.STDEV.P(N135:R135)*1.75</f>
        <v>14537.200898973097</v>
      </c>
    </row>
    <row r="136" spans="1:42" s="162" customFormat="1" ht="18.95" customHeight="1">
      <c r="A136" s="125">
        <v>119</v>
      </c>
      <c r="B136" s="125">
        <f>VLOOKUP(C136,'station changes (20-21)'!$A$3:$D$298,4,)</f>
        <v>137</v>
      </c>
      <c r="C136" s="125">
        <v>119</v>
      </c>
      <c r="D136" s="126" t="s">
        <v>357</v>
      </c>
      <c r="E136" s="126" t="s">
        <v>358</v>
      </c>
      <c r="F136" s="17">
        <v>43887</v>
      </c>
      <c r="G136" s="127" t="s">
        <v>267</v>
      </c>
      <c r="H136" s="18">
        <v>18077</v>
      </c>
      <c r="I136" s="16">
        <v>15510.341984732824</v>
      </c>
      <c r="J136" s="16">
        <v>19109</v>
      </c>
      <c r="K136" s="16">
        <v>21272</v>
      </c>
      <c r="L136" s="202">
        <v>19149</v>
      </c>
      <c r="M136" s="202">
        <v>19506</v>
      </c>
      <c r="N136" s="202">
        <v>20625</v>
      </c>
      <c r="O136" s="202">
        <v>19961</v>
      </c>
      <c r="P136" s="202">
        <v>20394</v>
      </c>
      <c r="Q136" s="202">
        <v>19318</v>
      </c>
      <c r="R136" s="202">
        <f>VLOOKUP(B136,'2022 Count Table'!A136:X319,11)</f>
        <v>16966</v>
      </c>
      <c r="S136" s="19">
        <f t="shared" si="9"/>
        <v>13880.100000000093</v>
      </c>
      <c r="T136" s="20">
        <f t="shared" si="10"/>
        <v>0</v>
      </c>
      <c r="U136" s="21">
        <v>0.48958333333333298</v>
      </c>
      <c r="V136" s="16">
        <v>1860</v>
      </c>
      <c r="W136" s="16">
        <v>943</v>
      </c>
      <c r="X136" s="16">
        <v>917</v>
      </c>
      <c r="Y136" s="22">
        <v>9.1203295086790231E-2</v>
      </c>
      <c r="Z136" s="23">
        <v>0.50698924731182793</v>
      </c>
      <c r="AA136" s="21">
        <f>VLOOKUP(B136,'2022 Count Table'!A136:X319,19)</f>
        <v>0.51041666666666663</v>
      </c>
      <c r="AB136" s="16">
        <f>VLOOKUP($B136,'2022 Count Table'!A136:X319,20)</f>
        <v>1609</v>
      </c>
      <c r="AC136" s="16">
        <f>VLOOKUP($B136,'2022 Count Table'!A136:X319,21)</f>
        <v>782</v>
      </c>
      <c r="AD136" s="16">
        <f>VLOOKUP($B136,'2022 Count Table'!A136:X319,22)</f>
        <v>827</v>
      </c>
      <c r="AE136" s="22">
        <f>VLOOKUP($B136,'2022 Count Table'!A136:X319,23)</f>
        <v>9.483673228810563E-2</v>
      </c>
      <c r="AF136" s="23">
        <f>VLOOKUP($B136,'2022 Count Table'!A136:X319,24)</f>
        <v>0.51398384089496585</v>
      </c>
      <c r="AG136" s="24">
        <v>2</v>
      </c>
      <c r="AH136" s="25">
        <v>35</v>
      </c>
      <c r="AI136" s="18">
        <v>4524</v>
      </c>
      <c r="AJ136" s="16">
        <v>2249</v>
      </c>
      <c r="AK136" s="16">
        <v>2116</v>
      </c>
      <c r="AL136" s="16">
        <v>1886</v>
      </c>
      <c r="AM136" s="16">
        <v>2233</v>
      </c>
      <c r="AN136" s="128">
        <v>2040</v>
      </c>
      <c r="AO136" s="131">
        <f t="shared" si="11"/>
        <v>21763.929640457238</v>
      </c>
      <c r="AP136" s="128">
        <f t="shared" si="12"/>
        <v>17141.670359542761</v>
      </c>
    </row>
    <row r="137" spans="1:42" s="205" customFormat="1" ht="18.95" customHeight="1">
      <c r="A137" s="210">
        <v>128</v>
      </c>
      <c r="B137" s="210">
        <f>VLOOKUP(C137,'station changes (20-21)'!$A$3:$D$298,4,)</f>
        <v>138</v>
      </c>
      <c r="C137" s="210">
        <v>128</v>
      </c>
      <c r="D137" s="211" t="s">
        <v>360</v>
      </c>
      <c r="E137" s="211" t="s">
        <v>361</v>
      </c>
      <c r="F137" s="212">
        <v>43865</v>
      </c>
      <c r="G137" s="213" t="s">
        <v>267</v>
      </c>
      <c r="H137" s="214">
        <v>9198</v>
      </c>
      <c r="I137" s="215">
        <v>10857</v>
      </c>
      <c r="J137" s="215">
        <v>11903</v>
      </c>
      <c r="K137" s="215">
        <v>10057</v>
      </c>
      <c r="L137" s="216">
        <v>12669</v>
      </c>
      <c r="M137" s="216">
        <v>12551</v>
      </c>
      <c r="N137" s="216">
        <v>11369</v>
      </c>
      <c r="O137" s="216">
        <v>11368</v>
      </c>
      <c r="P137" s="216">
        <v>11474</v>
      </c>
      <c r="Q137" s="216">
        <v>10995</v>
      </c>
      <c r="R137" s="216">
        <f>VLOOKUP(B137,'2022 Count Table'!A137:X320,11)</f>
        <v>10260</v>
      </c>
      <c r="S137" s="217">
        <f t="shared" si="9"/>
        <v>9279.5</v>
      </c>
      <c r="T137" s="218">
        <f t="shared" si="10"/>
        <v>0</v>
      </c>
      <c r="U137" s="219">
        <v>0.4375</v>
      </c>
      <c r="V137" s="215">
        <v>1104</v>
      </c>
      <c r="W137" s="215">
        <v>587</v>
      </c>
      <c r="X137" s="215">
        <v>517</v>
      </c>
      <c r="Y137" s="220">
        <v>9.6217535297193652E-2</v>
      </c>
      <c r="Z137" s="221">
        <v>0.53170289855072461</v>
      </c>
      <c r="AA137" s="219">
        <f>VLOOKUP(B137,'2022 Count Table'!A137:X320,19)</f>
        <v>0.58333333333333337</v>
      </c>
      <c r="AB137" s="215">
        <f>VLOOKUP($B137,'2022 Count Table'!A137:X320,20)</f>
        <v>974</v>
      </c>
      <c r="AC137" s="215">
        <f>VLOOKUP($B137,'2022 Count Table'!A137:X320,21)</f>
        <v>472</v>
      </c>
      <c r="AD137" s="215">
        <f>VLOOKUP($B137,'2022 Count Table'!A137:X320,22)</f>
        <v>502</v>
      </c>
      <c r="AE137" s="220">
        <f>VLOOKUP($B137,'2022 Count Table'!A137:X320,23)</f>
        <v>9.4931773879142298E-2</v>
      </c>
      <c r="AF137" s="221">
        <f>VLOOKUP($B137,'2022 Count Table'!A137:X320,24)</f>
        <v>0.5154004106776181</v>
      </c>
      <c r="AG137" s="222">
        <v>4</v>
      </c>
      <c r="AH137" s="223">
        <v>35</v>
      </c>
      <c r="AI137" s="214">
        <v>731</v>
      </c>
      <c r="AJ137" s="215" t="s">
        <v>268</v>
      </c>
      <c r="AK137" s="215" t="s">
        <v>268</v>
      </c>
      <c r="AL137" s="215" t="s">
        <v>268</v>
      </c>
      <c r="AM137" s="215" t="s">
        <v>268</v>
      </c>
      <c r="AN137" s="224" t="s">
        <v>268</v>
      </c>
      <c r="AO137" s="225">
        <f t="shared" si="11"/>
        <v>11876.001740544822</v>
      </c>
      <c r="AP137" s="224">
        <f t="shared" si="12"/>
        <v>10310.39825945518</v>
      </c>
    </row>
    <row r="138" spans="1:42" s="162" customFormat="1" ht="18.95" customHeight="1">
      <c r="A138" s="184">
        <v>222</v>
      </c>
      <c r="B138" s="184">
        <f>VLOOKUP(C138,'station changes (20-21)'!$A$3:$D$298,4,)</f>
        <v>139</v>
      </c>
      <c r="C138" s="184">
        <v>222</v>
      </c>
      <c r="D138" s="185" t="s">
        <v>389</v>
      </c>
      <c r="E138" s="185" t="s">
        <v>390</v>
      </c>
      <c r="F138" s="186">
        <v>43887</v>
      </c>
      <c r="G138" s="187" t="s">
        <v>267</v>
      </c>
      <c r="H138" s="188">
        <v>3993</v>
      </c>
      <c r="I138" s="189">
        <v>3957</v>
      </c>
      <c r="J138" s="189">
        <v>3786</v>
      </c>
      <c r="K138" s="189">
        <v>3694</v>
      </c>
      <c r="L138" s="174">
        <v>3815</v>
      </c>
      <c r="M138" s="174"/>
      <c r="N138" s="174">
        <v>5129</v>
      </c>
      <c r="O138" s="174">
        <v>4909</v>
      </c>
      <c r="P138" s="174">
        <v>4783</v>
      </c>
      <c r="Q138" s="174">
        <v>4599</v>
      </c>
      <c r="R138" s="174">
        <f>VLOOKUP(B138,'2022 Count Table'!A138:X321,11)</f>
        <v>4669</v>
      </c>
      <c r="S138" s="175">
        <f t="shared" si="9"/>
        <v>3956.7999999999884</v>
      </c>
      <c r="T138" s="176">
        <f t="shared" si="10"/>
        <v>0</v>
      </c>
      <c r="U138" s="192">
        <v>0.45833333333333298</v>
      </c>
      <c r="V138" s="189">
        <v>534</v>
      </c>
      <c r="W138" s="189">
        <v>250</v>
      </c>
      <c r="X138" s="189">
        <v>284</v>
      </c>
      <c r="Y138" s="193">
        <v>0.111645410830023</v>
      </c>
      <c r="Z138" s="194">
        <v>0.53183520599250933</v>
      </c>
      <c r="AA138" s="192">
        <f>VLOOKUP(B138,'2022 Count Table'!A138:X321,19)</f>
        <v>0.5</v>
      </c>
      <c r="AB138" s="189">
        <f>VLOOKUP($B138,'2022 Count Table'!A138:X321,20)</f>
        <v>533</v>
      </c>
      <c r="AC138" s="189">
        <f>VLOOKUP($B138,'2022 Count Table'!A138:X321,21)</f>
        <v>265</v>
      </c>
      <c r="AD138" s="189">
        <f>VLOOKUP($B138,'2022 Count Table'!A138:X321,22)</f>
        <v>268</v>
      </c>
      <c r="AE138" s="193">
        <f>VLOOKUP($B138,'2022 Count Table'!A138:X321,23)</f>
        <v>0.11415720711073035</v>
      </c>
      <c r="AF138" s="194">
        <f>VLOOKUP($B138,'2022 Count Table'!A138:X321,24)</f>
        <v>0.50281425891181986</v>
      </c>
      <c r="AG138" s="195">
        <v>2</v>
      </c>
      <c r="AH138" s="196">
        <v>30</v>
      </c>
      <c r="AI138" s="188">
        <v>2139</v>
      </c>
      <c r="AJ138" s="189">
        <v>1332</v>
      </c>
      <c r="AK138" s="189">
        <v>1200</v>
      </c>
      <c r="AL138" s="189">
        <v>1344</v>
      </c>
      <c r="AM138" s="189">
        <v>1424</v>
      </c>
      <c r="AN138" s="197">
        <v>1806</v>
      </c>
      <c r="AO138" s="198">
        <f t="shared" si="11"/>
        <v>5146.4915575429341</v>
      </c>
      <c r="AP138" s="197">
        <f t="shared" si="12"/>
        <v>4489.1084424570663</v>
      </c>
    </row>
    <row r="139" spans="1:42" s="205" customFormat="1" ht="18.95" customHeight="1">
      <c r="A139" s="125">
        <v>228</v>
      </c>
      <c r="B139" s="210">
        <f>VLOOKUP(C139,'station changes (20-21)'!$A$3:$D$298,4,)</f>
        <v>140</v>
      </c>
      <c r="C139" s="125">
        <v>228</v>
      </c>
      <c r="D139" s="126" t="s">
        <v>389</v>
      </c>
      <c r="E139" s="126" t="s">
        <v>391</v>
      </c>
      <c r="F139" s="17">
        <v>43852</v>
      </c>
      <c r="G139" s="127" t="s">
        <v>267</v>
      </c>
      <c r="H139" s="18">
        <v>2273</v>
      </c>
      <c r="I139" s="16">
        <v>4480</v>
      </c>
      <c r="J139" s="16">
        <v>4129</v>
      </c>
      <c r="K139" s="16">
        <v>2988</v>
      </c>
      <c r="L139" s="202">
        <v>5078</v>
      </c>
      <c r="M139" s="202">
        <v>5997</v>
      </c>
      <c r="N139" s="202">
        <v>5561</v>
      </c>
      <c r="O139" s="202">
        <v>4993</v>
      </c>
      <c r="P139" s="202">
        <v>4933</v>
      </c>
      <c r="Q139" s="202" t="s">
        <v>243</v>
      </c>
      <c r="R139" s="202">
        <f>VLOOKUP(B139,'2022 Count Table'!A139:X322,11)</f>
        <v>5173</v>
      </c>
      <c r="S139" s="19">
        <f>_xlfn.FORECAST.LINEAR($S$5,$N139:$R139,$N$5:$R$5)</f>
        <v>4664.5428571428638</v>
      </c>
      <c r="T139" s="20">
        <f t="shared" si="10"/>
        <v>0</v>
      </c>
      <c r="U139" s="21">
        <v>0.30208333333333298</v>
      </c>
      <c r="V139" s="16">
        <v>344</v>
      </c>
      <c r="W139" s="16">
        <v>242</v>
      </c>
      <c r="X139" s="16">
        <v>102</v>
      </c>
      <c r="Y139" s="22">
        <v>6.9734441516318676E-2</v>
      </c>
      <c r="Z139" s="23">
        <v>0.70348837209302328</v>
      </c>
      <c r="AA139" s="21">
        <f>VLOOKUP(B139,'2022 Count Table'!A139:X322,19)</f>
        <v>0.51041666666666663</v>
      </c>
      <c r="AB139" s="16">
        <f>VLOOKUP($B139,'2022 Count Table'!A139:X322,20)</f>
        <v>549</v>
      </c>
      <c r="AC139" s="16">
        <f>VLOOKUP($B139,'2022 Count Table'!A139:X322,21)</f>
        <v>293</v>
      </c>
      <c r="AD139" s="16">
        <f>VLOOKUP($B139,'2022 Count Table'!A139:X322,22)</f>
        <v>256</v>
      </c>
      <c r="AE139" s="22">
        <f>VLOOKUP($B139,'2022 Count Table'!A139:X322,23)</f>
        <v>0.10612797216315484</v>
      </c>
      <c r="AF139" s="23">
        <f>VLOOKUP($B139,'2022 Count Table'!A139:X322,24)</f>
        <v>0.5336976320582878</v>
      </c>
      <c r="AG139" s="24">
        <v>2</v>
      </c>
      <c r="AH139" s="25">
        <v>30</v>
      </c>
      <c r="AI139" s="18">
        <v>1814</v>
      </c>
      <c r="AJ139" s="16" t="s">
        <v>268</v>
      </c>
      <c r="AK139" s="16" t="s">
        <v>268</v>
      </c>
      <c r="AL139" s="16" t="s">
        <v>268</v>
      </c>
      <c r="AM139" s="16" t="s">
        <v>268</v>
      </c>
      <c r="AN139" s="128" t="s">
        <v>268</v>
      </c>
      <c r="AO139" s="131">
        <f t="shared" si="11"/>
        <v>5593.9178242973821</v>
      </c>
      <c r="AP139" s="128">
        <f t="shared" si="12"/>
        <v>4736.0821757026179</v>
      </c>
    </row>
    <row r="140" spans="1:42" s="162" customFormat="1" ht="18.95" customHeight="1">
      <c r="A140" s="184">
        <v>231</v>
      </c>
      <c r="B140" s="184">
        <f>VLOOKUP(C140,'station changes (20-21)'!$A$3:$D$298,4,)</f>
        <v>141</v>
      </c>
      <c r="C140" s="184">
        <v>231</v>
      </c>
      <c r="D140" s="185" t="s">
        <v>389</v>
      </c>
      <c r="E140" s="185" t="s">
        <v>392</v>
      </c>
      <c r="F140" s="186">
        <v>43873</v>
      </c>
      <c r="G140" s="187" t="s">
        <v>267</v>
      </c>
      <c r="H140" s="188">
        <v>5123</v>
      </c>
      <c r="I140" s="189">
        <v>5131</v>
      </c>
      <c r="J140" s="189">
        <v>5401</v>
      </c>
      <c r="K140" s="189">
        <v>5209</v>
      </c>
      <c r="L140" s="174">
        <v>6976</v>
      </c>
      <c r="M140" s="174">
        <v>6773</v>
      </c>
      <c r="N140" s="174">
        <v>6483</v>
      </c>
      <c r="O140" s="174">
        <v>5866</v>
      </c>
      <c r="P140" s="174">
        <v>5642</v>
      </c>
      <c r="Q140" s="174">
        <v>5373</v>
      </c>
      <c r="R140" s="174">
        <f>VLOOKUP(B140,'2022 Count Table'!A140:X323,11)</f>
        <v>6191</v>
      </c>
      <c r="S140" s="175">
        <f t="shared" si="9"/>
        <v>5157.1000000000058</v>
      </c>
      <c r="T140" s="176">
        <f t="shared" si="10"/>
        <v>0</v>
      </c>
      <c r="U140" s="192">
        <v>0.46875</v>
      </c>
      <c r="V140" s="189">
        <v>539</v>
      </c>
      <c r="W140" s="189">
        <v>252</v>
      </c>
      <c r="X140" s="189">
        <v>287</v>
      </c>
      <c r="Y140" s="193">
        <v>9.553349875930521E-2</v>
      </c>
      <c r="Z140" s="194">
        <v>0.53246753246753242</v>
      </c>
      <c r="AA140" s="192">
        <f>VLOOKUP(B140,'2022 Count Table'!A140:X323,19)</f>
        <v>0.5</v>
      </c>
      <c r="AB140" s="189">
        <f>VLOOKUP($B140,'2022 Count Table'!A140:X323,20)</f>
        <v>630</v>
      </c>
      <c r="AC140" s="189">
        <f>VLOOKUP($B140,'2022 Count Table'!A140:X323,21)</f>
        <v>278</v>
      </c>
      <c r="AD140" s="189">
        <f>VLOOKUP($B140,'2022 Count Table'!A140:X323,22)</f>
        <v>352</v>
      </c>
      <c r="AE140" s="193">
        <f>VLOOKUP($B140,'2022 Count Table'!A140:X323,23)</f>
        <v>0.10176062025520917</v>
      </c>
      <c r="AF140" s="194">
        <f>VLOOKUP($B140,'2022 Count Table'!A140:X323,24)</f>
        <v>0.55873015873015874</v>
      </c>
      <c r="AG140" s="195">
        <v>2</v>
      </c>
      <c r="AH140" s="196">
        <v>25</v>
      </c>
      <c r="AI140" s="188">
        <v>1786</v>
      </c>
      <c r="AJ140" s="189" t="s">
        <v>268</v>
      </c>
      <c r="AK140" s="189" t="s">
        <v>268</v>
      </c>
      <c r="AL140" s="189" t="s">
        <v>268</v>
      </c>
      <c r="AM140" s="189" t="s">
        <v>268</v>
      </c>
      <c r="AN140" s="197" t="s">
        <v>268</v>
      </c>
      <c r="AO140" s="198">
        <f t="shared" si="11"/>
        <v>6597.4882191268835</v>
      </c>
      <c r="AP140" s="197">
        <f t="shared" si="12"/>
        <v>5224.5117808731165</v>
      </c>
    </row>
    <row r="141" spans="1:42" s="205" customFormat="1" ht="18.95" customHeight="1">
      <c r="A141" s="125">
        <v>237</v>
      </c>
      <c r="B141" s="125">
        <f>VLOOKUP(C141,'station changes (20-21)'!$A$3:$D$298,4,)</f>
        <v>142</v>
      </c>
      <c r="C141" s="125">
        <v>237</v>
      </c>
      <c r="D141" s="126" t="s">
        <v>389</v>
      </c>
      <c r="E141" s="126" t="s">
        <v>393</v>
      </c>
      <c r="F141" s="17">
        <v>43887</v>
      </c>
      <c r="G141" s="127" t="s">
        <v>267</v>
      </c>
      <c r="H141" s="18">
        <v>4796</v>
      </c>
      <c r="I141" s="16">
        <v>5248</v>
      </c>
      <c r="J141" s="16">
        <v>4681</v>
      </c>
      <c r="K141" s="16">
        <v>4811</v>
      </c>
      <c r="L141" s="202">
        <v>4957</v>
      </c>
      <c r="M141" s="202"/>
      <c r="N141" s="202">
        <v>7099</v>
      </c>
      <c r="O141" s="202">
        <v>6664</v>
      </c>
      <c r="P141" s="202">
        <v>7113</v>
      </c>
      <c r="Q141" s="202">
        <v>6826</v>
      </c>
      <c r="R141" s="202">
        <f>VLOOKUP(B141,'2022 Count Table'!A141:X324,11)</f>
        <v>7857</v>
      </c>
      <c r="S141" s="19">
        <f t="shared" si="9"/>
        <v>8286.4000000000233</v>
      </c>
      <c r="T141" s="20">
        <f t="shared" si="10"/>
        <v>0.01</v>
      </c>
      <c r="U141" s="21">
        <v>0.46875</v>
      </c>
      <c r="V141" s="16">
        <v>760</v>
      </c>
      <c r="W141" s="16">
        <v>407</v>
      </c>
      <c r="X141" s="16">
        <v>353</v>
      </c>
      <c r="Y141" s="22">
        <v>0.10684661886686349</v>
      </c>
      <c r="Z141" s="23">
        <v>0.53552631578947374</v>
      </c>
      <c r="AA141" s="21">
        <f>VLOOKUP(B141,'2022 Count Table'!A141:X324,19)</f>
        <v>0.5</v>
      </c>
      <c r="AB141" s="16">
        <f>VLOOKUP($B141,'2022 Count Table'!A141:X324,20)</f>
        <v>805</v>
      </c>
      <c r="AC141" s="16">
        <f>VLOOKUP($B141,'2022 Count Table'!A141:X324,21)</f>
        <v>441</v>
      </c>
      <c r="AD141" s="16">
        <f>VLOOKUP($B141,'2022 Count Table'!A141:X324,22)</f>
        <v>364</v>
      </c>
      <c r="AE141" s="22">
        <f>VLOOKUP($B141,'2022 Count Table'!A141:X324,23)</f>
        <v>0.10245640829833269</v>
      </c>
      <c r="AF141" s="23">
        <f>VLOOKUP($B141,'2022 Count Table'!A141:X324,24)</f>
        <v>0.54782608695652169</v>
      </c>
      <c r="AG141" s="24">
        <v>2</v>
      </c>
      <c r="AH141" s="25">
        <v>25</v>
      </c>
      <c r="AI141" s="18">
        <v>3100</v>
      </c>
      <c r="AJ141" s="16">
        <v>2441</v>
      </c>
      <c r="AK141" s="16">
        <v>3196</v>
      </c>
      <c r="AL141" s="16">
        <v>1900</v>
      </c>
      <c r="AM141" s="16">
        <v>1958</v>
      </c>
      <c r="AN141" s="128">
        <v>2577</v>
      </c>
      <c r="AO141" s="131">
        <f t="shared" si="11"/>
        <v>7828.1016578230156</v>
      </c>
      <c r="AP141" s="128">
        <f t="shared" si="12"/>
        <v>6395.4983421769848</v>
      </c>
    </row>
    <row r="142" spans="1:42" s="162" customFormat="1" ht="18.95" customHeight="1">
      <c r="A142" s="184">
        <v>240</v>
      </c>
      <c r="B142" s="184">
        <f>VLOOKUP(C142,'station changes (20-21)'!$A$3:$D$298,4,)</f>
        <v>143</v>
      </c>
      <c r="C142" s="184">
        <v>240</v>
      </c>
      <c r="D142" s="185" t="s">
        <v>389</v>
      </c>
      <c r="E142" s="185" t="s">
        <v>394</v>
      </c>
      <c r="F142" s="186">
        <v>43859</v>
      </c>
      <c r="G142" s="187" t="s">
        <v>267</v>
      </c>
      <c r="H142" s="188">
        <v>4572</v>
      </c>
      <c r="I142" s="189">
        <v>5674</v>
      </c>
      <c r="J142" s="189">
        <v>5073</v>
      </c>
      <c r="K142" s="189">
        <v>4818</v>
      </c>
      <c r="L142" s="174">
        <v>5029</v>
      </c>
      <c r="M142" s="174">
        <v>7302</v>
      </c>
      <c r="N142" s="174">
        <v>6687</v>
      </c>
      <c r="O142" s="174">
        <v>6734</v>
      </c>
      <c r="P142" s="174">
        <v>6059</v>
      </c>
      <c r="Q142" s="174">
        <v>5748</v>
      </c>
      <c r="R142" s="174">
        <f>VLOOKUP(B142,'2022 Count Table'!A142:X325,11)</f>
        <v>7015</v>
      </c>
      <c r="S142" s="175">
        <f t="shared" si="9"/>
        <v>6217.6000000000058</v>
      </c>
      <c r="T142" s="176">
        <f t="shared" si="10"/>
        <v>0</v>
      </c>
      <c r="U142" s="192">
        <v>0.46875</v>
      </c>
      <c r="V142" s="189">
        <v>597</v>
      </c>
      <c r="W142" s="189">
        <v>336</v>
      </c>
      <c r="X142" s="189">
        <v>261</v>
      </c>
      <c r="Y142" s="193">
        <v>9.8531110744347256E-2</v>
      </c>
      <c r="Z142" s="194">
        <v>0.56281407035175879</v>
      </c>
      <c r="AA142" s="192">
        <f>VLOOKUP(B142,'2022 Count Table'!A142:X325,19)</f>
        <v>0.5</v>
      </c>
      <c r="AB142" s="189">
        <f>VLOOKUP($B142,'2022 Count Table'!A142:X325,20)</f>
        <v>745</v>
      </c>
      <c r="AC142" s="189">
        <f>VLOOKUP($B142,'2022 Count Table'!A142:X325,21)</f>
        <v>379</v>
      </c>
      <c r="AD142" s="189">
        <f>VLOOKUP($B142,'2022 Count Table'!A142:X325,22)</f>
        <v>366</v>
      </c>
      <c r="AE142" s="193">
        <f>VLOOKUP($B142,'2022 Count Table'!A142:X325,23)</f>
        <v>0.10620099786172488</v>
      </c>
      <c r="AF142" s="194">
        <f>VLOOKUP($B142,'2022 Count Table'!A142:X325,24)</f>
        <v>0.50872483221476505</v>
      </c>
      <c r="AG142" s="195">
        <v>2</v>
      </c>
      <c r="AH142" s="196">
        <v>35</v>
      </c>
      <c r="AI142" s="188">
        <v>3006</v>
      </c>
      <c r="AJ142" s="189" t="s">
        <v>268</v>
      </c>
      <c r="AK142" s="189" t="s">
        <v>268</v>
      </c>
      <c r="AL142" s="189" t="s">
        <v>268</v>
      </c>
      <c r="AM142" s="189" t="s">
        <v>268</v>
      </c>
      <c r="AN142" s="197" t="s">
        <v>268</v>
      </c>
      <c r="AO142" s="198">
        <f t="shared" si="11"/>
        <v>7270.0661800707321</v>
      </c>
      <c r="AP142" s="197">
        <f t="shared" si="12"/>
        <v>5627.1338199292686</v>
      </c>
    </row>
    <row r="143" spans="1:42" s="205" customFormat="1" ht="18.95" customHeight="1">
      <c r="A143" s="125">
        <v>243</v>
      </c>
      <c r="B143" s="125">
        <f>VLOOKUP(C143,'station changes (20-21)'!$A$3:$D$298,4,)</f>
        <v>144</v>
      </c>
      <c r="C143" s="125">
        <v>243</v>
      </c>
      <c r="D143" s="126" t="s">
        <v>389</v>
      </c>
      <c r="E143" s="126" t="s">
        <v>395</v>
      </c>
      <c r="F143" s="17">
        <v>43859</v>
      </c>
      <c r="G143" s="127" t="s">
        <v>267</v>
      </c>
      <c r="H143" s="18">
        <v>4042</v>
      </c>
      <c r="I143" s="16">
        <v>4008</v>
      </c>
      <c r="J143" s="16">
        <v>4544</v>
      </c>
      <c r="K143" s="16">
        <v>3007</v>
      </c>
      <c r="L143" s="202">
        <v>6540</v>
      </c>
      <c r="M143" s="202">
        <v>7538</v>
      </c>
      <c r="N143" s="202">
        <v>6369</v>
      </c>
      <c r="O143" s="202">
        <v>5630</v>
      </c>
      <c r="P143" s="202">
        <v>5635</v>
      </c>
      <c r="Q143" s="202">
        <v>5485</v>
      </c>
      <c r="R143" s="202">
        <f>VLOOKUP(B143,'2022 Count Table'!A143:X326,11)</f>
        <v>6792</v>
      </c>
      <c r="S143" s="19">
        <f t="shared" si="9"/>
        <v>6472.8999999999942</v>
      </c>
      <c r="T143" s="20">
        <f t="shared" si="10"/>
        <v>0</v>
      </c>
      <c r="U143" s="21">
        <v>0.48958333333333298</v>
      </c>
      <c r="V143" s="16">
        <v>508</v>
      </c>
      <c r="W143" s="16">
        <v>313</v>
      </c>
      <c r="X143" s="16">
        <v>195</v>
      </c>
      <c r="Y143" s="22">
        <v>9.0150842945873999E-2</v>
      </c>
      <c r="Z143" s="23">
        <v>0.61614173228346458</v>
      </c>
      <c r="AA143" s="21">
        <f>VLOOKUP(B143,'2022 Count Table'!A143:X326,19)</f>
        <v>0.51041666666666663</v>
      </c>
      <c r="AB143" s="16">
        <f>VLOOKUP($B143,'2022 Count Table'!A143:X326,20)</f>
        <v>712</v>
      </c>
      <c r="AC143" s="16">
        <f>VLOOKUP($B143,'2022 Count Table'!A143:X326,21)</f>
        <v>346</v>
      </c>
      <c r="AD143" s="16">
        <f>VLOOKUP($B143,'2022 Count Table'!A143:X326,22)</f>
        <v>366</v>
      </c>
      <c r="AE143" s="22">
        <f>VLOOKUP($B143,'2022 Count Table'!A143:X326,23)</f>
        <v>0.10482921083627797</v>
      </c>
      <c r="AF143" s="23">
        <f>VLOOKUP($B143,'2022 Count Table'!A143:X326,24)</f>
        <v>0.5140449438202247</v>
      </c>
      <c r="AG143" s="24">
        <v>2</v>
      </c>
      <c r="AH143" s="25">
        <v>30</v>
      </c>
      <c r="AI143" s="18">
        <v>2949</v>
      </c>
      <c r="AJ143" s="16" t="s">
        <v>268</v>
      </c>
      <c r="AK143" s="16" t="s">
        <v>268</v>
      </c>
      <c r="AL143" s="16" t="s">
        <v>268</v>
      </c>
      <c r="AM143" s="16" t="s">
        <v>268</v>
      </c>
      <c r="AN143" s="128" t="s">
        <v>268</v>
      </c>
      <c r="AO143" s="131">
        <f t="shared" si="11"/>
        <v>6873.563766932446</v>
      </c>
      <c r="AP143" s="128">
        <f t="shared" si="12"/>
        <v>5090.8362330675536</v>
      </c>
    </row>
    <row r="144" spans="1:42" s="162" customFormat="1" ht="18.95" customHeight="1" outlineLevel="1">
      <c r="A144" s="184">
        <v>246</v>
      </c>
      <c r="B144" s="184">
        <f>VLOOKUP(C144,'station changes (20-21)'!$A$3:$D$298,4,)</f>
        <v>145</v>
      </c>
      <c r="C144" s="184">
        <v>246</v>
      </c>
      <c r="D144" s="185" t="s">
        <v>389</v>
      </c>
      <c r="E144" s="185" t="s">
        <v>396</v>
      </c>
      <c r="F144" s="186">
        <v>43887</v>
      </c>
      <c r="G144" s="187" t="s">
        <v>267</v>
      </c>
      <c r="H144" s="188">
        <v>4372</v>
      </c>
      <c r="I144" s="189">
        <v>5598</v>
      </c>
      <c r="J144" s="189">
        <v>4768</v>
      </c>
      <c r="K144" s="189">
        <v>2916</v>
      </c>
      <c r="L144" s="174">
        <v>4722</v>
      </c>
      <c r="M144" s="174">
        <v>6210</v>
      </c>
      <c r="N144" s="174">
        <v>6297</v>
      </c>
      <c r="O144" s="174">
        <v>6186</v>
      </c>
      <c r="P144" s="174">
        <v>6591</v>
      </c>
      <c r="Q144" s="174">
        <v>6301</v>
      </c>
      <c r="R144" s="174">
        <f>VLOOKUP(B144,'2022 Count Table'!A144:X327,11)</f>
        <v>6500</v>
      </c>
      <c r="S144" s="175">
        <f t="shared" si="9"/>
        <v>6739.6999999999971</v>
      </c>
      <c r="T144" s="176">
        <f t="shared" si="10"/>
        <v>7.4999999999999997E-3</v>
      </c>
      <c r="U144" s="192">
        <v>0.47916666666666702</v>
      </c>
      <c r="V144" s="189">
        <v>731</v>
      </c>
      <c r="W144" s="189">
        <v>332</v>
      </c>
      <c r="X144" s="189">
        <v>399</v>
      </c>
      <c r="Y144" s="193">
        <v>0.11090881505082688</v>
      </c>
      <c r="Z144" s="194">
        <v>0.54582763337893292</v>
      </c>
      <c r="AA144" s="192">
        <f>VLOOKUP(B144,'2022 Count Table'!A144:X327,19)</f>
        <v>0.5</v>
      </c>
      <c r="AB144" s="189">
        <f>VLOOKUP($B144,'2022 Count Table'!A144:X327,20)</f>
        <v>692</v>
      </c>
      <c r="AC144" s="189">
        <f>VLOOKUP($B144,'2022 Count Table'!A144:X327,21)</f>
        <v>296</v>
      </c>
      <c r="AD144" s="189">
        <f>VLOOKUP($B144,'2022 Count Table'!A144:X327,22)</f>
        <v>396</v>
      </c>
      <c r="AE144" s="193">
        <f>VLOOKUP($B144,'2022 Count Table'!A144:X327,23)</f>
        <v>0.10646153846153845</v>
      </c>
      <c r="AF144" s="194">
        <f>VLOOKUP($B144,'2022 Count Table'!A144:X327,24)</f>
        <v>0.5722543352601156</v>
      </c>
      <c r="AG144" s="195">
        <v>2</v>
      </c>
      <c r="AH144" s="196">
        <v>25</v>
      </c>
      <c r="AI144" s="188">
        <v>2948</v>
      </c>
      <c r="AJ144" s="189">
        <v>1856</v>
      </c>
      <c r="AK144" s="189">
        <v>1671</v>
      </c>
      <c r="AL144" s="189">
        <v>1522</v>
      </c>
      <c r="AM144" s="189">
        <v>1493</v>
      </c>
      <c r="AN144" s="197">
        <v>1909</v>
      </c>
      <c r="AO144" s="198">
        <f t="shared" si="11"/>
        <v>6634.0496574018198</v>
      </c>
      <c r="AP144" s="197">
        <f t="shared" si="12"/>
        <v>6115.9503425981802</v>
      </c>
    </row>
    <row r="145" spans="1:42" s="162" customFormat="1" ht="18.95" customHeight="1">
      <c r="A145" s="184">
        <v>482</v>
      </c>
      <c r="B145" s="184">
        <f>VLOOKUP(C145,'station changes (20-21)'!$A$3:$D$298,4,)</f>
        <v>146</v>
      </c>
      <c r="C145" s="184">
        <v>482</v>
      </c>
      <c r="D145" s="185" t="s">
        <v>389</v>
      </c>
      <c r="E145" s="185" t="s">
        <v>512</v>
      </c>
      <c r="F145" s="186">
        <v>43859</v>
      </c>
      <c r="G145" s="187" t="s">
        <v>267</v>
      </c>
      <c r="H145" s="188">
        <v>5310</v>
      </c>
      <c r="I145" s="189">
        <v>10461.1</v>
      </c>
      <c r="J145" s="189">
        <v>6791</v>
      </c>
      <c r="K145" s="189">
        <v>5334</v>
      </c>
      <c r="L145" s="174">
        <v>9697</v>
      </c>
      <c r="M145" s="174">
        <v>8624</v>
      </c>
      <c r="N145" s="174">
        <v>9556</v>
      </c>
      <c r="O145" s="174">
        <v>9051</v>
      </c>
      <c r="P145" s="174">
        <v>9785</v>
      </c>
      <c r="Q145" s="174">
        <v>9330</v>
      </c>
      <c r="R145" s="174">
        <f>VLOOKUP(B145,'2022 Count Table'!A145:X328,11)</f>
        <v>11040</v>
      </c>
      <c r="S145" s="175">
        <f t="shared" si="9"/>
        <v>12025.300000000047</v>
      </c>
      <c r="T145" s="176">
        <f t="shared" si="10"/>
        <v>1.7500000000000002E-2</v>
      </c>
      <c r="U145" s="192">
        <v>0.47916666666666702</v>
      </c>
      <c r="V145" s="189">
        <v>980</v>
      </c>
      <c r="W145" s="189">
        <v>490</v>
      </c>
      <c r="X145" s="189">
        <v>490</v>
      </c>
      <c r="Y145" s="193">
        <v>0.10015329586101175</v>
      </c>
      <c r="Z145" s="194">
        <v>0.5</v>
      </c>
      <c r="AA145" s="192">
        <f>VLOOKUP(B145,'2022 Count Table'!A145:X328,19)</f>
        <v>0.5</v>
      </c>
      <c r="AB145" s="189">
        <f>VLOOKUP($B145,'2022 Count Table'!A145:X328,20)</f>
        <v>1152</v>
      </c>
      <c r="AC145" s="189">
        <f>VLOOKUP($B145,'2022 Count Table'!A145:X328,21)</f>
        <v>574</v>
      </c>
      <c r="AD145" s="189">
        <f>VLOOKUP($B145,'2022 Count Table'!A145:X328,22)</f>
        <v>578</v>
      </c>
      <c r="AE145" s="193">
        <f>VLOOKUP($B145,'2022 Count Table'!A145:X328,23)</f>
        <v>0.10434782608695652</v>
      </c>
      <c r="AF145" s="194">
        <f>VLOOKUP($B145,'2022 Count Table'!A145:X328,24)</f>
        <v>0.50173611111111116</v>
      </c>
      <c r="AG145" s="195">
        <v>2</v>
      </c>
      <c r="AH145" s="196">
        <v>30</v>
      </c>
      <c r="AI145" s="188">
        <v>2431</v>
      </c>
      <c r="AJ145" s="189" t="s">
        <v>268</v>
      </c>
      <c r="AK145" s="189" t="s">
        <v>268</v>
      </c>
      <c r="AL145" s="189" t="s">
        <v>268</v>
      </c>
      <c r="AM145" s="189" t="s">
        <v>268</v>
      </c>
      <c r="AN145" s="197" t="s">
        <v>268</v>
      </c>
      <c r="AO145" s="198">
        <f t="shared" si="11"/>
        <v>10956.708550579959</v>
      </c>
      <c r="AP145" s="197">
        <f t="shared" si="12"/>
        <v>8548.0914494200406</v>
      </c>
    </row>
    <row r="146" spans="1:42" s="205" customFormat="1" ht="18.95" customHeight="1">
      <c r="A146" s="184">
        <v>492</v>
      </c>
      <c r="B146" s="184">
        <f>VLOOKUP(C146,'station changes (20-21)'!$A$3:$D$298,4,)</f>
        <v>147</v>
      </c>
      <c r="C146" s="184">
        <v>492</v>
      </c>
      <c r="D146" s="185" t="s">
        <v>673</v>
      </c>
      <c r="E146" s="185" t="s">
        <v>521</v>
      </c>
      <c r="F146" s="186">
        <v>43844</v>
      </c>
      <c r="G146" s="187" t="s">
        <v>267</v>
      </c>
      <c r="H146" s="188" t="s">
        <v>243</v>
      </c>
      <c r="I146" s="189">
        <v>3702</v>
      </c>
      <c r="J146" s="189">
        <v>4899</v>
      </c>
      <c r="K146" s="189">
        <v>4600</v>
      </c>
      <c r="L146" s="174">
        <v>4410</v>
      </c>
      <c r="M146" s="174">
        <v>4470</v>
      </c>
      <c r="N146" s="174">
        <v>4242</v>
      </c>
      <c r="O146" s="174">
        <v>4319</v>
      </c>
      <c r="P146" s="174">
        <v>4447</v>
      </c>
      <c r="Q146" s="174">
        <v>4388</v>
      </c>
      <c r="R146" s="174">
        <f>VLOOKUP(B146,'2022 Count Table'!A146:X329,11)</f>
        <v>3876</v>
      </c>
      <c r="S146" s="175">
        <f t="shared" si="9"/>
        <v>3790.2999999999884</v>
      </c>
      <c r="T146" s="176">
        <f t="shared" si="10"/>
        <v>0</v>
      </c>
      <c r="U146" s="192">
        <v>0.48958333333333298</v>
      </c>
      <c r="V146" s="189">
        <v>434</v>
      </c>
      <c r="W146" s="189">
        <v>236</v>
      </c>
      <c r="X146" s="189">
        <v>198</v>
      </c>
      <c r="Y146" s="193">
        <v>9.7593883516977745E-2</v>
      </c>
      <c r="Z146" s="194">
        <v>0.54377880184331795</v>
      </c>
      <c r="AA146" s="192">
        <f>VLOOKUP(B146,'2022 Count Table'!A146:X329,19)</f>
        <v>0.60416666666666663</v>
      </c>
      <c r="AB146" s="189">
        <f>VLOOKUP($B146,'2022 Count Table'!A146:X329,20)</f>
        <v>453</v>
      </c>
      <c r="AC146" s="189">
        <f>VLOOKUP($B146,'2022 Count Table'!A146:X329,21)</f>
        <v>258</v>
      </c>
      <c r="AD146" s="189">
        <f>VLOOKUP($B146,'2022 Count Table'!A146:X329,22)</f>
        <v>195</v>
      </c>
      <c r="AE146" s="193">
        <f>VLOOKUP($B146,'2022 Count Table'!A146:X329,23)</f>
        <v>0.11687306501547988</v>
      </c>
      <c r="AF146" s="194">
        <f>VLOOKUP($B146,'2022 Count Table'!A146:X329,24)</f>
        <v>0.56953642384105962</v>
      </c>
      <c r="AG146" s="195">
        <v>2</v>
      </c>
      <c r="AH146" s="196">
        <v>35</v>
      </c>
      <c r="AI146" s="188" t="s">
        <v>268</v>
      </c>
      <c r="AJ146" s="189" t="s">
        <v>268</v>
      </c>
      <c r="AK146" s="189" t="s">
        <v>268</v>
      </c>
      <c r="AL146" s="189" t="s">
        <v>268</v>
      </c>
      <c r="AM146" s="189" t="s">
        <v>268</v>
      </c>
      <c r="AN146" s="197" t="s">
        <v>268</v>
      </c>
      <c r="AO146" s="198">
        <f t="shared" si="11"/>
        <v>4606.5434863801966</v>
      </c>
      <c r="AP146" s="197">
        <f t="shared" si="12"/>
        <v>3902.2565136198027</v>
      </c>
    </row>
    <row r="147" spans="1:42" s="162" customFormat="1" ht="18.95" customHeight="1">
      <c r="A147" s="125">
        <v>480</v>
      </c>
      <c r="B147" s="125">
        <f>VLOOKUP(C147,'station changes (20-21)'!$A$3:$D$298,4,)</f>
        <v>148</v>
      </c>
      <c r="C147" s="125">
        <v>480</v>
      </c>
      <c r="D147" s="126" t="s">
        <v>510</v>
      </c>
      <c r="E147" s="126" t="s">
        <v>511</v>
      </c>
      <c r="F147" s="17">
        <v>43844</v>
      </c>
      <c r="G147" s="127" t="s">
        <v>267</v>
      </c>
      <c r="H147" s="18">
        <v>3415</v>
      </c>
      <c r="I147" s="16">
        <v>4382</v>
      </c>
      <c r="J147" s="16">
        <v>3923</v>
      </c>
      <c r="K147" s="16">
        <v>3332</v>
      </c>
      <c r="L147" s="202">
        <v>4026</v>
      </c>
      <c r="M147" s="202">
        <v>4944</v>
      </c>
      <c r="N147" s="202">
        <v>4539</v>
      </c>
      <c r="O147" s="202">
        <v>4230</v>
      </c>
      <c r="P147" s="202">
        <v>3790</v>
      </c>
      <c r="Q147" s="202">
        <v>3669</v>
      </c>
      <c r="R147" s="202">
        <f>VLOOKUP(B147,'2022 Count Table'!A147:X330,11)</f>
        <v>4706</v>
      </c>
      <c r="S147" s="19">
        <f t="shared" si="9"/>
        <v>4027.9000000000015</v>
      </c>
      <c r="T147" s="20">
        <f t="shared" si="10"/>
        <v>0</v>
      </c>
      <c r="U147" s="21">
        <v>0.45833333333333298</v>
      </c>
      <c r="V147" s="16">
        <v>381</v>
      </c>
      <c r="W147" s="16">
        <v>169</v>
      </c>
      <c r="X147" s="16">
        <v>212</v>
      </c>
      <c r="Y147" s="22">
        <v>0.10052770448548813</v>
      </c>
      <c r="Z147" s="23">
        <v>0.55643044619422577</v>
      </c>
      <c r="AA147" s="21">
        <f>VLOOKUP(B147,'2022 Count Table'!A147:X330,19)</f>
        <v>0.52083333333333337</v>
      </c>
      <c r="AB147" s="16">
        <f>VLOOKUP($B147,'2022 Count Table'!A147:X330,20)</f>
        <v>492</v>
      </c>
      <c r="AC147" s="16">
        <f>VLOOKUP($B147,'2022 Count Table'!A147:X330,21)</f>
        <v>240</v>
      </c>
      <c r="AD147" s="16">
        <f>VLOOKUP($B147,'2022 Count Table'!A147:X330,22)</f>
        <v>252</v>
      </c>
      <c r="AE147" s="22">
        <f>VLOOKUP($B147,'2022 Count Table'!A147:X330,23)</f>
        <v>0.10454738631534212</v>
      </c>
      <c r="AF147" s="23">
        <f>VLOOKUP($B147,'2022 Count Table'!A147:X330,24)</f>
        <v>0.51219512195121952</v>
      </c>
      <c r="AG147" s="24">
        <v>2</v>
      </c>
      <c r="AH147" s="25">
        <v>20</v>
      </c>
      <c r="AI147" s="18">
        <v>1039</v>
      </c>
      <c r="AJ147" s="16" t="s">
        <v>268</v>
      </c>
      <c r="AK147" s="16" t="s">
        <v>268</v>
      </c>
      <c r="AL147" s="16" t="s">
        <v>268</v>
      </c>
      <c r="AM147" s="16" t="s">
        <v>268</v>
      </c>
      <c r="AN147" s="128" t="s">
        <v>268</v>
      </c>
      <c r="AO147" s="131">
        <f t="shared" si="11"/>
        <v>4895.9481967825905</v>
      </c>
      <c r="AP147" s="128">
        <f t="shared" si="12"/>
        <v>3477.6518032174095</v>
      </c>
    </row>
    <row r="148" spans="1:42" s="205" customFormat="1" ht="18.95" customHeight="1">
      <c r="A148" s="184">
        <v>488</v>
      </c>
      <c r="B148" s="184">
        <f>VLOOKUP(C148,'station changes (20-21)'!$A$3:$D$298,4,)</f>
        <v>149</v>
      </c>
      <c r="C148" s="184">
        <v>488</v>
      </c>
      <c r="D148" s="185" t="s">
        <v>670</v>
      </c>
      <c r="E148" s="185" t="s">
        <v>513</v>
      </c>
      <c r="F148" s="186">
        <v>43865</v>
      </c>
      <c r="G148" s="187" t="s">
        <v>267</v>
      </c>
      <c r="H148" s="188" t="s">
        <v>243</v>
      </c>
      <c r="I148" s="189">
        <v>7620</v>
      </c>
      <c r="J148" s="189">
        <v>8219</v>
      </c>
      <c r="K148" s="189">
        <v>7900</v>
      </c>
      <c r="L148" s="174">
        <v>7675</v>
      </c>
      <c r="M148" s="174">
        <v>7873</v>
      </c>
      <c r="N148" s="174">
        <v>8099</v>
      </c>
      <c r="O148" s="174">
        <v>8272</v>
      </c>
      <c r="P148" s="174">
        <v>8187</v>
      </c>
      <c r="Q148" s="174">
        <v>7777</v>
      </c>
      <c r="R148" s="174">
        <f>VLOOKUP(B148,'2022 Count Table'!A148:X331,11)</f>
        <v>9148</v>
      </c>
      <c r="S148" s="175">
        <f t="shared" si="9"/>
        <v>9418.7000000000116</v>
      </c>
      <c r="T148" s="176">
        <f t="shared" si="10"/>
        <v>5.0000000000000001E-3</v>
      </c>
      <c r="U148" s="192">
        <v>0.45833333333333298</v>
      </c>
      <c r="V148" s="189">
        <v>854</v>
      </c>
      <c r="W148" s="189">
        <v>406</v>
      </c>
      <c r="X148" s="189">
        <v>448</v>
      </c>
      <c r="Y148" s="193">
        <v>0.10431171369243923</v>
      </c>
      <c r="Z148" s="194">
        <v>0.52459016393442626</v>
      </c>
      <c r="AA148" s="192">
        <f>VLOOKUP(B148,'2022 Count Table'!A148:X331,19)</f>
        <v>0.5</v>
      </c>
      <c r="AB148" s="189">
        <f>VLOOKUP($B148,'2022 Count Table'!A148:X331,20)</f>
        <v>926</v>
      </c>
      <c r="AC148" s="189">
        <f>VLOOKUP($B148,'2022 Count Table'!A148:X331,21)</f>
        <v>432</v>
      </c>
      <c r="AD148" s="189">
        <f>VLOOKUP($B148,'2022 Count Table'!A148:X331,22)</f>
        <v>494</v>
      </c>
      <c r="AE148" s="193">
        <f>VLOOKUP($B148,'2022 Count Table'!A148:X331,23)</f>
        <v>0.10122431132487976</v>
      </c>
      <c r="AF148" s="194">
        <f>VLOOKUP($B148,'2022 Count Table'!A148:X331,24)</f>
        <v>0.53347732181425489</v>
      </c>
      <c r="AG148" s="195">
        <v>2</v>
      </c>
      <c r="AH148" s="196">
        <v>35</v>
      </c>
      <c r="AI148" s="188" t="s">
        <v>268</v>
      </c>
      <c r="AJ148" s="189" t="s">
        <v>268</v>
      </c>
      <c r="AK148" s="189" t="s">
        <v>268</v>
      </c>
      <c r="AL148" s="189" t="s">
        <v>268</v>
      </c>
      <c r="AM148" s="189" t="s">
        <v>268</v>
      </c>
      <c r="AN148" s="197" t="s">
        <v>268</v>
      </c>
      <c r="AO148" s="198">
        <f t="shared" si="11"/>
        <v>9097.2242158466106</v>
      </c>
      <c r="AP148" s="197">
        <f t="shared" si="12"/>
        <v>7495.9757841533901</v>
      </c>
    </row>
    <row r="149" spans="1:42" s="205" customFormat="1" ht="18.95" customHeight="1">
      <c r="A149" s="184" t="s">
        <v>876</v>
      </c>
      <c r="B149" s="184">
        <v>150</v>
      </c>
      <c r="C149" s="184"/>
      <c r="D149" s="185" t="s">
        <v>670</v>
      </c>
      <c r="E149" s="185" t="s">
        <v>847</v>
      </c>
      <c r="F149" s="186"/>
      <c r="G149" s="187"/>
      <c r="H149" s="188"/>
      <c r="I149" s="189"/>
      <c r="J149" s="189"/>
      <c r="K149" s="189"/>
      <c r="L149" s="174"/>
      <c r="M149" s="174"/>
      <c r="N149" s="174" t="s">
        <v>243</v>
      </c>
      <c r="O149" s="174" t="s">
        <v>243</v>
      </c>
      <c r="P149" s="174" t="s">
        <v>243</v>
      </c>
      <c r="Q149" s="174">
        <v>9591</v>
      </c>
      <c r="R149" s="174">
        <f>VLOOKUP(B149,'2022 Count Table'!A149:X332,11)</f>
        <v>12534</v>
      </c>
      <c r="S149" s="175">
        <f t="shared" si="9"/>
        <v>27249</v>
      </c>
      <c r="T149" s="176">
        <f t="shared" si="10"/>
        <v>0.16750000000000001</v>
      </c>
      <c r="U149" s="192"/>
      <c r="V149" s="189"/>
      <c r="W149" s="189"/>
      <c r="X149" s="189"/>
      <c r="Y149" s="193"/>
      <c r="Z149" s="194"/>
      <c r="AA149" s="192">
        <f>VLOOKUP(B149,'2022 Count Table'!A149:X332,19)</f>
        <v>0.5</v>
      </c>
      <c r="AB149" s="189">
        <f>VLOOKUP($B149,'2022 Count Table'!A149:X332,20)</f>
        <v>1203</v>
      </c>
      <c r="AC149" s="189">
        <f>VLOOKUP($B149,'2022 Count Table'!A149:X332,21)</f>
        <v>609</v>
      </c>
      <c r="AD149" s="189">
        <f>VLOOKUP($B149,'2022 Count Table'!A149:X332,22)</f>
        <v>594</v>
      </c>
      <c r="AE149" s="193">
        <f>VLOOKUP($B149,'2022 Count Table'!A149:X332,23)</f>
        <v>9.5978937290569652E-2</v>
      </c>
      <c r="AF149" s="194">
        <f>VLOOKUP($B149,'2022 Count Table'!A149:X332,24)</f>
        <v>0.50623441396508728</v>
      </c>
      <c r="AG149" s="195"/>
      <c r="AH149" s="196"/>
      <c r="AI149" s="188"/>
      <c r="AJ149" s="189"/>
      <c r="AK149" s="189"/>
      <c r="AL149" s="189"/>
      <c r="AM149" s="189"/>
      <c r="AN149" s="197"/>
      <c r="AO149" s="198">
        <f t="shared" si="11"/>
        <v>13637.625</v>
      </c>
      <c r="AP149" s="197">
        <f t="shared" si="12"/>
        <v>8487.375</v>
      </c>
    </row>
    <row r="150" spans="1:42" s="162" customFormat="1" ht="18.95" customHeight="1">
      <c r="A150" s="184">
        <v>131</v>
      </c>
      <c r="B150" s="184">
        <f>VLOOKUP(C150,'station changes (20-21)'!$A$3:$D$298,4,)</f>
        <v>151</v>
      </c>
      <c r="C150" s="184">
        <v>131</v>
      </c>
      <c r="D150" s="185" t="s">
        <v>362</v>
      </c>
      <c r="E150" s="185" t="s">
        <v>363</v>
      </c>
      <c r="F150" s="186">
        <v>43887</v>
      </c>
      <c r="G150" s="187" t="s">
        <v>267</v>
      </c>
      <c r="H150" s="188">
        <v>6008</v>
      </c>
      <c r="I150" s="189">
        <v>8168</v>
      </c>
      <c r="J150" s="189">
        <v>8004</v>
      </c>
      <c r="K150" s="189">
        <v>8782</v>
      </c>
      <c r="L150" s="174">
        <v>7708</v>
      </c>
      <c r="M150" s="174">
        <v>9218</v>
      </c>
      <c r="N150" s="174">
        <v>8501</v>
      </c>
      <c r="O150" s="174">
        <v>8473</v>
      </c>
      <c r="P150" s="174">
        <v>7932</v>
      </c>
      <c r="Q150" s="174">
        <v>7558</v>
      </c>
      <c r="R150" s="174">
        <f>VLOOKUP(B150,'2022 Count Table'!A150:X333,11)</f>
        <v>7804</v>
      </c>
      <c r="S150" s="175">
        <f t="shared" si="9"/>
        <v>6437.2999999999884</v>
      </c>
      <c r="T150" s="176">
        <f t="shared" si="10"/>
        <v>0</v>
      </c>
      <c r="U150" s="192">
        <v>0.47916666666666702</v>
      </c>
      <c r="V150" s="189">
        <v>778</v>
      </c>
      <c r="W150" s="189">
        <v>334</v>
      </c>
      <c r="X150" s="189">
        <v>444</v>
      </c>
      <c r="Y150" s="193">
        <v>9.8083711548159355E-2</v>
      </c>
      <c r="Z150" s="194">
        <v>0.57069408740359895</v>
      </c>
      <c r="AA150" s="192">
        <f>VLOOKUP(B150,'2022 Count Table'!A150:X333,19)</f>
        <v>0.58333333333333337</v>
      </c>
      <c r="AB150" s="189">
        <f>VLOOKUP($B150,'2022 Count Table'!A150:X333,20)</f>
        <v>797</v>
      </c>
      <c r="AC150" s="189">
        <f>VLOOKUP($B150,'2022 Count Table'!A150:X333,21)</f>
        <v>379</v>
      </c>
      <c r="AD150" s="189">
        <f>VLOOKUP($B150,'2022 Count Table'!A150:X333,22)</f>
        <v>418</v>
      </c>
      <c r="AE150" s="193">
        <f>VLOOKUP($B150,'2022 Count Table'!A150:X333,23)</f>
        <v>0.10212711430035878</v>
      </c>
      <c r="AF150" s="194">
        <f>VLOOKUP($B150,'2022 Count Table'!A150:X333,24)</f>
        <v>0.52446675031367629</v>
      </c>
      <c r="AG150" s="195">
        <v>2</v>
      </c>
      <c r="AH150" s="196">
        <v>25</v>
      </c>
      <c r="AI150" s="188">
        <v>3721</v>
      </c>
      <c r="AJ150" s="189">
        <v>1621</v>
      </c>
      <c r="AK150" s="189">
        <v>1578</v>
      </c>
      <c r="AL150" s="189">
        <v>1580</v>
      </c>
      <c r="AM150" s="189">
        <v>1677</v>
      </c>
      <c r="AN150" s="197">
        <v>1450</v>
      </c>
      <c r="AO150" s="198">
        <f t="shared" si="11"/>
        <v>8707.8141354327345</v>
      </c>
      <c r="AP150" s="197">
        <f t="shared" si="12"/>
        <v>7399.3858645672663</v>
      </c>
    </row>
    <row r="151" spans="1:42" s="205" customFormat="1" ht="18.95" customHeight="1">
      <c r="A151" s="184">
        <v>348</v>
      </c>
      <c r="B151" s="184">
        <f>VLOOKUP(C151,'station changes (20-21)'!$A$3:$D$298,4,)</f>
        <v>152</v>
      </c>
      <c r="C151" s="184">
        <v>348</v>
      </c>
      <c r="D151" s="185" t="s">
        <v>438</v>
      </c>
      <c r="E151" s="185" t="s">
        <v>439</v>
      </c>
      <c r="F151" s="186">
        <v>43865</v>
      </c>
      <c r="G151" s="187" t="s">
        <v>267</v>
      </c>
      <c r="H151" s="188">
        <v>4726</v>
      </c>
      <c r="I151" s="189">
        <v>9279</v>
      </c>
      <c r="J151" s="189">
        <v>14258</v>
      </c>
      <c r="K151" s="189">
        <v>12414</v>
      </c>
      <c r="L151" s="174">
        <v>12836</v>
      </c>
      <c r="M151" s="174">
        <v>13066</v>
      </c>
      <c r="N151" s="174">
        <v>12804</v>
      </c>
      <c r="O151" s="174">
        <v>12447</v>
      </c>
      <c r="P151" s="174">
        <v>12455</v>
      </c>
      <c r="Q151" s="174">
        <v>12098</v>
      </c>
      <c r="R151" s="174">
        <f>VLOOKUP(B151,'2022 Count Table'!A151:X334,11)</f>
        <v>13948</v>
      </c>
      <c r="S151" s="175">
        <f t="shared" si="9"/>
        <v>14107.700000000012</v>
      </c>
      <c r="T151" s="176">
        <f t="shared" si="10"/>
        <v>2.5000000000000001E-3</v>
      </c>
      <c r="U151" s="192">
        <v>0.47916666666666702</v>
      </c>
      <c r="V151" s="189">
        <v>1178</v>
      </c>
      <c r="W151" s="189">
        <v>516</v>
      </c>
      <c r="X151" s="189">
        <v>662</v>
      </c>
      <c r="Y151" s="193">
        <v>9.4580489763147327E-2</v>
      </c>
      <c r="Z151" s="194">
        <v>0.56196943972835312</v>
      </c>
      <c r="AA151" s="192">
        <f>VLOOKUP(B151,'2022 Count Table'!A151:X334,19)</f>
        <v>0.5</v>
      </c>
      <c r="AB151" s="189">
        <f>VLOOKUP($B151,'2022 Count Table'!A151:X334,20)</f>
        <v>1430</v>
      </c>
      <c r="AC151" s="189">
        <f>VLOOKUP($B151,'2022 Count Table'!A151:X334,21)</f>
        <v>724</v>
      </c>
      <c r="AD151" s="189">
        <f>VLOOKUP($B151,'2022 Count Table'!A151:X334,22)</f>
        <v>706</v>
      </c>
      <c r="AE151" s="193">
        <f>VLOOKUP($B151,'2022 Count Table'!A151:X334,23)</f>
        <v>0.10252365930599369</v>
      </c>
      <c r="AF151" s="194">
        <f>VLOOKUP($B151,'2022 Count Table'!A151:X334,24)</f>
        <v>0.50629370629370629</v>
      </c>
      <c r="AG151" s="195">
        <v>4</v>
      </c>
      <c r="AH151" s="196">
        <v>35</v>
      </c>
      <c r="AI151" s="188" t="s">
        <v>268</v>
      </c>
      <c r="AJ151" s="189" t="s">
        <v>268</v>
      </c>
      <c r="AK151" s="189" t="s">
        <v>268</v>
      </c>
      <c r="AL151" s="189" t="s">
        <v>268</v>
      </c>
      <c r="AM151" s="189" t="s">
        <v>268</v>
      </c>
      <c r="AN151" s="197" t="s">
        <v>268</v>
      </c>
      <c r="AO151" s="198">
        <f t="shared" si="11"/>
        <v>13868.773835083779</v>
      </c>
      <c r="AP151" s="197">
        <f t="shared" si="12"/>
        <v>11632.02616491622</v>
      </c>
    </row>
    <row r="152" spans="1:42" s="162" customFormat="1" ht="18.95" customHeight="1">
      <c r="A152" s="125">
        <v>350</v>
      </c>
      <c r="B152" s="125">
        <f>VLOOKUP(C152,'station changes (20-21)'!$A$3:$D$298,4,)</f>
        <v>153</v>
      </c>
      <c r="C152" s="125">
        <v>350</v>
      </c>
      <c r="D152" s="126" t="s">
        <v>438</v>
      </c>
      <c r="E152" s="126" t="s">
        <v>440</v>
      </c>
      <c r="F152" s="17">
        <v>43879</v>
      </c>
      <c r="G152" s="127" t="s">
        <v>267</v>
      </c>
      <c r="H152" s="18">
        <v>2328</v>
      </c>
      <c r="I152" s="16">
        <v>2929</v>
      </c>
      <c r="J152" s="16">
        <v>5171</v>
      </c>
      <c r="K152" s="16">
        <v>3998</v>
      </c>
      <c r="L152" s="202">
        <v>4286</v>
      </c>
      <c r="M152" s="202">
        <v>4565</v>
      </c>
      <c r="N152" s="202">
        <v>4332</v>
      </c>
      <c r="O152" s="202">
        <v>4822</v>
      </c>
      <c r="P152" s="202">
        <v>6048</v>
      </c>
      <c r="Q152" s="202">
        <v>5884</v>
      </c>
      <c r="R152" s="202">
        <f>VLOOKUP(B152,'2022 Count Table'!A152:X335,11)</f>
        <v>6714</v>
      </c>
      <c r="S152" s="19">
        <f t="shared" si="9"/>
        <v>9638.1999999999534</v>
      </c>
      <c r="T152" s="20">
        <f t="shared" si="10"/>
        <v>7.4999999999999997E-2</v>
      </c>
      <c r="U152" s="21">
        <v>0.48958333333333298</v>
      </c>
      <c r="V152" s="16">
        <v>535</v>
      </c>
      <c r="W152" s="16">
        <v>277</v>
      </c>
      <c r="X152" s="16">
        <v>258</v>
      </c>
      <c r="Y152" s="22">
        <v>8.8458994708994709E-2</v>
      </c>
      <c r="Z152" s="23">
        <v>0.51775700934579438</v>
      </c>
      <c r="AA152" s="21">
        <f>VLOOKUP(B152,'2022 Count Table'!A152:X335,19)</f>
        <v>0.5</v>
      </c>
      <c r="AB152" s="16">
        <f>VLOOKUP($B152,'2022 Count Table'!A152:X335,20)</f>
        <v>596</v>
      </c>
      <c r="AC152" s="16">
        <f>VLOOKUP($B152,'2022 Count Table'!A152:X335,21)</f>
        <v>258</v>
      </c>
      <c r="AD152" s="16">
        <f>VLOOKUP($B152,'2022 Count Table'!A152:X335,22)</f>
        <v>338</v>
      </c>
      <c r="AE152" s="22">
        <f>VLOOKUP($B152,'2022 Count Table'!A152:X335,23)</f>
        <v>8.8769734882335416E-2</v>
      </c>
      <c r="AF152" s="23">
        <f>VLOOKUP($B152,'2022 Count Table'!A152:X335,24)</f>
        <v>0.56711409395973156</v>
      </c>
      <c r="AG152" s="24">
        <v>4</v>
      </c>
      <c r="AH152" s="25">
        <v>35</v>
      </c>
      <c r="AI152" s="18" t="s">
        <v>268</v>
      </c>
      <c r="AJ152" s="16" t="s">
        <v>268</v>
      </c>
      <c r="AK152" s="16" t="s">
        <v>268</v>
      </c>
      <c r="AL152" s="16" t="s">
        <v>268</v>
      </c>
      <c r="AM152" s="16" t="s">
        <v>268</v>
      </c>
      <c r="AN152" s="128" t="s">
        <v>268</v>
      </c>
      <c r="AO152" s="131">
        <f t="shared" si="11"/>
        <v>7070.9836862123957</v>
      </c>
      <c r="AP152" s="128">
        <f t="shared" si="12"/>
        <v>4049.0163137876043</v>
      </c>
    </row>
    <row r="153" spans="1:42" s="205" customFormat="1" ht="18.95" customHeight="1">
      <c r="A153" s="125">
        <v>1260</v>
      </c>
      <c r="B153" s="125">
        <f>VLOOKUP(C153,'station changes (20-21)'!$A$3:$D$298,4,)</f>
        <v>154</v>
      </c>
      <c r="C153" s="125">
        <v>1260</v>
      </c>
      <c r="D153" s="126" t="s">
        <v>675</v>
      </c>
      <c r="E153" s="126" t="s">
        <v>534</v>
      </c>
      <c r="F153" s="17">
        <v>43879</v>
      </c>
      <c r="G153" s="127" t="s">
        <v>267</v>
      </c>
      <c r="H153" s="18" t="s">
        <v>243</v>
      </c>
      <c r="I153" s="16" t="s">
        <v>243</v>
      </c>
      <c r="J153" s="16" t="s">
        <v>243</v>
      </c>
      <c r="K153" s="16" t="s">
        <v>243</v>
      </c>
      <c r="L153" s="202" t="s">
        <v>243</v>
      </c>
      <c r="M153" s="202" t="s">
        <v>243</v>
      </c>
      <c r="N153" s="202">
        <v>8776</v>
      </c>
      <c r="O153" s="202">
        <v>9949</v>
      </c>
      <c r="P153" s="202">
        <v>13347</v>
      </c>
      <c r="Q153" s="202">
        <v>12814</v>
      </c>
      <c r="R153" s="202">
        <f>VLOOKUP(B153,'2022 Count Table'!A153:X336,11)</f>
        <v>16624</v>
      </c>
      <c r="S153" s="19">
        <f>_xlfn.FORECAST.LINEAR($S$5,$N153:$R153,$N$5:$R$5)</f>
        <v>25294.699999999721</v>
      </c>
      <c r="T153" s="20">
        <f t="shared" si="10"/>
        <v>8.7500000000000008E-2</v>
      </c>
      <c r="U153" s="21">
        <v>0.47916666666666702</v>
      </c>
      <c r="V153" s="16">
        <v>1202</v>
      </c>
      <c r="W153" s="16">
        <v>558</v>
      </c>
      <c r="X153" s="16">
        <v>644</v>
      </c>
      <c r="Y153" s="22">
        <v>9.0057690866861467E-2</v>
      </c>
      <c r="Z153" s="23">
        <v>0.53577371048252909</v>
      </c>
      <c r="AA153" s="21">
        <f>VLOOKUP(B153,'2022 Count Table'!A153:X336,19)</f>
        <v>0.5</v>
      </c>
      <c r="AB153" s="16">
        <f>VLOOKUP($B153,'2022 Count Table'!A153:X336,20)</f>
        <v>1506</v>
      </c>
      <c r="AC153" s="16">
        <f>VLOOKUP($B153,'2022 Count Table'!A153:X336,21)</f>
        <v>734</v>
      </c>
      <c r="AD153" s="16">
        <f>VLOOKUP($B153,'2022 Count Table'!A153:X336,22)</f>
        <v>772</v>
      </c>
      <c r="AE153" s="22">
        <f>VLOOKUP($B153,'2022 Count Table'!A153:X336,23)</f>
        <v>9.0591915303176132E-2</v>
      </c>
      <c r="AF153" s="23">
        <f>VLOOKUP($B153,'2022 Count Table'!A153:X336,24)</f>
        <v>0.51261620185922974</v>
      </c>
      <c r="AG153" s="24">
        <v>4</v>
      </c>
      <c r="AH153" s="25">
        <v>35</v>
      </c>
      <c r="AI153" s="18" t="s">
        <v>268</v>
      </c>
      <c r="AJ153" s="16" t="s">
        <v>268</v>
      </c>
      <c r="AK153" s="16" t="s">
        <v>268</v>
      </c>
      <c r="AL153" s="16" t="s">
        <v>268</v>
      </c>
      <c r="AM153" s="16" t="s">
        <v>268</v>
      </c>
      <c r="AN153" s="128" t="s">
        <v>268</v>
      </c>
      <c r="AO153" s="131">
        <f t="shared" si="11"/>
        <v>17126.616256760739</v>
      </c>
      <c r="AP153" s="128">
        <f t="shared" si="12"/>
        <v>7477.383743239262</v>
      </c>
    </row>
    <row r="154" spans="1:42" s="162" customFormat="1" ht="18.95" customHeight="1">
      <c r="A154" s="184">
        <v>1270</v>
      </c>
      <c r="B154" s="184">
        <f>VLOOKUP(C154,'station changes (20-21)'!$A$3:$D$298,4,)</f>
        <v>155</v>
      </c>
      <c r="C154" s="184">
        <v>1270</v>
      </c>
      <c r="D154" s="185" t="s">
        <v>675</v>
      </c>
      <c r="E154" s="185" t="s">
        <v>535</v>
      </c>
      <c r="F154" s="186">
        <v>43859</v>
      </c>
      <c r="G154" s="187" t="s">
        <v>267</v>
      </c>
      <c r="H154" s="188" t="s">
        <v>243</v>
      </c>
      <c r="I154" s="189" t="s">
        <v>243</v>
      </c>
      <c r="J154" s="189" t="s">
        <v>243</v>
      </c>
      <c r="K154" s="189" t="s">
        <v>243</v>
      </c>
      <c r="L154" s="174" t="s">
        <v>243</v>
      </c>
      <c r="M154" s="174" t="s">
        <v>243</v>
      </c>
      <c r="N154" s="174">
        <v>12839</v>
      </c>
      <c r="O154" s="174">
        <v>13949</v>
      </c>
      <c r="P154" s="174">
        <v>15291</v>
      </c>
      <c r="Q154" s="174">
        <v>14776</v>
      </c>
      <c r="R154" s="174">
        <f>VLOOKUP(B154,'2022 Count Table'!A154:X337,11)</f>
        <v>19101</v>
      </c>
      <c r="S154" s="175">
        <f t="shared" si="9"/>
        <v>24536.899999999907</v>
      </c>
      <c r="T154" s="176">
        <f t="shared" si="10"/>
        <v>5.2499999999999998E-2</v>
      </c>
      <c r="U154" s="192">
        <v>0.48958333333333298</v>
      </c>
      <c r="V154" s="189">
        <v>1475</v>
      </c>
      <c r="W154" s="189">
        <v>748</v>
      </c>
      <c r="X154" s="189">
        <v>727</v>
      </c>
      <c r="Y154" s="193">
        <v>9.6461971094107646E-2</v>
      </c>
      <c r="Z154" s="194">
        <v>0.50711864406779661</v>
      </c>
      <c r="AA154" s="192">
        <f>VLOOKUP(B154,'2022 Count Table'!A154:X337,19)</f>
        <v>0.52083333333333337</v>
      </c>
      <c r="AB154" s="189">
        <f>VLOOKUP($B154,'2022 Count Table'!A154:X337,20)</f>
        <v>1755</v>
      </c>
      <c r="AC154" s="189">
        <f>VLOOKUP($B154,'2022 Count Table'!A154:X337,21)</f>
        <v>826</v>
      </c>
      <c r="AD154" s="189">
        <f>VLOOKUP($B154,'2022 Count Table'!A154:X337,22)</f>
        <v>929</v>
      </c>
      <c r="AE154" s="193">
        <f>VLOOKUP($B154,'2022 Count Table'!A154:X337,23)</f>
        <v>9.1880006282393595E-2</v>
      </c>
      <c r="AF154" s="194">
        <f>VLOOKUP($B154,'2022 Count Table'!A154:X337,24)</f>
        <v>0.52934472934472931</v>
      </c>
      <c r="AG154" s="195">
        <v>4</v>
      </c>
      <c r="AH154" s="196">
        <v>35</v>
      </c>
      <c r="AI154" s="188" t="s">
        <v>268</v>
      </c>
      <c r="AJ154" s="189" t="s">
        <v>268</v>
      </c>
      <c r="AK154" s="189" t="s">
        <v>268</v>
      </c>
      <c r="AL154" s="189" t="s">
        <v>268</v>
      </c>
      <c r="AM154" s="189" t="s">
        <v>268</v>
      </c>
      <c r="AN154" s="197" t="s">
        <v>268</v>
      </c>
      <c r="AO154" s="198">
        <f t="shared" si="11"/>
        <v>18907.203981429513</v>
      </c>
      <c r="AP154" s="197">
        <f t="shared" si="12"/>
        <v>11475.196018570488</v>
      </c>
    </row>
    <row r="155" spans="1:42" s="205" customFormat="1" ht="18.95" customHeight="1">
      <c r="A155" s="125">
        <v>283</v>
      </c>
      <c r="B155" s="125">
        <f>VLOOKUP(C155,'station changes (20-21)'!$A$3:$D$298,4,)</f>
        <v>156</v>
      </c>
      <c r="C155" s="125">
        <v>283</v>
      </c>
      <c r="D155" s="126" t="s">
        <v>414</v>
      </c>
      <c r="E155" s="126" t="s">
        <v>415</v>
      </c>
      <c r="F155" s="17">
        <v>43844</v>
      </c>
      <c r="G155" s="127" t="s">
        <v>267</v>
      </c>
      <c r="H155" s="18">
        <v>17683</v>
      </c>
      <c r="I155" s="16">
        <v>14734</v>
      </c>
      <c r="J155" s="16">
        <v>19125</v>
      </c>
      <c r="K155" s="16">
        <v>20440</v>
      </c>
      <c r="L155" s="202">
        <v>18654</v>
      </c>
      <c r="M155" s="202">
        <v>18196</v>
      </c>
      <c r="N155" s="202">
        <v>17265</v>
      </c>
      <c r="O155" s="202">
        <v>17836</v>
      </c>
      <c r="P155" s="202">
        <v>17398</v>
      </c>
      <c r="Q155" s="202">
        <v>16881</v>
      </c>
      <c r="R155" s="202">
        <f>VLOOKUP(B155,'2022 Count Table'!A155:X338,11)</f>
        <v>15658</v>
      </c>
      <c r="S155" s="19">
        <f t="shared" si="9"/>
        <v>14089.300000000047</v>
      </c>
      <c r="T155" s="20">
        <f t="shared" si="10"/>
        <v>0</v>
      </c>
      <c r="U155" s="21">
        <v>0.48958333333333298</v>
      </c>
      <c r="V155" s="16">
        <v>1596</v>
      </c>
      <c r="W155" s="16">
        <v>833</v>
      </c>
      <c r="X155" s="16">
        <v>763</v>
      </c>
      <c r="Y155" s="22">
        <v>9.1734682147373264E-2</v>
      </c>
      <c r="Z155" s="23">
        <v>0.52192982456140347</v>
      </c>
      <c r="AA155" s="21">
        <f>VLOOKUP(B155,'2022 Count Table'!A155:X338,19)</f>
        <v>0.5</v>
      </c>
      <c r="AB155" s="16">
        <f>VLOOKUP($B155,'2022 Count Table'!A155:X338,20)</f>
        <v>1454</v>
      </c>
      <c r="AC155" s="16">
        <f>VLOOKUP($B155,'2022 Count Table'!A155:X338,21)</f>
        <v>725</v>
      </c>
      <c r="AD155" s="16">
        <f>VLOOKUP($B155,'2022 Count Table'!A155:X338,22)</f>
        <v>729</v>
      </c>
      <c r="AE155" s="22">
        <f>VLOOKUP($B155,'2022 Count Table'!A155:X338,23)</f>
        <v>9.2859879933580275E-2</v>
      </c>
      <c r="AF155" s="23">
        <f>VLOOKUP($B155,'2022 Count Table'!A155:X338,24)</f>
        <v>0.50137551581843187</v>
      </c>
      <c r="AG155" s="24">
        <v>4</v>
      </c>
      <c r="AH155" s="25">
        <v>35</v>
      </c>
      <c r="AI155" s="18" t="s">
        <v>268</v>
      </c>
      <c r="AJ155" s="16" t="s">
        <v>268</v>
      </c>
      <c r="AK155" s="16" t="s">
        <v>268</v>
      </c>
      <c r="AL155" s="16" t="s">
        <v>268</v>
      </c>
      <c r="AM155" s="16" t="s">
        <v>268</v>
      </c>
      <c r="AN155" s="128" t="s">
        <v>268</v>
      </c>
      <c r="AO155" s="131">
        <f t="shared" si="11"/>
        <v>18303.63095449144</v>
      </c>
      <c r="AP155" s="128">
        <f t="shared" si="12"/>
        <v>15711.569045508557</v>
      </c>
    </row>
    <row r="156" spans="1:42" s="162" customFormat="1" ht="18.95" customHeight="1">
      <c r="A156" s="125">
        <v>305</v>
      </c>
      <c r="B156" s="125">
        <f>VLOOKUP(C156,'station changes (20-21)'!$A$3:$D$298,4,)</f>
        <v>157</v>
      </c>
      <c r="C156" s="125">
        <v>305</v>
      </c>
      <c r="D156" s="126" t="s">
        <v>414</v>
      </c>
      <c r="E156" s="126" t="s">
        <v>424</v>
      </c>
      <c r="F156" s="17">
        <v>43844</v>
      </c>
      <c r="G156" s="127" t="s">
        <v>267</v>
      </c>
      <c r="H156" s="18">
        <v>9258</v>
      </c>
      <c r="I156" s="16">
        <v>9016</v>
      </c>
      <c r="J156" s="16">
        <v>13857</v>
      </c>
      <c r="K156" s="16">
        <v>12427</v>
      </c>
      <c r="L156" s="202">
        <v>14155</v>
      </c>
      <c r="M156" s="202">
        <v>13357</v>
      </c>
      <c r="N156" s="202">
        <v>13389</v>
      </c>
      <c r="O156" s="202">
        <v>14224</v>
      </c>
      <c r="P156" s="202">
        <v>13320</v>
      </c>
      <c r="Q156" s="202">
        <v>12972</v>
      </c>
      <c r="R156" s="202">
        <f>VLOOKUP(B156,'2022 Count Table'!A156:X339,11)</f>
        <v>13597</v>
      </c>
      <c r="S156" s="19">
        <f t="shared" si="9"/>
        <v>12915.200000000012</v>
      </c>
      <c r="T156" s="20">
        <f t="shared" si="10"/>
        <v>0</v>
      </c>
      <c r="U156" s="21">
        <v>0.48958333333333298</v>
      </c>
      <c r="V156" s="16">
        <v>1374</v>
      </c>
      <c r="W156" s="16">
        <v>666</v>
      </c>
      <c r="X156" s="16">
        <v>708</v>
      </c>
      <c r="Y156" s="22">
        <v>0.10315315315315315</v>
      </c>
      <c r="Z156" s="23">
        <v>0.51528384279475981</v>
      </c>
      <c r="AA156" s="21">
        <f>VLOOKUP(B156,'2022 Count Table'!A156:X339,19)</f>
        <v>0.5</v>
      </c>
      <c r="AB156" s="16">
        <f>VLOOKUP($B156,'2022 Count Table'!A156:X339,20)</f>
        <v>1385</v>
      </c>
      <c r="AC156" s="16">
        <f>VLOOKUP($B156,'2022 Count Table'!A156:X339,21)</f>
        <v>683</v>
      </c>
      <c r="AD156" s="16">
        <f>VLOOKUP($B156,'2022 Count Table'!A156:X339,22)</f>
        <v>702</v>
      </c>
      <c r="AE156" s="22">
        <f>VLOOKUP($B156,'2022 Count Table'!A156:X339,23)</f>
        <v>0.10186070456718394</v>
      </c>
      <c r="AF156" s="23">
        <f>VLOOKUP($B156,'2022 Count Table'!A156:X339,24)</f>
        <v>0.50685920577617327</v>
      </c>
      <c r="AG156" s="24">
        <v>4</v>
      </c>
      <c r="AH156" s="25">
        <v>35</v>
      </c>
      <c r="AI156" s="18" t="s">
        <v>268</v>
      </c>
      <c r="AJ156" s="16" t="s">
        <v>268</v>
      </c>
      <c r="AK156" s="16" t="s">
        <v>268</v>
      </c>
      <c r="AL156" s="16" t="s">
        <v>268</v>
      </c>
      <c r="AM156" s="16" t="s">
        <v>268</v>
      </c>
      <c r="AN156" s="128" t="s">
        <v>268</v>
      </c>
      <c r="AO156" s="131">
        <f t="shared" si="11"/>
        <v>14224.946157949926</v>
      </c>
      <c r="AP156" s="128">
        <f t="shared" si="12"/>
        <v>12775.853842050074</v>
      </c>
    </row>
    <row r="157" spans="1:42" s="205" customFormat="1" ht="18.95" customHeight="1">
      <c r="A157" s="184">
        <v>314</v>
      </c>
      <c r="B157" s="184">
        <f>VLOOKUP(C157,'station changes (20-21)'!$A$3:$D$298,4,)</f>
        <v>158</v>
      </c>
      <c r="C157" s="184">
        <v>314</v>
      </c>
      <c r="D157" s="185" t="s">
        <v>414</v>
      </c>
      <c r="E157" s="185" t="s">
        <v>427</v>
      </c>
      <c r="F157" s="186">
        <v>43865</v>
      </c>
      <c r="G157" s="187" t="s">
        <v>267</v>
      </c>
      <c r="H157" s="188">
        <v>10868</v>
      </c>
      <c r="I157" s="189">
        <v>11605</v>
      </c>
      <c r="J157" s="189">
        <v>18280</v>
      </c>
      <c r="K157" s="189">
        <v>19729</v>
      </c>
      <c r="L157" s="189">
        <v>17712</v>
      </c>
      <c r="M157" s="189">
        <v>19610</v>
      </c>
      <c r="N157" s="189">
        <v>20460</v>
      </c>
      <c r="O157" s="189">
        <v>21147</v>
      </c>
      <c r="P157" s="189">
        <v>22107</v>
      </c>
      <c r="Q157" s="189">
        <v>21052</v>
      </c>
      <c r="R157" s="189">
        <f>VLOOKUP(B157,'2022 Count Table'!A157:X340,11)</f>
        <v>22158</v>
      </c>
      <c r="S157" s="175">
        <f t="shared" si="9"/>
        <v>23695.500000000116</v>
      </c>
      <c r="T157" s="176">
        <f t="shared" si="10"/>
        <v>1.2500000000000001E-2</v>
      </c>
      <c r="U157" s="192">
        <v>0.45833333333333298</v>
      </c>
      <c r="V157" s="189">
        <v>2098</v>
      </c>
      <c r="W157" s="189">
        <v>1166</v>
      </c>
      <c r="X157" s="189">
        <v>932</v>
      </c>
      <c r="Y157" s="193">
        <v>9.4902067218528063E-2</v>
      </c>
      <c r="Z157" s="194">
        <v>0.55576739752144899</v>
      </c>
      <c r="AA157" s="192">
        <f>VLOOKUP(B157,'2022 Count Table'!A157:X340,19)</f>
        <v>0.5</v>
      </c>
      <c r="AB157" s="189">
        <f>VLOOKUP($B157,'2022 Count Table'!A157:X340,20)</f>
        <v>2134</v>
      </c>
      <c r="AC157" s="189">
        <f>VLOOKUP($B157,'2022 Count Table'!A157:X340,21)</f>
        <v>1014</v>
      </c>
      <c r="AD157" s="189">
        <f>VLOOKUP($B157,'2022 Count Table'!A157:X340,22)</f>
        <v>1120</v>
      </c>
      <c r="AE157" s="193">
        <f>VLOOKUP($B157,'2022 Count Table'!A157:X340,23)</f>
        <v>9.6308331076811984E-2</v>
      </c>
      <c r="AF157" s="194">
        <f>VLOOKUP($B157,'2022 Count Table'!A157:X340,24)</f>
        <v>0.52483598875351456</v>
      </c>
      <c r="AG157" s="195">
        <v>4</v>
      </c>
      <c r="AH157" s="196">
        <v>35</v>
      </c>
      <c r="AI157" s="188" t="s">
        <v>268</v>
      </c>
      <c r="AJ157" s="189" t="s">
        <v>268</v>
      </c>
      <c r="AK157" s="189" t="s">
        <v>268</v>
      </c>
      <c r="AL157" s="189" t="s">
        <v>268</v>
      </c>
      <c r="AM157" s="189" t="s">
        <v>268</v>
      </c>
      <c r="AN157" s="197" t="s">
        <v>268</v>
      </c>
      <c r="AO157" s="198">
        <f t="shared" si="11"/>
        <v>22530.206964794608</v>
      </c>
      <c r="AP157" s="197">
        <f t="shared" si="12"/>
        <v>20239.39303520539</v>
      </c>
    </row>
    <row r="158" spans="1:42" s="162" customFormat="1" ht="18.75" customHeight="1">
      <c r="A158" s="184">
        <v>158</v>
      </c>
      <c r="B158" s="184">
        <f>VLOOKUP(C158,'station changes (20-21)'!$A$3:$D$298,4,)</f>
        <v>159</v>
      </c>
      <c r="C158" s="184">
        <v>158</v>
      </c>
      <c r="D158" s="185" t="s">
        <v>374</v>
      </c>
      <c r="E158" s="185" t="s">
        <v>375</v>
      </c>
      <c r="F158" s="186">
        <v>43865</v>
      </c>
      <c r="G158" s="187" t="s">
        <v>267</v>
      </c>
      <c r="H158" s="188">
        <v>26188</v>
      </c>
      <c r="I158" s="189">
        <v>21365</v>
      </c>
      <c r="J158" s="189">
        <v>26665</v>
      </c>
      <c r="K158" s="189">
        <v>29320</v>
      </c>
      <c r="L158" s="174">
        <v>28674</v>
      </c>
      <c r="M158" s="174">
        <v>30997</v>
      </c>
      <c r="N158" s="174">
        <v>26851</v>
      </c>
      <c r="O158" s="174">
        <v>26685</v>
      </c>
      <c r="P158" s="174">
        <v>27188</v>
      </c>
      <c r="Q158" s="174">
        <v>26200</v>
      </c>
      <c r="R158" s="174">
        <f>VLOOKUP(B158,'2022 Count Table'!A158:X341,11)</f>
        <v>23474</v>
      </c>
      <c r="S158" s="175">
        <f t="shared" si="9"/>
        <v>21012.300000000047</v>
      </c>
      <c r="T158" s="176">
        <f t="shared" si="10"/>
        <v>0</v>
      </c>
      <c r="U158" s="192">
        <v>0.45833333333333298</v>
      </c>
      <c r="V158" s="189">
        <v>2519</v>
      </c>
      <c r="W158" s="189">
        <v>1262</v>
      </c>
      <c r="X158" s="189">
        <v>1257</v>
      </c>
      <c r="Y158" s="193">
        <v>9.2651169633661906E-2</v>
      </c>
      <c r="Z158" s="194">
        <v>0.50099245732433506</v>
      </c>
      <c r="AA158" s="192">
        <f>VLOOKUP(B158,'2022 Count Table'!A158:X341,19)</f>
        <v>0.57291666666666663</v>
      </c>
      <c r="AB158" s="189">
        <f>VLOOKUP($B158,'2022 Count Table'!A158:X341,20)</f>
        <v>2187</v>
      </c>
      <c r="AC158" s="189">
        <f>VLOOKUP($B158,'2022 Count Table'!A158:X341,21)</f>
        <v>1105</v>
      </c>
      <c r="AD158" s="189">
        <f>VLOOKUP($B158,'2022 Count Table'!A158:X341,22)</f>
        <v>1082</v>
      </c>
      <c r="AE158" s="193">
        <f>VLOOKUP($B158,'2022 Count Table'!A158:X341,23)</f>
        <v>9.3166908068501322E-2</v>
      </c>
      <c r="AF158" s="194">
        <f>VLOOKUP($B158,'2022 Count Table'!A158:X341,24)</f>
        <v>0.50525834476451759</v>
      </c>
      <c r="AG158" s="195">
        <v>4</v>
      </c>
      <c r="AH158" s="196">
        <v>35</v>
      </c>
      <c r="AI158" s="188" t="s">
        <v>268</v>
      </c>
      <c r="AJ158" s="189" t="s">
        <v>268</v>
      </c>
      <c r="AK158" s="189" t="s">
        <v>268</v>
      </c>
      <c r="AL158" s="189" t="s">
        <v>268</v>
      </c>
      <c r="AM158" s="189" t="s">
        <v>268</v>
      </c>
      <c r="AN158" s="197" t="s">
        <v>268</v>
      </c>
      <c r="AO158" s="198">
        <f t="shared" si="11"/>
        <v>28426.65798501017</v>
      </c>
      <c r="AP158" s="197">
        <f t="shared" si="12"/>
        <v>23732.542014989827</v>
      </c>
    </row>
    <row r="159" spans="1:42" s="205" customFormat="1" ht="18.95" customHeight="1">
      <c r="A159" s="125">
        <v>164</v>
      </c>
      <c r="B159" s="125">
        <f>VLOOKUP(C159,'station changes (20-21)'!$A$3:$D$298,4,)</f>
        <v>160</v>
      </c>
      <c r="C159" s="125">
        <v>164</v>
      </c>
      <c r="D159" s="126" t="s">
        <v>374</v>
      </c>
      <c r="E159" s="126" t="s">
        <v>376</v>
      </c>
      <c r="F159" s="17">
        <v>43844</v>
      </c>
      <c r="G159" s="127" t="s">
        <v>267</v>
      </c>
      <c r="H159" s="18">
        <v>13232</v>
      </c>
      <c r="I159" s="16">
        <v>10636</v>
      </c>
      <c r="J159" s="16">
        <v>14710</v>
      </c>
      <c r="K159" s="16">
        <v>16098</v>
      </c>
      <c r="L159" s="202">
        <v>16098</v>
      </c>
      <c r="M159" s="202">
        <v>17206</v>
      </c>
      <c r="N159" s="202">
        <v>16197</v>
      </c>
      <c r="O159" s="202">
        <v>16467</v>
      </c>
      <c r="P159" s="202">
        <v>15249</v>
      </c>
      <c r="Q159" s="202">
        <v>14641</v>
      </c>
      <c r="R159" s="202">
        <f>VLOOKUP(B159,'2022 Count Table'!A159:X342,11)</f>
        <v>15312</v>
      </c>
      <c r="S159" s="19">
        <f t="shared" si="9"/>
        <v>13055.999999999884</v>
      </c>
      <c r="T159" s="20">
        <f t="shared" si="10"/>
        <v>0</v>
      </c>
      <c r="U159" s="21">
        <v>0.46875</v>
      </c>
      <c r="V159" s="16">
        <v>1452</v>
      </c>
      <c r="W159" s="16">
        <v>737</v>
      </c>
      <c r="X159" s="16">
        <v>715</v>
      </c>
      <c r="Y159" s="22">
        <v>9.5219358646468619E-2</v>
      </c>
      <c r="Z159" s="23">
        <v>0.50757575757575757</v>
      </c>
      <c r="AA159" s="21">
        <f>VLOOKUP(B159,'2022 Count Table'!A159:X342,19)</f>
        <v>0.5</v>
      </c>
      <c r="AB159" s="16">
        <f>VLOOKUP($B159,'2022 Count Table'!A159:X342,20)</f>
        <v>1391</v>
      </c>
      <c r="AC159" s="16">
        <f>VLOOKUP($B159,'2022 Count Table'!A159:X342,21)</f>
        <v>745</v>
      </c>
      <c r="AD159" s="16">
        <f>VLOOKUP($B159,'2022 Count Table'!A159:X342,22)</f>
        <v>646</v>
      </c>
      <c r="AE159" s="22">
        <f>VLOOKUP($B159,'2022 Count Table'!A159:X342,23)</f>
        <v>9.0843782654127486E-2</v>
      </c>
      <c r="AF159" s="23">
        <f>VLOOKUP($B159,'2022 Count Table'!A159:X342,24)</f>
        <v>0.53558590941768514</v>
      </c>
      <c r="AG159" s="24">
        <v>4</v>
      </c>
      <c r="AH159" s="25">
        <v>35</v>
      </c>
      <c r="AI159" s="18" t="s">
        <v>268</v>
      </c>
      <c r="AJ159" s="16" t="s">
        <v>268</v>
      </c>
      <c r="AK159" s="16" t="s">
        <v>268</v>
      </c>
      <c r="AL159" s="16" t="s">
        <v>268</v>
      </c>
      <c r="AM159" s="16" t="s">
        <v>268</v>
      </c>
      <c r="AN159" s="128" t="s">
        <v>268</v>
      </c>
      <c r="AO159" s="131">
        <f t="shared" si="11"/>
        <v>16741.993754261206</v>
      </c>
      <c r="AP159" s="128">
        <f t="shared" si="12"/>
        <v>14404.406245738797</v>
      </c>
    </row>
    <row r="160" spans="1:42" s="162" customFormat="1" ht="18.95" customHeight="1">
      <c r="A160" s="125">
        <v>176</v>
      </c>
      <c r="B160" s="125">
        <f>VLOOKUP(C160,'station changes (20-21)'!$A$3:$D$298,4,)</f>
        <v>161</v>
      </c>
      <c r="C160" s="125">
        <v>176</v>
      </c>
      <c r="D160" s="126" t="s">
        <v>374</v>
      </c>
      <c r="E160" s="126" t="s">
        <v>379</v>
      </c>
      <c r="F160" s="17">
        <v>43859</v>
      </c>
      <c r="G160" s="127" t="s">
        <v>267</v>
      </c>
      <c r="H160" s="18">
        <v>8688</v>
      </c>
      <c r="I160" s="16">
        <v>7589</v>
      </c>
      <c r="J160" s="16">
        <v>10258</v>
      </c>
      <c r="K160" s="16">
        <v>12576</v>
      </c>
      <c r="L160" s="202">
        <v>13083</v>
      </c>
      <c r="M160" s="202">
        <v>13533</v>
      </c>
      <c r="N160" s="202">
        <v>14121</v>
      </c>
      <c r="O160" s="202">
        <v>14473</v>
      </c>
      <c r="P160" s="202">
        <v>14411</v>
      </c>
      <c r="Q160" s="202">
        <v>13824</v>
      </c>
      <c r="R160" s="202">
        <f>VLOOKUP(B160,'2022 Count Table'!A160:X343,11)</f>
        <v>15263</v>
      </c>
      <c r="S160" s="19">
        <f t="shared" si="9"/>
        <v>15562.900000000023</v>
      </c>
      <c r="T160" s="20">
        <f t="shared" si="10"/>
        <v>5.0000000000000001E-3</v>
      </c>
      <c r="U160" s="21">
        <v>0.48958333333333298</v>
      </c>
      <c r="V160" s="16">
        <v>1343</v>
      </c>
      <c r="W160" s="16">
        <v>672</v>
      </c>
      <c r="X160" s="16">
        <v>671</v>
      </c>
      <c r="Y160" s="22">
        <v>9.3192700020817434E-2</v>
      </c>
      <c r="Z160" s="23">
        <v>0.50037230081906181</v>
      </c>
      <c r="AA160" s="21">
        <f>VLOOKUP(B160,'2022 Count Table'!A160:X343,19)</f>
        <v>0.5</v>
      </c>
      <c r="AB160" s="16">
        <f>VLOOKUP($B160,'2022 Count Table'!A160:X343,20)</f>
        <v>1450</v>
      </c>
      <c r="AC160" s="16">
        <f>VLOOKUP($B160,'2022 Count Table'!A160:X343,21)</f>
        <v>721</v>
      </c>
      <c r="AD160" s="16">
        <f>VLOOKUP($B160,'2022 Count Table'!A160:X343,22)</f>
        <v>729</v>
      </c>
      <c r="AE160" s="22">
        <f>VLOOKUP($B160,'2022 Count Table'!A160:X343,23)</f>
        <v>9.5000982768787268E-2</v>
      </c>
      <c r="AF160" s="23">
        <f>VLOOKUP($B160,'2022 Count Table'!A160:X343,24)</f>
        <v>0.50275862068965516</v>
      </c>
      <c r="AG160" s="24">
        <v>4</v>
      </c>
      <c r="AH160" s="25">
        <v>35</v>
      </c>
      <c r="AI160" s="18" t="s">
        <v>268</v>
      </c>
      <c r="AJ160" s="16" t="s">
        <v>268</v>
      </c>
      <c r="AK160" s="16" t="s">
        <v>268</v>
      </c>
      <c r="AL160" s="16" t="s">
        <v>268</v>
      </c>
      <c r="AM160" s="16" t="s">
        <v>268</v>
      </c>
      <c r="AN160" s="128" t="s">
        <v>268</v>
      </c>
      <c r="AO160" s="131">
        <f t="shared" si="11"/>
        <v>15260.636730379292</v>
      </c>
      <c r="AP160" s="128">
        <f t="shared" si="12"/>
        <v>13576.163269620707</v>
      </c>
    </row>
    <row r="161" spans="1:42" s="205" customFormat="1" ht="18.95" customHeight="1">
      <c r="A161" s="184">
        <v>286</v>
      </c>
      <c r="B161" s="184">
        <f>VLOOKUP(C161,'station changes (20-21)'!$A$3:$D$298,4,)</f>
        <v>162</v>
      </c>
      <c r="C161" s="184">
        <v>286</v>
      </c>
      <c r="D161" s="185" t="s">
        <v>416</v>
      </c>
      <c r="E161" s="185" t="s">
        <v>417</v>
      </c>
      <c r="F161" s="186" t="s">
        <v>243</v>
      </c>
      <c r="G161" s="187" t="s">
        <v>267</v>
      </c>
      <c r="H161" s="188">
        <v>18254</v>
      </c>
      <c r="I161" s="189">
        <v>13737</v>
      </c>
      <c r="J161" s="189">
        <v>20327</v>
      </c>
      <c r="K161" s="189">
        <v>20878</v>
      </c>
      <c r="L161" s="174">
        <v>19527</v>
      </c>
      <c r="M161" s="309">
        <f>ROUND(AVERAGE(M160,M162),0)</f>
        <v>16748</v>
      </c>
      <c r="N161" s="309">
        <f>ROUND(AVERAGE(N160,N162),0)</f>
        <v>16831</v>
      </c>
      <c r="O161" s="309">
        <f>ROUND(AVERAGE(O160,O162),0)</f>
        <v>17252</v>
      </c>
      <c r="P161" s="309">
        <f>ROUND(AVERAGE(P160,P162),0)</f>
        <v>16588</v>
      </c>
      <c r="Q161" s="309"/>
      <c r="R161" s="309">
        <f>VLOOKUP(B161,'2022 Count Table'!A161:X344,11)</f>
        <v>18301</v>
      </c>
      <c r="S161" s="175">
        <f t="shared" si="9"/>
        <v>19671.542857142864</v>
      </c>
      <c r="T161" s="176">
        <f t="shared" si="10"/>
        <v>1.4999999999999999E-2</v>
      </c>
      <c r="U161" s="192" t="s">
        <v>243</v>
      </c>
      <c r="V161" s="189" t="s">
        <v>243</v>
      </c>
      <c r="W161" s="189" t="s">
        <v>243</v>
      </c>
      <c r="X161" s="189" t="s">
        <v>243</v>
      </c>
      <c r="Y161" s="193" t="s">
        <v>243</v>
      </c>
      <c r="Z161" s="194" t="s">
        <v>243</v>
      </c>
      <c r="AA161" s="192">
        <f>VLOOKUP(B161,'2022 Count Table'!A161:X344,19)</f>
        <v>0.5</v>
      </c>
      <c r="AB161" s="189">
        <f>VLOOKUP($B161,'2022 Count Table'!A161:X344,20)</f>
        <v>1728</v>
      </c>
      <c r="AC161" s="189">
        <f>VLOOKUP($B161,'2022 Count Table'!A161:X344,21)</f>
        <v>914</v>
      </c>
      <c r="AD161" s="189">
        <f>VLOOKUP($B161,'2022 Count Table'!A161:X344,22)</f>
        <v>814</v>
      </c>
      <c r="AE161" s="193">
        <f>VLOOKUP($B161,'2022 Count Table'!A161:X344,23)</f>
        <v>9.4421069886891432E-2</v>
      </c>
      <c r="AF161" s="194">
        <f>VLOOKUP($B161,'2022 Count Table'!A161:X344,24)</f>
        <v>0.52893518518518523</v>
      </c>
      <c r="AG161" s="195">
        <v>4</v>
      </c>
      <c r="AH161" s="196">
        <v>35</v>
      </c>
      <c r="AI161" s="188" t="s">
        <v>268</v>
      </c>
      <c r="AJ161" s="189" t="s">
        <v>268</v>
      </c>
      <c r="AK161" s="189" t="s">
        <v>268</v>
      </c>
      <c r="AL161" s="189" t="s">
        <v>268</v>
      </c>
      <c r="AM161" s="189" t="s">
        <v>268</v>
      </c>
      <c r="AN161" s="197" t="s">
        <v>268</v>
      </c>
      <c r="AO161" s="198">
        <f t="shared" si="11"/>
        <v>18389.955794156864</v>
      </c>
      <c r="AP161" s="197">
        <f t="shared" si="12"/>
        <v>16096.044205843136</v>
      </c>
    </row>
    <row r="162" spans="1:42" s="162" customFormat="1" ht="18.95" customHeight="1">
      <c r="A162" s="125">
        <v>289</v>
      </c>
      <c r="B162" s="125">
        <f>VLOOKUP(C162,'station changes (20-21)'!$A$3:$D$298,4,)</f>
        <v>163</v>
      </c>
      <c r="C162" s="125">
        <v>289</v>
      </c>
      <c r="D162" s="126" t="s">
        <v>416</v>
      </c>
      <c r="E162" s="126" t="s">
        <v>667</v>
      </c>
      <c r="F162" s="17">
        <v>43844</v>
      </c>
      <c r="G162" s="127" t="s">
        <v>267</v>
      </c>
      <c r="H162" s="18">
        <v>18799</v>
      </c>
      <c r="I162" s="16">
        <v>15212</v>
      </c>
      <c r="J162" s="16">
        <v>20492</v>
      </c>
      <c r="K162" s="16">
        <v>16058</v>
      </c>
      <c r="L162" s="202">
        <v>20211</v>
      </c>
      <c r="M162" s="202">
        <v>19963</v>
      </c>
      <c r="N162" s="202">
        <v>19540</v>
      </c>
      <c r="O162" s="202">
        <v>20031</v>
      </c>
      <c r="P162" s="202">
        <v>18764</v>
      </c>
      <c r="Q162" s="202">
        <v>18184</v>
      </c>
      <c r="R162" s="202">
        <f>VLOOKUP(B162,'2022 Count Table'!A162:X345,11)</f>
        <v>18280</v>
      </c>
      <c r="S162" s="19">
        <f t="shared" si="9"/>
        <v>15902.900000000023</v>
      </c>
      <c r="T162" s="20">
        <f t="shared" si="10"/>
        <v>0</v>
      </c>
      <c r="U162" s="21">
        <v>0.48958333333333298</v>
      </c>
      <c r="V162" s="16">
        <v>1716</v>
      </c>
      <c r="W162" s="16">
        <v>877</v>
      </c>
      <c r="X162" s="16">
        <v>839</v>
      </c>
      <c r="Y162" s="22">
        <v>9.1451716052014492E-2</v>
      </c>
      <c r="Z162" s="23">
        <v>0.51107226107226111</v>
      </c>
      <c r="AA162" s="21">
        <f>VLOOKUP(B162,'2022 Count Table'!A162:X345,19)</f>
        <v>0.5</v>
      </c>
      <c r="AB162" s="16">
        <f>VLOOKUP($B162,'2022 Count Table'!A162:X345,20)</f>
        <v>1800</v>
      </c>
      <c r="AC162" s="16">
        <f>VLOOKUP($B162,'2022 Count Table'!A162:X345,21)</f>
        <v>955</v>
      </c>
      <c r="AD162" s="16">
        <f>VLOOKUP($B162,'2022 Count Table'!A162:X345,22)</f>
        <v>845</v>
      </c>
      <c r="AE162" s="22">
        <f>VLOOKUP($B162,'2022 Count Table'!A162:X345,23)</f>
        <v>9.8468271334792121E-2</v>
      </c>
      <c r="AF162" s="23">
        <f>VLOOKUP($B162,'2022 Count Table'!A162:X345,24)</f>
        <v>0.53055555555555556</v>
      </c>
      <c r="AG162" s="24">
        <v>4</v>
      </c>
      <c r="AH162" s="25">
        <v>35</v>
      </c>
      <c r="AI162" s="18" t="s">
        <v>268</v>
      </c>
      <c r="AJ162" s="16" t="s">
        <v>268</v>
      </c>
      <c r="AK162" s="16" t="s">
        <v>268</v>
      </c>
      <c r="AL162" s="16" t="s">
        <v>268</v>
      </c>
      <c r="AM162" s="16" t="s">
        <v>268</v>
      </c>
      <c r="AN162" s="128" t="s">
        <v>268</v>
      </c>
      <c r="AO162" s="131">
        <f t="shared" si="11"/>
        <v>20218.446133748479</v>
      </c>
      <c r="AP162" s="128">
        <f t="shared" si="12"/>
        <v>17701.15386625152</v>
      </c>
    </row>
    <row r="163" spans="1:42" s="205" customFormat="1" ht="18.95" customHeight="1">
      <c r="A163" s="184">
        <v>292</v>
      </c>
      <c r="B163" s="184">
        <f>VLOOKUP(C163,'station changes (20-21)'!$A$3:$D$298,4,)</f>
        <v>164</v>
      </c>
      <c r="C163" s="184">
        <v>292</v>
      </c>
      <c r="D163" s="185" t="s">
        <v>416</v>
      </c>
      <c r="E163" s="185" t="s">
        <v>418</v>
      </c>
      <c r="F163" s="186">
        <v>43844</v>
      </c>
      <c r="G163" s="187" t="s">
        <v>267</v>
      </c>
      <c r="H163" s="188">
        <v>19001</v>
      </c>
      <c r="I163" s="189">
        <v>15145</v>
      </c>
      <c r="J163" s="189">
        <v>20922</v>
      </c>
      <c r="K163" s="189">
        <v>22172</v>
      </c>
      <c r="L163" s="174">
        <v>22098</v>
      </c>
      <c r="M163" s="174">
        <v>20798</v>
      </c>
      <c r="N163" s="174">
        <v>19748</v>
      </c>
      <c r="O163" s="174">
        <v>20360</v>
      </c>
      <c r="P163" s="174">
        <v>19229</v>
      </c>
      <c r="Q163" s="174">
        <v>18749</v>
      </c>
      <c r="R163" s="174">
        <f>VLOOKUP(B163,'2022 Count Table'!A163:X346,11)</f>
        <v>18780</v>
      </c>
      <c r="S163" s="175">
        <f t="shared" si="9"/>
        <v>16890.29999999993</v>
      </c>
      <c r="T163" s="176">
        <f t="shared" si="10"/>
        <v>0</v>
      </c>
      <c r="U163" s="192">
        <v>0.48958333333333298</v>
      </c>
      <c r="V163" s="189">
        <v>1710</v>
      </c>
      <c r="W163" s="189">
        <v>852</v>
      </c>
      <c r="X163" s="189">
        <v>858</v>
      </c>
      <c r="Y163" s="193">
        <v>8.8928181392688127E-2</v>
      </c>
      <c r="Z163" s="194">
        <v>0.50175438596491229</v>
      </c>
      <c r="AA163" s="192">
        <f>VLOOKUP(B163,'2022 Count Table'!A163:X346,19)</f>
        <v>0.5</v>
      </c>
      <c r="AB163" s="189">
        <f>VLOOKUP($B163,'2022 Count Table'!A163:X346,20)</f>
        <v>1836</v>
      </c>
      <c r="AC163" s="189">
        <f>VLOOKUP($B163,'2022 Count Table'!A163:X346,21)</f>
        <v>940</v>
      </c>
      <c r="AD163" s="189">
        <f>VLOOKUP($B163,'2022 Count Table'!A163:X346,22)</f>
        <v>896</v>
      </c>
      <c r="AE163" s="193">
        <f>VLOOKUP($B163,'2022 Count Table'!A163:X346,23)</f>
        <v>9.7763578274760385E-2</v>
      </c>
      <c r="AF163" s="194">
        <f>VLOOKUP($B163,'2022 Count Table'!A163:X346,24)</f>
        <v>0.51198257080610021</v>
      </c>
      <c r="AG163" s="195">
        <v>4</v>
      </c>
      <c r="AH163" s="196">
        <v>35</v>
      </c>
      <c r="AI163" s="188" t="s">
        <v>268</v>
      </c>
      <c r="AJ163" s="189" t="s">
        <v>268</v>
      </c>
      <c r="AK163" s="189" t="s">
        <v>268</v>
      </c>
      <c r="AL163" s="189" t="s">
        <v>268</v>
      </c>
      <c r="AM163" s="189" t="s">
        <v>268</v>
      </c>
      <c r="AN163" s="197" t="s">
        <v>268</v>
      </c>
      <c r="AO163" s="198">
        <f t="shared" si="11"/>
        <v>20445.295991504492</v>
      </c>
      <c r="AP163" s="197">
        <f t="shared" si="12"/>
        <v>18301.104008495509</v>
      </c>
    </row>
    <row r="164" spans="1:42" s="162" customFormat="1" ht="18.95" customHeight="1">
      <c r="A164" s="125">
        <v>295</v>
      </c>
      <c r="B164" s="125">
        <f>VLOOKUP(C164,'station changes (20-21)'!$A$3:$D$298,4,)</f>
        <v>165</v>
      </c>
      <c r="C164" s="125">
        <v>295</v>
      </c>
      <c r="D164" s="126" t="s">
        <v>416</v>
      </c>
      <c r="E164" s="126" t="s">
        <v>419</v>
      </c>
      <c r="F164" s="17">
        <v>43865</v>
      </c>
      <c r="G164" s="127" t="s">
        <v>267</v>
      </c>
      <c r="H164" s="18">
        <v>20960</v>
      </c>
      <c r="I164" s="16">
        <v>16734</v>
      </c>
      <c r="J164" s="16">
        <v>23372</v>
      </c>
      <c r="K164" s="16">
        <v>24462</v>
      </c>
      <c r="L164" s="202">
        <v>23172</v>
      </c>
      <c r="M164" s="202">
        <v>23793</v>
      </c>
      <c r="N164" s="202">
        <v>22279</v>
      </c>
      <c r="O164" s="202">
        <v>22645</v>
      </c>
      <c r="P164" s="202">
        <v>22358</v>
      </c>
      <c r="Q164" s="202">
        <v>21275</v>
      </c>
      <c r="R164" s="202">
        <f>VLOOKUP(B164,'2022 Count Table'!A164:X347,11)</f>
        <v>20459</v>
      </c>
      <c r="S164" s="19">
        <f t="shared" si="9"/>
        <v>18296.199999999953</v>
      </c>
      <c r="T164" s="20">
        <f t="shared" si="10"/>
        <v>0</v>
      </c>
      <c r="U164" s="21">
        <v>0.45833333333333298</v>
      </c>
      <c r="V164" s="16">
        <v>1991</v>
      </c>
      <c r="W164" s="16">
        <v>946</v>
      </c>
      <c r="X164" s="16">
        <v>1045</v>
      </c>
      <c r="Y164" s="22">
        <v>8.9050899007066822E-2</v>
      </c>
      <c r="Z164" s="23">
        <v>0.52486187845303867</v>
      </c>
      <c r="AA164" s="21">
        <f>VLOOKUP(B164,'2022 Count Table'!A164:X347,19)</f>
        <v>0.5</v>
      </c>
      <c r="AB164" s="16">
        <f>VLOOKUP($B164,'2022 Count Table'!A164:X347,20)</f>
        <v>1986</v>
      </c>
      <c r="AC164" s="16">
        <f>VLOOKUP($B164,'2022 Count Table'!A164:X347,21)</f>
        <v>988</v>
      </c>
      <c r="AD164" s="16">
        <f>VLOOKUP($B164,'2022 Count Table'!A164:X347,22)</f>
        <v>998</v>
      </c>
      <c r="AE164" s="22">
        <f>VLOOKUP($B164,'2022 Count Table'!A164:X347,23)</f>
        <v>9.7072193166821447E-2</v>
      </c>
      <c r="AF164" s="23">
        <f>VLOOKUP($B164,'2022 Count Table'!A164:X347,24)</f>
        <v>0.50251762336354477</v>
      </c>
      <c r="AG164" s="24">
        <v>4</v>
      </c>
      <c r="AH164" s="25">
        <v>35</v>
      </c>
      <c r="AI164" s="18" t="s">
        <v>268</v>
      </c>
      <c r="AJ164" s="16" t="s">
        <v>268</v>
      </c>
      <c r="AK164" s="16" t="s">
        <v>268</v>
      </c>
      <c r="AL164" s="16" t="s">
        <v>268</v>
      </c>
      <c r="AM164" s="16" t="s">
        <v>268</v>
      </c>
      <c r="AN164" s="128" t="s">
        <v>268</v>
      </c>
      <c r="AO164" s="131">
        <f t="shared" si="11"/>
        <v>23231.072347235564</v>
      </c>
      <c r="AP164" s="128">
        <f t="shared" si="12"/>
        <v>20375.327652764438</v>
      </c>
    </row>
    <row r="165" spans="1:42" s="205" customFormat="1" ht="18.95" customHeight="1">
      <c r="A165" s="184">
        <v>299</v>
      </c>
      <c r="B165" s="184">
        <f>VLOOKUP(C165,'station changes (20-21)'!$A$3:$D$298,4,)</f>
        <v>166</v>
      </c>
      <c r="C165" s="184">
        <v>299</v>
      </c>
      <c r="D165" s="185" t="s">
        <v>416</v>
      </c>
      <c r="E165" s="185" t="s">
        <v>420</v>
      </c>
      <c r="F165" s="186">
        <v>43844</v>
      </c>
      <c r="G165" s="187" t="s">
        <v>267</v>
      </c>
      <c r="H165" s="188">
        <v>17589</v>
      </c>
      <c r="I165" s="189">
        <v>13593</v>
      </c>
      <c r="J165" s="189">
        <v>18971</v>
      </c>
      <c r="K165" s="189">
        <v>19887</v>
      </c>
      <c r="L165" s="174">
        <v>18990</v>
      </c>
      <c r="M165" s="174">
        <v>19230</v>
      </c>
      <c r="N165" s="174">
        <v>18261</v>
      </c>
      <c r="O165" s="174">
        <v>18964</v>
      </c>
      <c r="P165" s="174">
        <v>17541</v>
      </c>
      <c r="Q165" s="174">
        <v>16957</v>
      </c>
      <c r="R165" s="174">
        <f>VLOOKUP(B165,'2022 Count Table'!A165:X348,11)</f>
        <v>17165</v>
      </c>
      <c r="S165" s="175">
        <f t="shared" si="9"/>
        <v>14838.300000000047</v>
      </c>
      <c r="T165" s="176">
        <f t="shared" si="10"/>
        <v>0</v>
      </c>
      <c r="U165" s="192">
        <v>0.48958333333333298</v>
      </c>
      <c r="V165" s="189">
        <v>1668</v>
      </c>
      <c r="W165" s="189">
        <v>887</v>
      </c>
      <c r="X165" s="189">
        <v>781</v>
      </c>
      <c r="Y165" s="193">
        <v>9.5091499914486066E-2</v>
      </c>
      <c r="Z165" s="194">
        <v>0.53177458033573144</v>
      </c>
      <c r="AA165" s="192">
        <f>VLOOKUP(B165,'2022 Count Table'!A165:X348,19)</f>
        <v>0.5</v>
      </c>
      <c r="AB165" s="189">
        <f>VLOOKUP($B165,'2022 Count Table'!A165:X348,20)</f>
        <v>1765</v>
      </c>
      <c r="AC165" s="189">
        <f>VLOOKUP($B165,'2022 Count Table'!A165:X348,21)</f>
        <v>856</v>
      </c>
      <c r="AD165" s="189">
        <f>VLOOKUP($B165,'2022 Count Table'!A165:X348,22)</f>
        <v>909</v>
      </c>
      <c r="AE165" s="193">
        <f>VLOOKUP($B165,'2022 Count Table'!A165:X348,23)</f>
        <v>0.10282551704048937</v>
      </c>
      <c r="AF165" s="194">
        <f>VLOOKUP($B165,'2022 Count Table'!A165:X348,24)</f>
        <v>0.51501416430594904</v>
      </c>
      <c r="AG165" s="195">
        <v>4</v>
      </c>
      <c r="AH165" s="196">
        <v>35</v>
      </c>
      <c r="AI165" s="188" t="s">
        <v>268</v>
      </c>
      <c r="AJ165" s="189" t="s">
        <v>268</v>
      </c>
      <c r="AK165" s="189" t="s">
        <v>268</v>
      </c>
      <c r="AL165" s="189" t="s">
        <v>268</v>
      </c>
      <c r="AM165" s="189" t="s">
        <v>268</v>
      </c>
      <c r="AN165" s="197" t="s">
        <v>268</v>
      </c>
      <c r="AO165" s="198">
        <f t="shared" si="11"/>
        <v>19074.458207361156</v>
      </c>
      <c r="AP165" s="197">
        <f t="shared" si="12"/>
        <v>16480.741792638841</v>
      </c>
    </row>
    <row r="166" spans="1:42" s="162" customFormat="1" ht="18.95" customHeight="1">
      <c r="A166" s="184">
        <v>302</v>
      </c>
      <c r="B166" s="184">
        <f>VLOOKUP(C166,'station changes (20-21)'!$A$3:$D$298,4,)</f>
        <v>167</v>
      </c>
      <c r="C166" s="184">
        <v>302</v>
      </c>
      <c r="D166" s="185" t="s">
        <v>416</v>
      </c>
      <c r="E166" s="185" t="s">
        <v>423</v>
      </c>
      <c r="F166" s="186">
        <v>43844</v>
      </c>
      <c r="G166" s="187" t="s">
        <v>267</v>
      </c>
      <c r="H166" s="188">
        <v>19398</v>
      </c>
      <c r="I166" s="189">
        <v>17331</v>
      </c>
      <c r="J166" s="189">
        <v>23008</v>
      </c>
      <c r="K166" s="189">
        <v>24616</v>
      </c>
      <c r="L166" s="174">
        <v>23179</v>
      </c>
      <c r="M166" s="174">
        <v>24156</v>
      </c>
      <c r="N166" s="174">
        <v>22996</v>
      </c>
      <c r="O166" s="174">
        <v>23446</v>
      </c>
      <c r="P166" s="174">
        <v>21900</v>
      </c>
      <c r="Q166" s="174">
        <v>20739</v>
      </c>
      <c r="R166" s="174">
        <f>VLOOKUP(B166,'2022 Count Table'!A166:X349,11)</f>
        <v>21217</v>
      </c>
      <c r="S166" s="175">
        <f t="shared" si="9"/>
        <v>17674.100000000093</v>
      </c>
      <c r="T166" s="176">
        <f t="shared" si="10"/>
        <v>0</v>
      </c>
      <c r="U166" s="192">
        <v>0.48958333333333298</v>
      </c>
      <c r="V166" s="189">
        <v>2214</v>
      </c>
      <c r="W166" s="189">
        <v>1039</v>
      </c>
      <c r="X166" s="189">
        <v>1175</v>
      </c>
      <c r="Y166" s="193">
        <v>0.1010958904109589</v>
      </c>
      <c r="Z166" s="194">
        <v>0.53071364046973801</v>
      </c>
      <c r="AA166" s="192">
        <f>VLOOKUP(B166,'2022 Count Table'!A166:X349,19)</f>
        <v>0.5</v>
      </c>
      <c r="AB166" s="189">
        <f>VLOOKUP($B166,'2022 Count Table'!A166:X349,20)</f>
        <v>2104</v>
      </c>
      <c r="AC166" s="189">
        <f>VLOOKUP($B166,'2022 Count Table'!A166:X349,21)</f>
        <v>1033</v>
      </c>
      <c r="AD166" s="189">
        <f>VLOOKUP($B166,'2022 Count Table'!A166:X349,22)</f>
        <v>1071</v>
      </c>
      <c r="AE166" s="193">
        <f>VLOOKUP($B166,'2022 Count Table'!A166:X349,23)</f>
        <v>9.9165763303011731E-2</v>
      </c>
      <c r="AF166" s="194">
        <f>VLOOKUP($B166,'2022 Count Table'!A166:X349,24)</f>
        <v>0.50903041825095052</v>
      </c>
      <c r="AG166" s="195">
        <v>4</v>
      </c>
      <c r="AH166" s="196">
        <v>35</v>
      </c>
      <c r="AI166" s="188" t="s">
        <v>268</v>
      </c>
      <c r="AJ166" s="189" t="s">
        <v>268</v>
      </c>
      <c r="AK166" s="189" t="s">
        <v>268</v>
      </c>
      <c r="AL166" s="189" t="s">
        <v>268</v>
      </c>
      <c r="AM166" s="189" t="s">
        <v>268</v>
      </c>
      <c r="AN166" s="197" t="s">
        <v>268</v>
      </c>
      <c r="AO166" s="198">
        <f t="shared" si="11"/>
        <v>23857.656863672557</v>
      </c>
      <c r="AP166" s="197">
        <f t="shared" si="12"/>
        <v>20261.54313632744</v>
      </c>
    </row>
    <row r="167" spans="1:42" s="205" customFormat="1" ht="18.95" customHeight="1">
      <c r="A167" s="184">
        <v>308</v>
      </c>
      <c r="B167" s="184">
        <f>VLOOKUP(C167,'station changes (20-21)'!$A$3:$D$298,4,)</f>
        <v>168</v>
      </c>
      <c r="C167" s="184">
        <v>308</v>
      </c>
      <c r="D167" s="185" t="s">
        <v>416</v>
      </c>
      <c r="E167" s="185" t="s">
        <v>425</v>
      </c>
      <c r="F167" s="186">
        <v>43865</v>
      </c>
      <c r="G167" s="187" t="s">
        <v>267</v>
      </c>
      <c r="H167" s="188">
        <v>7290</v>
      </c>
      <c r="I167" s="189">
        <v>7517</v>
      </c>
      <c r="J167" s="189">
        <v>11989</v>
      </c>
      <c r="K167" s="189">
        <v>11130</v>
      </c>
      <c r="L167" s="174">
        <v>12392</v>
      </c>
      <c r="M167" s="174">
        <v>11926</v>
      </c>
      <c r="N167" s="174">
        <v>12029</v>
      </c>
      <c r="O167" s="174">
        <v>12758</v>
      </c>
      <c r="P167" s="174">
        <v>12328</v>
      </c>
      <c r="Q167" s="174">
        <v>11886</v>
      </c>
      <c r="R167" s="174">
        <f>VLOOKUP(B167,'2022 Count Table'!A167:X350,11)</f>
        <v>12583</v>
      </c>
      <c r="S167" s="175">
        <f t="shared" si="9"/>
        <v>12482.000000000007</v>
      </c>
      <c r="T167" s="176">
        <f t="shared" si="10"/>
        <v>0</v>
      </c>
      <c r="U167" s="192">
        <v>0.47916666666666702</v>
      </c>
      <c r="V167" s="189">
        <v>1187</v>
      </c>
      <c r="W167" s="189">
        <v>634</v>
      </c>
      <c r="X167" s="189">
        <v>553</v>
      </c>
      <c r="Y167" s="193">
        <v>9.6284879948085655E-2</v>
      </c>
      <c r="Z167" s="194">
        <v>0.53411962931760737</v>
      </c>
      <c r="AA167" s="192">
        <f>VLOOKUP(B167,'2022 Count Table'!A167:X350,19)</f>
        <v>0.5</v>
      </c>
      <c r="AB167" s="189">
        <f>VLOOKUP($B167,'2022 Count Table'!A167:X350,20)</f>
        <v>1257</v>
      </c>
      <c r="AC167" s="189">
        <f>VLOOKUP($B167,'2022 Count Table'!A167:X350,21)</f>
        <v>617</v>
      </c>
      <c r="AD167" s="189">
        <f>VLOOKUP($B167,'2022 Count Table'!A167:X350,22)</f>
        <v>640</v>
      </c>
      <c r="AE167" s="193">
        <f>VLOOKUP($B167,'2022 Count Table'!A167:X350,23)</f>
        <v>9.9896686004927279E-2</v>
      </c>
      <c r="AF167" s="194">
        <f>VLOOKUP($B167,'2022 Count Table'!A167:X350,24)</f>
        <v>0.50914876690533017</v>
      </c>
      <c r="AG167" s="195">
        <v>4</v>
      </c>
      <c r="AH167" s="196">
        <v>35</v>
      </c>
      <c r="AI167" s="188" t="s">
        <v>268</v>
      </c>
      <c r="AJ167" s="189" t="s">
        <v>268</v>
      </c>
      <c r="AK167" s="189" t="s">
        <v>268</v>
      </c>
      <c r="AL167" s="189" t="s">
        <v>268</v>
      </c>
      <c r="AM167" s="189" t="s">
        <v>268</v>
      </c>
      <c r="AN167" s="197" t="s">
        <v>268</v>
      </c>
      <c r="AO167" s="198">
        <f t="shared" si="11"/>
        <v>12888.738340208103</v>
      </c>
      <c r="AP167" s="197">
        <f t="shared" si="12"/>
        <v>11744.861659791895</v>
      </c>
    </row>
    <row r="168" spans="1:42" s="162" customFormat="1" ht="18.95" customHeight="1">
      <c r="A168" s="125">
        <v>311</v>
      </c>
      <c r="B168" s="125">
        <f>VLOOKUP(C168,'station changes (20-21)'!$A$3:$D$298,4,)</f>
        <v>169</v>
      </c>
      <c r="C168" s="125">
        <v>311</v>
      </c>
      <c r="D168" s="126" t="s">
        <v>416</v>
      </c>
      <c r="E168" s="126" t="s">
        <v>426</v>
      </c>
      <c r="F168" s="17">
        <v>43873</v>
      </c>
      <c r="G168" s="127" t="s">
        <v>267</v>
      </c>
      <c r="H168" s="18">
        <v>7437</v>
      </c>
      <c r="I168" s="16">
        <v>8183</v>
      </c>
      <c r="J168" s="16">
        <v>13503</v>
      </c>
      <c r="K168" s="16">
        <v>14983</v>
      </c>
      <c r="L168" s="202">
        <v>13579</v>
      </c>
      <c r="M168" s="202">
        <v>13908</v>
      </c>
      <c r="N168" s="202">
        <v>14228</v>
      </c>
      <c r="O168" s="202">
        <v>15270</v>
      </c>
      <c r="P168" s="202">
        <v>14542</v>
      </c>
      <c r="Q168" s="202">
        <v>14067</v>
      </c>
      <c r="R168" s="202">
        <f>VLOOKUP(B168,'2022 Count Table'!A168:X351,11)</f>
        <v>15651</v>
      </c>
      <c r="S168" s="19">
        <f t="shared" si="9"/>
        <v>15901.700000000012</v>
      </c>
      <c r="T168" s="20">
        <f t="shared" si="10"/>
        <v>2.5000000000000001E-3</v>
      </c>
      <c r="U168" s="21">
        <v>0.48958333333333298</v>
      </c>
      <c r="V168" s="16">
        <v>1430</v>
      </c>
      <c r="W168" s="16">
        <v>725</v>
      </c>
      <c r="X168" s="16">
        <v>705</v>
      </c>
      <c r="Y168" s="22">
        <v>9.8335854765506811E-2</v>
      </c>
      <c r="Z168" s="23">
        <v>0.50699300699300698</v>
      </c>
      <c r="AA168" s="21">
        <f>VLOOKUP(B168,'2022 Count Table'!A168:X351,19)</f>
        <v>0.5</v>
      </c>
      <c r="AB168" s="16">
        <f>VLOOKUP($B168,'2022 Count Table'!A168:X351,20)</f>
        <v>1508</v>
      </c>
      <c r="AC168" s="16">
        <f>VLOOKUP($B168,'2022 Count Table'!A168:X351,21)</f>
        <v>735</v>
      </c>
      <c r="AD168" s="16">
        <f>VLOOKUP($B168,'2022 Count Table'!A168:X351,22)</f>
        <v>773</v>
      </c>
      <c r="AE168" s="22">
        <f>VLOOKUP($B168,'2022 Count Table'!A168:X351,23)</f>
        <v>9.635167081975593E-2</v>
      </c>
      <c r="AF168" s="23">
        <f>VLOOKUP($B168,'2022 Count Table'!A168:X351,24)</f>
        <v>0.5125994694960212</v>
      </c>
      <c r="AG168" s="24">
        <v>4</v>
      </c>
      <c r="AH168" s="25">
        <v>35</v>
      </c>
      <c r="AI168" s="18" t="s">
        <v>268</v>
      </c>
      <c r="AJ168" s="16" t="s">
        <v>268</v>
      </c>
      <c r="AK168" s="16" t="s">
        <v>268</v>
      </c>
      <c r="AL168" s="16" t="s">
        <v>268</v>
      </c>
      <c r="AM168" s="16" t="s">
        <v>268</v>
      </c>
      <c r="AN168" s="128" t="s">
        <v>268</v>
      </c>
      <c r="AO168" s="131">
        <f t="shared" si="11"/>
        <v>15820.225488653532</v>
      </c>
      <c r="AP168" s="128">
        <f t="shared" si="12"/>
        <v>13682.974511346469</v>
      </c>
    </row>
    <row r="169" spans="1:42" s="205" customFormat="1" ht="18.95" customHeight="1">
      <c r="A169" s="184">
        <v>170</v>
      </c>
      <c r="B169" s="184">
        <f>VLOOKUP(C169,'station changes (20-21)'!$A$3:$D$298,4,)</f>
        <v>170</v>
      </c>
      <c r="C169" s="184">
        <v>170</v>
      </c>
      <c r="D169" s="185" t="s">
        <v>377</v>
      </c>
      <c r="E169" s="185" t="s">
        <v>378</v>
      </c>
      <c r="F169" s="186">
        <v>43844</v>
      </c>
      <c r="G169" s="187" t="s">
        <v>267</v>
      </c>
      <c r="H169" s="188">
        <v>8199</v>
      </c>
      <c r="I169" s="189">
        <v>7165.9260000000004</v>
      </c>
      <c r="J169" s="189">
        <v>10100</v>
      </c>
      <c r="K169" s="189">
        <v>11726</v>
      </c>
      <c r="L169" s="189">
        <v>11977</v>
      </c>
      <c r="M169" s="189">
        <v>12408</v>
      </c>
      <c r="N169" s="189">
        <v>12588</v>
      </c>
      <c r="O169" s="189">
        <v>12800</v>
      </c>
      <c r="P169" s="189">
        <v>12315</v>
      </c>
      <c r="Q169" s="189">
        <v>11931</v>
      </c>
      <c r="R169" s="189">
        <f>VLOOKUP(B169,'2022 Count Table'!A169:X352,11)</f>
        <v>12929</v>
      </c>
      <c r="S169" s="175">
        <f t="shared" si="9"/>
        <v>12381.699999999997</v>
      </c>
      <c r="T169" s="176">
        <f t="shared" si="10"/>
        <v>0</v>
      </c>
      <c r="U169" s="192">
        <v>0.47916666666666702</v>
      </c>
      <c r="V169" s="189">
        <v>1150</v>
      </c>
      <c r="W169" s="189">
        <v>586</v>
      </c>
      <c r="X169" s="189">
        <v>564</v>
      </c>
      <c r="Y169" s="193">
        <v>9.338205440519691E-2</v>
      </c>
      <c r="Z169" s="194">
        <v>0.50956521739130434</v>
      </c>
      <c r="AA169" s="192">
        <f>VLOOKUP(B169,'2022 Count Table'!A169:X352,19)</f>
        <v>0.53125</v>
      </c>
      <c r="AB169" s="189">
        <f>VLOOKUP($B169,'2022 Count Table'!A169:X352,20)</f>
        <v>1159</v>
      </c>
      <c r="AC169" s="189">
        <f>VLOOKUP($B169,'2022 Count Table'!A169:X352,21)</f>
        <v>609</v>
      </c>
      <c r="AD169" s="189">
        <f>VLOOKUP($B169,'2022 Count Table'!A169:X352,22)</f>
        <v>550</v>
      </c>
      <c r="AE169" s="193">
        <f>VLOOKUP($B169,'2022 Count Table'!A169:X352,23)</f>
        <v>8.9643437234124837E-2</v>
      </c>
      <c r="AF169" s="194">
        <f>VLOOKUP($B169,'2022 Count Table'!A169:X352,24)</f>
        <v>0.52545297670405522</v>
      </c>
      <c r="AG169" s="195">
        <v>4</v>
      </c>
      <c r="AH169" s="196">
        <v>35</v>
      </c>
      <c r="AI169" s="188" t="s">
        <v>268</v>
      </c>
      <c r="AJ169" s="189" t="s">
        <v>268</v>
      </c>
      <c r="AK169" s="189" t="s">
        <v>268</v>
      </c>
      <c r="AL169" s="189" t="s">
        <v>268</v>
      </c>
      <c r="AM169" s="189" t="s">
        <v>268</v>
      </c>
      <c r="AN169" s="197" t="s">
        <v>268</v>
      </c>
      <c r="AO169" s="198">
        <f t="shared" si="11"/>
        <v>13138.198541398557</v>
      </c>
      <c r="AP169" s="197">
        <f t="shared" si="12"/>
        <v>11887.001458601444</v>
      </c>
    </row>
    <row r="170" spans="1:42" s="162" customFormat="1" ht="18.95" customHeight="1">
      <c r="A170" s="184">
        <v>182</v>
      </c>
      <c r="B170" s="184">
        <f>VLOOKUP(C170,'station changes (20-21)'!$A$3:$D$298,4,)</f>
        <v>171</v>
      </c>
      <c r="C170" s="184">
        <v>182</v>
      </c>
      <c r="D170" s="185" t="s">
        <v>377</v>
      </c>
      <c r="E170" s="185" t="s">
        <v>380</v>
      </c>
      <c r="F170" s="186">
        <v>43859</v>
      </c>
      <c r="G170" s="187" t="s">
        <v>267</v>
      </c>
      <c r="H170" s="188">
        <v>13918</v>
      </c>
      <c r="I170" s="189">
        <v>12164.332</v>
      </c>
      <c r="J170" s="189">
        <v>17380</v>
      </c>
      <c r="K170" s="189">
        <v>15079</v>
      </c>
      <c r="L170" s="174">
        <v>20515</v>
      </c>
      <c r="M170" s="174">
        <v>20683</v>
      </c>
      <c r="N170" s="189">
        <v>22417</v>
      </c>
      <c r="O170" s="189">
        <v>22470</v>
      </c>
      <c r="P170" s="189">
        <v>23061</v>
      </c>
      <c r="Q170" s="189">
        <v>22085</v>
      </c>
      <c r="R170" s="189">
        <f>VLOOKUP(B170,'2022 Count Table'!A170:X353,11)</f>
        <v>23375</v>
      </c>
      <c r="S170" s="175">
        <f t="shared" si="9"/>
        <v>23753.299999999988</v>
      </c>
      <c r="T170" s="176">
        <f t="shared" si="10"/>
        <v>2.5000000000000001E-3</v>
      </c>
      <c r="U170" s="192">
        <v>0.46875</v>
      </c>
      <c r="V170" s="189">
        <v>2198</v>
      </c>
      <c r="W170" s="189">
        <v>1081</v>
      </c>
      <c r="X170" s="189">
        <v>1117</v>
      </c>
      <c r="Y170" s="193">
        <v>9.531243224491566E-2</v>
      </c>
      <c r="Z170" s="194">
        <v>0.50818926296633304</v>
      </c>
      <c r="AA170" s="192">
        <f>VLOOKUP(B170,'2022 Count Table'!A170:X353,19)</f>
        <v>0.5</v>
      </c>
      <c r="AB170" s="189">
        <f>VLOOKUP($B170,'2022 Count Table'!A170:X353,20)</f>
        <v>2208</v>
      </c>
      <c r="AC170" s="189">
        <f>VLOOKUP($B170,'2022 Count Table'!A170:X353,21)</f>
        <v>1080</v>
      </c>
      <c r="AD170" s="189">
        <f>VLOOKUP($B170,'2022 Count Table'!A170:X353,22)</f>
        <v>1128</v>
      </c>
      <c r="AE170" s="193">
        <f>VLOOKUP($B170,'2022 Count Table'!A170:X353,23)</f>
        <v>9.4459893048128338E-2</v>
      </c>
      <c r="AF170" s="194">
        <f>VLOOKUP($B170,'2022 Count Table'!A170:X353,24)</f>
        <v>0.51086956521739135</v>
      </c>
      <c r="AG170" s="195">
        <v>4</v>
      </c>
      <c r="AH170" s="196">
        <v>35</v>
      </c>
      <c r="AI170" s="188" t="s">
        <v>268</v>
      </c>
      <c r="AJ170" s="189" t="s">
        <v>268</v>
      </c>
      <c r="AK170" s="189" t="s">
        <v>268</v>
      </c>
      <c r="AL170" s="189" t="s">
        <v>268</v>
      </c>
      <c r="AM170" s="189" t="s">
        <v>268</v>
      </c>
      <c r="AN170" s="197" t="s">
        <v>268</v>
      </c>
      <c r="AO170" s="198">
        <f t="shared" si="11"/>
        <v>23500.729818771113</v>
      </c>
      <c r="AP170" s="197">
        <f t="shared" si="12"/>
        <v>21862.470181228884</v>
      </c>
    </row>
    <row r="171" spans="1:42" s="162" customFormat="1" ht="18.95" customHeight="1">
      <c r="A171" s="184"/>
      <c r="B171" s="184">
        <v>172</v>
      </c>
      <c r="C171" s="184"/>
      <c r="D171" s="185" t="s">
        <v>848</v>
      </c>
      <c r="E171" s="185" t="s">
        <v>849</v>
      </c>
      <c r="F171" s="186"/>
      <c r="G171" s="187"/>
      <c r="H171" s="188"/>
      <c r="I171" s="189"/>
      <c r="J171" s="189"/>
      <c r="K171" s="189"/>
      <c r="L171" s="174"/>
      <c r="M171" s="174"/>
      <c r="N171" s="189" t="s">
        <v>243</v>
      </c>
      <c r="O171" s="189" t="s">
        <v>243</v>
      </c>
      <c r="P171" s="189" t="s">
        <v>243</v>
      </c>
      <c r="Q171" s="189">
        <v>4800</v>
      </c>
      <c r="R171" s="189">
        <f>VLOOKUP(B171,'2022 Count Table'!A171:X354,11)</f>
        <v>5995</v>
      </c>
      <c r="S171" s="175">
        <f t="shared" si="9"/>
        <v>11970</v>
      </c>
      <c r="T171" s="176">
        <f t="shared" si="10"/>
        <v>0.14749999999999999</v>
      </c>
      <c r="U171" s="192"/>
      <c r="V171" s="189"/>
      <c r="W171" s="189"/>
      <c r="X171" s="189"/>
      <c r="Y171" s="193"/>
      <c r="Z171" s="194"/>
      <c r="AA171" s="192">
        <f>VLOOKUP(B171,'2022 Count Table'!A171:X354,19)</f>
        <v>0.51041666666666663</v>
      </c>
      <c r="AB171" s="189">
        <f>VLOOKUP($B171,'2022 Count Table'!A171:X354,20)</f>
        <v>621</v>
      </c>
      <c r="AC171" s="189">
        <f>VLOOKUP($B171,'2022 Count Table'!A171:X354,21)</f>
        <v>318</v>
      </c>
      <c r="AD171" s="189">
        <f>VLOOKUP($B171,'2022 Count Table'!A171:X354,22)</f>
        <v>303</v>
      </c>
      <c r="AE171" s="193">
        <f>VLOOKUP($B171,'2022 Count Table'!A171:X354,23)</f>
        <v>0.10358632193494578</v>
      </c>
      <c r="AF171" s="194">
        <f>VLOOKUP($B171,'2022 Count Table'!A171:X354,24)</f>
        <v>0.51207729468599039</v>
      </c>
      <c r="AG171" s="195"/>
      <c r="AH171" s="196"/>
      <c r="AI171" s="188"/>
      <c r="AJ171" s="189"/>
      <c r="AK171" s="189"/>
      <c r="AL171" s="189"/>
      <c r="AM171" s="189"/>
      <c r="AN171" s="197"/>
      <c r="AO171" s="198">
        <f t="shared" si="11"/>
        <v>6443.125</v>
      </c>
      <c r="AP171" s="197">
        <f t="shared" si="12"/>
        <v>4351.875</v>
      </c>
    </row>
    <row r="172" spans="1:42" s="205" customFormat="1" ht="18.95" customHeight="1">
      <c r="A172" s="125">
        <v>410</v>
      </c>
      <c r="B172" s="125">
        <f>VLOOKUP(C172,'station changes (20-21)'!$A$3:$D$298,4,)</f>
        <v>173</v>
      </c>
      <c r="C172" s="125">
        <v>410</v>
      </c>
      <c r="D172" s="126" t="s">
        <v>146</v>
      </c>
      <c r="E172" s="126" t="s">
        <v>475</v>
      </c>
      <c r="F172" s="17">
        <v>43887</v>
      </c>
      <c r="G172" s="127" t="s">
        <v>267</v>
      </c>
      <c r="H172" s="18">
        <v>12459</v>
      </c>
      <c r="I172" s="16">
        <v>10409</v>
      </c>
      <c r="J172" s="16">
        <v>13834</v>
      </c>
      <c r="K172" s="16">
        <v>13870</v>
      </c>
      <c r="L172" s="16" t="s">
        <v>243</v>
      </c>
      <c r="M172" s="16" t="s">
        <v>243</v>
      </c>
      <c r="N172" s="16">
        <v>14509</v>
      </c>
      <c r="O172" s="16">
        <v>16596</v>
      </c>
      <c r="P172" s="16">
        <v>17375</v>
      </c>
      <c r="Q172" s="16">
        <v>16750</v>
      </c>
      <c r="R172" s="16">
        <f>VLOOKUP(B172,'2022 Count Table'!A172:X355,11)</f>
        <v>17514</v>
      </c>
      <c r="S172" s="19">
        <f t="shared" si="9"/>
        <v>20863.600000000093</v>
      </c>
      <c r="T172" s="20">
        <f t="shared" si="10"/>
        <v>3.5000000000000003E-2</v>
      </c>
      <c r="U172" s="21">
        <v>0.48958333333333298</v>
      </c>
      <c r="V172" s="16">
        <v>1451</v>
      </c>
      <c r="W172" s="16">
        <v>723</v>
      </c>
      <c r="X172" s="16">
        <v>728</v>
      </c>
      <c r="Y172" s="22">
        <v>8.3510791366906478E-2</v>
      </c>
      <c r="Z172" s="23">
        <v>0.50172294968986908</v>
      </c>
      <c r="AA172" s="21">
        <f>VLOOKUP(B172,'2022 Count Table'!A172:X355,19)</f>
        <v>0.67708333333333337</v>
      </c>
      <c r="AB172" s="16">
        <f>VLOOKUP($B172,'2022 Count Table'!A172:X355,20)</f>
        <v>1346</v>
      </c>
      <c r="AC172" s="16">
        <f>VLOOKUP($B172,'2022 Count Table'!A172:X355,21)</f>
        <v>650</v>
      </c>
      <c r="AD172" s="16">
        <f>VLOOKUP($B172,'2022 Count Table'!A172:X355,22)</f>
        <v>696</v>
      </c>
      <c r="AE172" s="22">
        <f>VLOOKUP($B172,'2022 Count Table'!A172:X355,23)</f>
        <v>7.685280347150851E-2</v>
      </c>
      <c r="AF172" s="23">
        <f>VLOOKUP($B172,'2022 Count Table'!A172:X355,24)</f>
        <v>0.51708766716196142</v>
      </c>
      <c r="AG172" s="24">
        <v>4</v>
      </c>
      <c r="AH172" s="25">
        <v>40</v>
      </c>
      <c r="AI172" s="18" t="s">
        <v>268</v>
      </c>
      <c r="AJ172" s="16" t="s">
        <v>268</v>
      </c>
      <c r="AK172" s="16" t="s">
        <v>268</v>
      </c>
      <c r="AL172" s="16" t="s">
        <v>268</v>
      </c>
      <c r="AM172" s="16" t="s">
        <v>268</v>
      </c>
      <c r="AN172" s="128" t="s">
        <v>268</v>
      </c>
      <c r="AO172" s="131">
        <f t="shared" si="11"/>
        <v>18436.483200380826</v>
      </c>
      <c r="AP172" s="128">
        <f t="shared" si="12"/>
        <v>14661.116799619173</v>
      </c>
    </row>
    <row r="173" spans="1:42" s="162" customFormat="1" ht="18.95" customHeight="1">
      <c r="A173" s="125">
        <v>414</v>
      </c>
      <c r="B173" s="125">
        <f>VLOOKUP(C173,'station changes (20-21)'!$A$3:$D$298,4,)</f>
        <v>174</v>
      </c>
      <c r="C173" s="125">
        <v>414</v>
      </c>
      <c r="D173" s="126" t="s">
        <v>146</v>
      </c>
      <c r="E173" s="126" t="s">
        <v>477</v>
      </c>
      <c r="F173" s="17">
        <v>43879</v>
      </c>
      <c r="G173" s="127" t="s">
        <v>267</v>
      </c>
      <c r="H173" s="18">
        <v>10971</v>
      </c>
      <c r="I173" s="16">
        <v>8984</v>
      </c>
      <c r="J173" s="16">
        <v>10530</v>
      </c>
      <c r="K173" s="16">
        <v>11793</v>
      </c>
      <c r="L173" s="16">
        <f>L240</f>
        <v>40400</v>
      </c>
      <c r="M173" s="16">
        <f>M240</f>
        <v>43500</v>
      </c>
      <c r="N173" s="16"/>
      <c r="O173" s="16">
        <v>13022</v>
      </c>
      <c r="P173" s="16">
        <v>12900</v>
      </c>
      <c r="Q173" s="16">
        <v>12542</v>
      </c>
      <c r="R173" s="16">
        <f>VLOOKUP(B173,'2022 Count Table'!A173:X356,11)</f>
        <v>13215</v>
      </c>
      <c r="S173" s="19">
        <f t="shared" si="9"/>
        <v>13063.400000000001</v>
      </c>
      <c r="T173" s="20">
        <f t="shared" si="10"/>
        <v>0</v>
      </c>
      <c r="U173" s="21">
        <v>0.46875</v>
      </c>
      <c r="V173" s="16">
        <v>1050</v>
      </c>
      <c r="W173" s="16">
        <v>503</v>
      </c>
      <c r="X173" s="16">
        <v>547</v>
      </c>
      <c r="Y173" s="22">
        <v>8.1395348837209308E-2</v>
      </c>
      <c r="Z173" s="23">
        <v>0.52095238095238094</v>
      </c>
      <c r="AA173" s="21">
        <f>VLOOKUP(B173,'2022 Count Table'!A173:X356,19)</f>
        <v>0.67708333333333337</v>
      </c>
      <c r="AB173" s="16">
        <f>VLOOKUP($B173,'2022 Count Table'!A173:X356,20)</f>
        <v>1132</v>
      </c>
      <c r="AC173" s="16">
        <f>VLOOKUP($B173,'2022 Count Table'!A173:X356,21)</f>
        <v>578</v>
      </c>
      <c r="AD173" s="16">
        <f>VLOOKUP($B173,'2022 Count Table'!A173:X356,22)</f>
        <v>554</v>
      </c>
      <c r="AE173" s="22">
        <f>VLOOKUP($B173,'2022 Count Table'!A173:X356,23)</f>
        <v>8.5660234581914491E-2</v>
      </c>
      <c r="AF173" s="23">
        <f>VLOOKUP($B173,'2022 Count Table'!A173:X356,24)</f>
        <v>0.51060070671378088</v>
      </c>
      <c r="AG173" s="24">
        <v>2</v>
      </c>
      <c r="AH173" s="25">
        <v>40</v>
      </c>
      <c r="AI173" s="18" t="s">
        <v>268</v>
      </c>
      <c r="AJ173" s="16" t="s">
        <v>268</v>
      </c>
      <c r="AK173" s="16" t="s">
        <v>268</v>
      </c>
      <c r="AL173" s="16" t="s">
        <v>268</v>
      </c>
      <c r="AM173" s="16" t="s">
        <v>268</v>
      </c>
      <c r="AN173" s="128" t="s">
        <v>268</v>
      </c>
      <c r="AO173" s="131">
        <f t="shared" si="11"/>
        <v>13349.046749601892</v>
      </c>
      <c r="AP173" s="128">
        <f t="shared" si="12"/>
        <v>12490.453250398108</v>
      </c>
    </row>
    <row r="174" spans="1:42" s="205" customFormat="1" ht="18.95" customHeight="1">
      <c r="A174" s="184">
        <v>416</v>
      </c>
      <c r="B174" s="184">
        <f>VLOOKUP(C174,'station changes (20-21)'!$A$3:$D$298,4,)</f>
        <v>175</v>
      </c>
      <c r="C174" s="184">
        <v>416</v>
      </c>
      <c r="D174" s="185" t="s">
        <v>150</v>
      </c>
      <c r="E174" s="185" t="s">
        <v>478</v>
      </c>
      <c r="F174" s="186" t="s">
        <v>243</v>
      </c>
      <c r="G174" s="187" t="s">
        <v>267</v>
      </c>
      <c r="H174" s="188">
        <v>11222</v>
      </c>
      <c r="I174" s="189" t="s">
        <v>469</v>
      </c>
      <c r="J174" s="189">
        <v>10226</v>
      </c>
      <c r="K174" s="189">
        <v>10903</v>
      </c>
      <c r="L174" s="189">
        <f>L268</f>
        <v>10104</v>
      </c>
      <c r="M174" s="189">
        <f>M268</f>
        <v>10026</v>
      </c>
      <c r="N174" s="189">
        <f>N268</f>
        <v>8853</v>
      </c>
      <c r="O174" s="189">
        <f>O268</f>
        <v>7145</v>
      </c>
      <c r="P174" s="189">
        <f>P268</f>
        <v>9292</v>
      </c>
      <c r="Q174" s="189">
        <v>9833</v>
      </c>
      <c r="R174" s="189">
        <f>VLOOKUP(B174,'2022 Count Table'!A174:X357,11)</f>
        <v>12551</v>
      </c>
      <c r="S174" s="175">
        <f t="shared" si="9"/>
        <v>16593.600000000093</v>
      </c>
      <c r="T174" s="176">
        <f t="shared" si="10"/>
        <v>5.7500000000000002E-2</v>
      </c>
      <c r="U174" s="192" t="s">
        <v>243</v>
      </c>
      <c r="V174" s="189" t="s">
        <v>243</v>
      </c>
      <c r="W174" s="189" t="s">
        <v>243</v>
      </c>
      <c r="X174" s="189" t="s">
        <v>243</v>
      </c>
      <c r="Y174" s="193" t="s">
        <v>243</v>
      </c>
      <c r="Z174" s="194" t="s">
        <v>243</v>
      </c>
      <c r="AA174" s="192">
        <f>VLOOKUP(B174,'2022 Count Table'!A174:X357,19)</f>
        <v>0.67708333333333337</v>
      </c>
      <c r="AB174" s="189">
        <f>VLOOKUP($B174,'2022 Count Table'!A174:X357,20)</f>
        <v>1077</v>
      </c>
      <c r="AC174" s="189">
        <f>VLOOKUP($B174,'2022 Count Table'!A174:X357,21)</f>
        <v>450</v>
      </c>
      <c r="AD174" s="189">
        <f>VLOOKUP($B174,'2022 Count Table'!A174:X357,22)</f>
        <v>627</v>
      </c>
      <c r="AE174" s="193">
        <f>VLOOKUP($B174,'2022 Count Table'!A174:X357,23)</f>
        <v>8.5809895625846552E-2</v>
      </c>
      <c r="AF174" s="194">
        <f>VLOOKUP($B174,'2022 Count Table'!A174:X357,24)</f>
        <v>0.5821727019498607</v>
      </c>
      <c r="AG174" s="195">
        <v>4</v>
      </c>
      <c r="AH174" s="196">
        <v>40</v>
      </c>
      <c r="AI174" s="188" t="s">
        <v>268</v>
      </c>
      <c r="AJ174" s="189" t="s">
        <v>268</v>
      </c>
      <c r="AK174" s="189" t="s">
        <v>268</v>
      </c>
      <c r="AL174" s="189" t="s">
        <v>268</v>
      </c>
      <c r="AM174" s="189" t="s">
        <v>268</v>
      </c>
      <c r="AN174" s="197" t="s">
        <v>268</v>
      </c>
      <c r="AO174" s="198">
        <f t="shared" si="11"/>
        <v>12608.164010331349</v>
      </c>
      <c r="AP174" s="197">
        <f t="shared" si="12"/>
        <v>6461.4359896686492</v>
      </c>
    </row>
    <row r="175" spans="1:42" s="162" customFormat="1" ht="18.95" customHeight="1">
      <c r="A175" s="125">
        <v>472</v>
      </c>
      <c r="B175" s="125">
        <f>VLOOKUP(C175,'station changes (20-21)'!$A$3:$D$298,4,)</f>
        <v>176</v>
      </c>
      <c r="C175" s="125">
        <v>472</v>
      </c>
      <c r="D175" s="126" t="s">
        <v>503</v>
      </c>
      <c r="E175" s="126" t="s">
        <v>504</v>
      </c>
      <c r="F175" s="17">
        <v>43887</v>
      </c>
      <c r="G175" s="127" t="s">
        <v>267</v>
      </c>
      <c r="H175" s="18">
        <v>6973</v>
      </c>
      <c r="I175" s="16">
        <v>7909</v>
      </c>
      <c r="J175" s="16">
        <v>8922</v>
      </c>
      <c r="K175" s="16">
        <v>6495</v>
      </c>
      <c r="L175" s="16">
        <v>7485</v>
      </c>
      <c r="M175" s="16">
        <v>9766</v>
      </c>
      <c r="N175" s="16">
        <v>8792</v>
      </c>
      <c r="O175" s="16">
        <v>8397</v>
      </c>
      <c r="P175" s="16">
        <v>8185</v>
      </c>
      <c r="Q175" s="16">
        <v>7803</v>
      </c>
      <c r="R175" s="16">
        <f>VLOOKUP(B175,'2022 Count Table'!A175:X358,11)</f>
        <v>8132</v>
      </c>
      <c r="S175" s="19">
        <f>_xlfn.FORECAST.LINEAR($S$5,$N175:$R175,$N$5:$R$5)</f>
        <v>6922</v>
      </c>
      <c r="T175" s="20">
        <f t="shared" si="10"/>
        <v>0</v>
      </c>
      <c r="U175" s="21">
        <v>0.48958333333333298</v>
      </c>
      <c r="V175" s="16">
        <v>830</v>
      </c>
      <c r="W175" s="16">
        <v>399</v>
      </c>
      <c r="X175" s="16">
        <v>431</v>
      </c>
      <c r="Y175" s="22">
        <v>0.10140500916310324</v>
      </c>
      <c r="Z175" s="23">
        <v>0.51927710843373498</v>
      </c>
      <c r="AA175" s="21">
        <f>VLOOKUP(B175,'2022 Count Table'!A175:X358,19)</f>
        <v>0.5</v>
      </c>
      <c r="AB175" s="16">
        <f>VLOOKUP($B175,'2022 Count Table'!A175:X358,20)</f>
        <v>866</v>
      </c>
      <c r="AC175" s="16">
        <f>VLOOKUP($B175,'2022 Count Table'!A175:X358,21)</f>
        <v>463</v>
      </c>
      <c r="AD175" s="16">
        <f>VLOOKUP($B175,'2022 Count Table'!A175:X358,22)</f>
        <v>403</v>
      </c>
      <c r="AE175" s="22">
        <f>VLOOKUP($B175,'2022 Count Table'!A175:X358,23)</f>
        <v>0.10649286768322676</v>
      </c>
      <c r="AF175" s="23">
        <f>VLOOKUP($B175,'2022 Count Table'!A175:X358,24)</f>
        <v>0.53464203233256347</v>
      </c>
      <c r="AG175" s="24">
        <v>2</v>
      </c>
      <c r="AH175" s="25">
        <v>20</v>
      </c>
      <c r="AI175" s="18">
        <v>2654</v>
      </c>
      <c r="AJ175" s="16" t="s">
        <v>268</v>
      </c>
      <c r="AK175" s="16" t="s">
        <v>268</v>
      </c>
      <c r="AL175" s="16" t="s">
        <v>268</v>
      </c>
      <c r="AM175" s="16" t="s">
        <v>268</v>
      </c>
      <c r="AN175" s="128" t="s">
        <v>268</v>
      </c>
      <c r="AO175" s="131">
        <f t="shared" si="11"/>
        <v>8832.9731917728623</v>
      </c>
      <c r="AP175" s="128">
        <f t="shared" si="12"/>
        <v>7690.6268082271363</v>
      </c>
    </row>
    <row r="176" spans="1:42" s="205" customFormat="1" ht="18.95" customHeight="1">
      <c r="A176" s="184">
        <v>474</v>
      </c>
      <c r="B176" s="184">
        <f>VLOOKUP(C176,'station changes (20-21)'!$A$3:$D$298,4,)</f>
        <v>177</v>
      </c>
      <c r="C176" s="184">
        <v>474</v>
      </c>
      <c r="D176" s="185" t="s">
        <v>505</v>
      </c>
      <c r="E176" s="185" t="s">
        <v>502</v>
      </c>
      <c r="F176" s="186">
        <v>43865</v>
      </c>
      <c r="G176" s="187" t="s">
        <v>267</v>
      </c>
      <c r="H176" s="188">
        <v>3700</v>
      </c>
      <c r="I176" s="189">
        <v>3872.0930232558144</v>
      </c>
      <c r="J176" s="189">
        <v>3814</v>
      </c>
      <c r="K176" s="189">
        <v>3164</v>
      </c>
      <c r="L176" s="174">
        <v>5024</v>
      </c>
      <c r="M176" s="174">
        <v>4794</v>
      </c>
      <c r="N176" s="174">
        <v>4464</v>
      </c>
      <c r="O176" s="174">
        <v>4520</v>
      </c>
      <c r="P176" s="174">
        <v>4491</v>
      </c>
      <c r="Q176" s="174">
        <v>4351</v>
      </c>
      <c r="R176" s="174">
        <f>VLOOKUP(B176,'2022 Count Table'!A176:X359,11)</f>
        <v>4638</v>
      </c>
      <c r="S176" s="175">
        <f t="shared" si="9"/>
        <v>4618.0999999999949</v>
      </c>
      <c r="T176" s="176">
        <f t="shared" si="10"/>
        <v>0</v>
      </c>
      <c r="U176" s="192">
        <v>0.48958333333333298</v>
      </c>
      <c r="V176" s="189">
        <v>478</v>
      </c>
      <c r="W176" s="189">
        <v>240</v>
      </c>
      <c r="X176" s="189">
        <v>238</v>
      </c>
      <c r="Y176" s="193">
        <v>0.10643509240703629</v>
      </c>
      <c r="Z176" s="194">
        <v>0.502092050209205</v>
      </c>
      <c r="AA176" s="192">
        <f>VLOOKUP(B176,'2022 Count Table'!A176:X359,19)</f>
        <v>0.51041666666666663</v>
      </c>
      <c r="AB176" s="189">
        <f>VLOOKUP($B176,'2022 Count Table'!A176:X359,20)</f>
        <v>523</v>
      </c>
      <c r="AC176" s="189">
        <f>VLOOKUP($B176,'2022 Count Table'!A176:X359,21)</f>
        <v>264</v>
      </c>
      <c r="AD176" s="189">
        <f>VLOOKUP($B176,'2022 Count Table'!A176:X359,22)</f>
        <v>259</v>
      </c>
      <c r="AE176" s="193">
        <f>VLOOKUP($B176,'2022 Count Table'!A176:X359,23)</f>
        <v>0.11276412246658042</v>
      </c>
      <c r="AF176" s="194">
        <f>VLOOKUP($B176,'2022 Count Table'!A176:X359,24)</f>
        <v>0.5047801147227533</v>
      </c>
      <c r="AG176" s="195">
        <v>2</v>
      </c>
      <c r="AH176" s="196">
        <v>20</v>
      </c>
      <c r="AI176" s="188">
        <v>795</v>
      </c>
      <c r="AJ176" s="189" t="s">
        <v>268</v>
      </c>
      <c r="AK176" s="189" t="s">
        <v>268</v>
      </c>
      <c r="AL176" s="189" t="s">
        <v>268</v>
      </c>
      <c r="AM176" s="189" t="s">
        <v>268</v>
      </c>
      <c r="AN176" s="197" t="s">
        <v>268</v>
      </c>
      <c r="AO176" s="198">
        <f t="shared" si="11"/>
        <v>4654.6400908304249</v>
      </c>
      <c r="AP176" s="197">
        <f t="shared" si="12"/>
        <v>4330.9599091695754</v>
      </c>
    </row>
    <row r="177" spans="1:42" s="162" customFormat="1" ht="18.95" customHeight="1">
      <c r="A177" s="184">
        <v>470</v>
      </c>
      <c r="B177" s="184">
        <f>VLOOKUP(C177,'station changes (20-21)'!$A$3:$D$298,4,)</f>
        <v>178</v>
      </c>
      <c r="C177" s="184">
        <v>470</v>
      </c>
      <c r="D177" s="185" t="s">
        <v>501</v>
      </c>
      <c r="E177" s="185" t="s">
        <v>502</v>
      </c>
      <c r="F177" s="186">
        <v>43865</v>
      </c>
      <c r="G177" s="187" t="s">
        <v>267</v>
      </c>
      <c r="H177" s="188">
        <v>7212</v>
      </c>
      <c r="I177" s="189">
        <v>4198</v>
      </c>
      <c r="J177" s="189">
        <v>7940</v>
      </c>
      <c r="K177" s="189">
        <v>6447</v>
      </c>
      <c r="L177" s="189">
        <v>10441</v>
      </c>
      <c r="M177" s="189">
        <v>10887</v>
      </c>
      <c r="N177" s="189">
        <v>10238</v>
      </c>
      <c r="O177" s="189">
        <v>10843</v>
      </c>
      <c r="P177" s="189">
        <v>10858</v>
      </c>
      <c r="Q177" s="189">
        <v>10553</v>
      </c>
      <c r="R177" s="189">
        <f>VLOOKUP(B177,'2022 Count Table'!A177:X360,11)</f>
        <v>11586</v>
      </c>
      <c r="S177" s="175">
        <f t="shared" si="9"/>
        <v>12499.799999999988</v>
      </c>
      <c r="T177" s="176">
        <f t="shared" si="10"/>
        <v>1.4999999999999999E-2</v>
      </c>
      <c r="U177" s="192">
        <v>0.45833333333333298</v>
      </c>
      <c r="V177" s="189">
        <v>1067</v>
      </c>
      <c r="W177" s="189">
        <v>533</v>
      </c>
      <c r="X177" s="189">
        <v>534</v>
      </c>
      <c r="Y177" s="193">
        <v>9.8268557745441146E-2</v>
      </c>
      <c r="Z177" s="194">
        <v>0.50046860356138712</v>
      </c>
      <c r="AA177" s="192">
        <f>VLOOKUP(B177,'2022 Count Table'!A177:X360,19)</f>
        <v>0.5</v>
      </c>
      <c r="AB177" s="189">
        <f>VLOOKUP($B177,'2022 Count Table'!A177:X360,20)</f>
        <v>1146</v>
      </c>
      <c r="AC177" s="189">
        <f>VLOOKUP($B177,'2022 Count Table'!A177:X360,21)</f>
        <v>627</v>
      </c>
      <c r="AD177" s="189">
        <f>VLOOKUP($B177,'2022 Count Table'!A177:X360,22)</f>
        <v>519</v>
      </c>
      <c r="AE177" s="193">
        <f>VLOOKUP($B177,'2022 Count Table'!A177:X360,23)</f>
        <v>9.8912480580010356E-2</v>
      </c>
      <c r="AF177" s="194">
        <f>VLOOKUP($B177,'2022 Count Table'!A177:X360,24)</f>
        <v>0.54712041884816753</v>
      </c>
      <c r="AG177" s="195">
        <v>2</v>
      </c>
      <c r="AH177" s="196">
        <v>20</v>
      </c>
      <c r="AI177" s="188">
        <v>2390</v>
      </c>
      <c r="AJ177" s="189" t="s">
        <v>268</v>
      </c>
      <c r="AK177" s="189" t="s">
        <v>268</v>
      </c>
      <c r="AL177" s="189" t="s">
        <v>268</v>
      </c>
      <c r="AM177" s="189" t="s">
        <v>268</v>
      </c>
      <c r="AN177" s="197" t="s">
        <v>268</v>
      </c>
      <c r="AO177" s="198">
        <f t="shared" si="11"/>
        <v>11597.693463084815</v>
      </c>
      <c r="AP177" s="197">
        <f t="shared" si="12"/>
        <v>10033.506536915185</v>
      </c>
    </row>
    <row r="178" spans="1:42" s="205" customFormat="1" ht="18.95" customHeight="1">
      <c r="A178" s="125">
        <v>261</v>
      </c>
      <c r="B178" s="125">
        <f>VLOOKUP(C178,'station changes (20-21)'!$A$3:$D$298,4,)</f>
        <v>179</v>
      </c>
      <c r="C178" s="125">
        <v>261</v>
      </c>
      <c r="D178" s="126" t="s">
        <v>402</v>
      </c>
      <c r="E178" s="126" t="s">
        <v>403</v>
      </c>
      <c r="F178" s="17">
        <v>43873</v>
      </c>
      <c r="G178" s="127" t="s">
        <v>267</v>
      </c>
      <c r="H178" s="18">
        <v>9756</v>
      </c>
      <c r="I178" s="16">
        <v>8736</v>
      </c>
      <c r="J178" s="16">
        <v>9958</v>
      </c>
      <c r="K178" s="16">
        <v>10924</v>
      </c>
      <c r="L178" s="16">
        <v>11122</v>
      </c>
      <c r="M178" s="16">
        <v>12433</v>
      </c>
      <c r="N178" s="16">
        <v>11600</v>
      </c>
      <c r="O178" s="16">
        <v>11678</v>
      </c>
      <c r="P178" s="16">
        <v>11298</v>
      </c>
      <c r="Q178" s="16">
        <v>10785</v>
      </c>
      <c r="R178" s="16">
        <f>VLOOKUP(B178,'2022 Count Table'!A178:X361,11)</f>
        <v>10322</v>
      </c>
      <c r="S178" s="19">
        <f t="shared" si="9"/>
        <v>8722.3000000000466</v>
      </c>
      <c r="T178" s="20">
        <f t="shared" si="10"/>
        <v>0</v>
      </c>
      <c r="U178" s="21">
        <v>0.46875</v>
      </c>
      <c r="V178" s="16">
        <v>1125</v>
      </c>
      <c r="W178" s="16">
        <v>512</v>
      </c>
      <c r="X178" s="16">
        <v>613</v>
      </c>
      <c r="Y178" s="22">
        <v>9.957514604354753E-2</v>
      </c>
      <c r="Z178" s="23">
        <v>0.54488888888888887</v>
      </c>
      <c r="AA178" s="21">
        <f>VLOOKUP(B178,'2022 Count Table'!A178:X361,19)</f>
        <v>0.5</v>
      </c>
      <c r="AB178" s="16">
        <f>VLOOKUP($B178,'2022 Count Table'!A178:X361,20)</f>
        <v>975</v>
      </c>
      <c r="AC178" s="16">
        <f>VLOOKUP($B178,'2022 Count Table'!A178:X361,21)</f>
        <v>459</v>
      </c>
      <c r="AD178" s="16">
        <f>VLOOKUP($B178,'2022 Count Table'!A178:X361,22)</f>
        <v>516</v>
      </c>
      <c r="AE178" s="22">
        <f>VLOOKUP($B178,'2022 Count Table'!A178:X361,23)</f>
        <v>9.4458438287153654E-2</v>
      </c>
      <c r="AF178" s="23">
        <f>VLOOKUP($B178,'2022 Count Table'!A178:X361,24)</f>
        <v>0.52923076923076928</v>
      </c>
      <c r="AG178" s="24">
        <v>4</v>
      </c>
      <c r="AH178" s="25">
        <v>35</v>
      </c>
      <c r="AI178" s="18">
        <v>4888</v>
      </c>
      <c r="AJ178" s="16" t="s">
        <v>268</v>
      </c>
      <c r="AK178" s="16" t="s">
        <v>268</v>
      </c>
      <c r="AL178" s="16" t="s">
        <v>268</v>
      </c>
      <c r="AM178" s="16" t="s">
        <v>268</v>
      </c>
      <c r="AN178" s="128" t="s">
        <v>268</v>
      </c>
      <c r="AO178" s="131">
        <f t="shared" si="11"/>
        <v>12036.140582742102</v>
      </c>
      <c r="AP178" s="128">
        <f t="shared" si="12"/>
        <v>10237.059417257899</v>
      </c>
    </row>
    <row r="179" spans="1:42" s="162" customFormat="1" ht="18.95" customHeight="1">
      <c r="A179" s="184">
        <v>264</v>
      </c>
      <c r="B179" s="184">
        <f>VLOOKUP(C179,'station changes (20-21)'!$A$3:$D$298,4,)</f>
        <v>180</v>
      </c>
      <c r="C179" s="184">
        <v>264</v>
      </c>
      <c r="D179" s="185" t="s">
        <v>402</v>
      </c>
      <c r="E179" s="185" t="s">
        <v>404</v>
      </c>
      <c r="F179" s="186">
        <v>43887</v>
      </c>
      <c r="G179" s="187" t="s">
        <v>267</v>
      </c>
      <c r="H179" s="188">
        <v>9408</v>
      </c>
      <c r="I179" s="189">
        <v>9262</v>
      </c>
      <c r="J179" s="189">
        <v>226</v>
      </c>
      <c r="K179" s="189">
        <v>9098</v>
      </c>
      <c r="L179" s="174">
        <v>10981</v>
      </c>
      <c r="M179" s="174">
        <v>12399</v>
      </c>
      <c r="N179" s="174">
        <v>11169</v>
      </c>
      <c r="O179" s="174">
        <v>11306</v>
      </c>
      <c r="P179" s="174">
        <v>11061</v>
      </c>
      <c r="Q179" s="174">
        <v>10841</v>
      </c>
      <c r="R179" s="174">
        <f>VLOOKUP(B179,'2022 Count Table'!A179:X362,11)</f>
        <v>10488</v>
      </c>
      <c r="S179" s="175">
        <f t="shared" si="9"/>
        <v>9694.1000000000349</v>
      </c>
      <c r="T179" s="176">
        <f t="shared" si="10"/>
        <v>0</v>
      </c>
      <c r="U179" s="192">
        <v>0.4375</v>
      </c>
      <c r="V179" s="189">
        <v>1081</v>
      </c>
      <c r="W179" s="189">
        <v>564</v>
      </c>
      <c r="X179" s="189">
        <v>517</v>
      </c>
      <c r="Y179" s="193">
        <v>9.7730765753548499E-2</v>
      </c>
      <c r="Z179" s="194">
        <v>0.52173913043478259</v>
      </c>
      <c r="AA179" s="192">
        <f>VLOOKUP(B179,'2022 Count Table'!A179:X362,19)</f>
        <v>0.54166666666666663</v>
      </c>
      <c r="AB179" s="189">
        <f>VLOOKUP($B179,'2022 Count Table'!A179:X362,20)</f>
        <v>998</v>
      </c>
      <c r="AC179" s="189">
        <f>VLOOKUP($B179,'2022 Count Table'!A179:X362,21)</f>
        <v>459</v>
      </c>
      <c r="AD179" s="189">
        <f>VLOOKUP($B179,'2022 Count Table'!A179:X362,22)</f>
        <v>539</v>
      </c>
      <c r="AE179" s="193">
        <f>VLOOKUP($B179,'2022 Count Table'!A179:X362,23)</f>
        <v>9.5156369183829137E-2</v>
      </c>
      <c r="AF179" s="194">
        <f>VLOOKUP($B179,'2022 Count Table'!A179:X362,24)</f>
        <v>0.54008016032064132</v>
      </c>
      <c r="AG179" s="195">
        <v>4</v>
      </c>
      <c r="AH179" s="196">
        <v>20</v>
      </c>
      <c r="AI179" s="188">
        <v>829</v>
      </c>
      <c r="AJ179" s="189">
        <v>736</v>
      </c>
      <c r="AK179" s="189">
        <v>972</v>
      </c>
      <c r="AL179" s="189">
        <v>608</v>
      </c>
      <c r="AM179" s="189">
        <v>875</v>
      </c>
      <c r="AN179" s="197">
        <v>752</v>
      </c>
      <c r="AO179" s="198">
        <f t="shared" si="11"/>
        <v>11473.939143010406</v>
      </c>
      <c r="AP179" s="197">
        <f t="shared" si="12"/>
        <v>10472.060856989594</v>
      </c>
    </row>
    <row r="180" spans="1:42" s="205" customFormat="1" ht="18.95" customHeight="1">
      <c r="A180" s="125">
        <v>267</v>
      </c>
      <c r="B180" s="125">
        <f>VLOOKUP(C180,'station changes (20-21)'!$A$3:$D$298,4,)</f>
        <v>181</v>
      </c>
      <c r="C180" s="125">
        <v>267</v>
      </c>
      <c r="D180" s="126" t="s">
        <v>402</v>
      </c>
      <c r="E180" s="126" t="s">
        <v>405</v>
      </c>
      <c r="F180" s="17">
        <v>43844</v>
      </c>
      <c r="G180" s="127" t="s">
        <v>267</v>
      </c>
      <c r="H180" s="18">
        <v>3665</v>
      </c>
      <c r="I180" s="16">
        <v>7598</v>
      </c>
      <c r="J180" s="16">
        <v>5116</v>
      </c>
      <c r="K180" s="16">
        <v>5039</v>
      </c>
      <c r="L180" s="202">
        <v>5762</v>
      </c>
      <c r="M180" s="202">
        <v>4457</v>
      </c>
      <c r="N180" s="202">
        <v>5549</v>
      </c>
      <c r="O180" s="202">
        <v>4961</v>
      </c>
      <c r="P180" s="202">
        <v>4857</v>
      </c>
      <c r="Q180" s="202">
        <v>4808</v>
      </c>
      <c r="R180" s="202">
        <f>VLOOKUP(B180,'2022 Count Table'!A180:X363,11)</f>
        <v>5533</v>
      </c>
      <c r="S180" s="19">
        <f t="shared" si="9"/>
        <v>5012.0999999999985</v>
      </c>
      <c r="T180" s="20">
        <f t="shared" si="10"/>
        <v>0</v>
      </c>
      <c r="U180" s="21">
        <v>0.48958333333333298</v>
      </c>
      <c r="V180" s="16">
        <v>511</v>
      </c>
      <c r="W180" s="16">
        <v>292</v>
      </c>
      <c r="X180" s="16">
        <v>219</v>
      </c>
      <c r="Y180" s="22">
        <v>0.10520897673460984</v>
      </c>
      <c r="Z180" s="23">
        <v>0.5714285714285714</v>
      </c>
      <c r="AA180" s="21">
        <f>VLOOKUP(B180,'2022 Count Table'!A180:X363,19)</f>
        <v>0.5</v>
      </c>
      <c r="AB180" s="16">
        <f>VLOOKUP($B180,'2022 Count Table'!A180:X363,20)</f>
        <v>547</v>
      </c>
      <c r="AC180" s="16">
        <f>VLOOKUP($B180,'2022 Count Table'!A180:X363,21)</f>
        <v>294</v>
      </c>
      <c r="AD180" s="16">
        <f>VLOOKUP($B180,'2022 Count Table'!A180:X363,22)</f>
        <v>253</v>
      </c>
      <c r="AE180" s="22">
        <f>VLOOKUP($B180,'2022 Count Table'!A180:X363,23)</f>
        <v>9.8861377191397079E-2</v>
      </c>
      <c r="AF180" s="23">
        <f>VLOOKUP($B180,'2022 Count Table'!A180:X363,24)</f>
        <v>0.53747714808043878</v>
      </c>
      <c r="AG180" s="24">
        <v>2</v>
      </c>
      <c r="AH180" s="25">
        <v>20</v>
      </c>
      <c r="AI180" s="18">
        <v>1666</v>
      </c>
      <c r="AJ180" s="16" t="s">
        <v>268</v>
      </c>
      <c r="AK180" s="16" t="s">
        <v>268</v>
      </c>
      <c r="AL180" s="16" t="s">
        <v>268</v>
      </c>
      <c r="AM180" s="16" t="s">
        <v>268</v>
      </c>
      <c r="AN180" s="128" t="s">
        <v>268</v>
      </c>
      <c r="AO180" s="131">
        <f t="shared" si="11"/>
        <v>5718.8725612741355</v>
      </c>
      <c r="AP180" s="128">
        <f t="shared" si="12"/>
        <v>4564.3274387258652</v>
      </c>
    </row>
    <row r="181" spans="1:42" s="162" customFormat="1" ht="18.95" customHeight="1">
      <c r="A181" s="125">
        <v>489</v>
      </c>
      <c r="B181" s="125">
        <f>VLOOKUP(C181,'station changes (20-21)'!$A$3:$D$298,4,)</f>
        <v>182</v>
      </c>
      <c r="C181" s="125">
        <v>489</v>
      </c>
      <c r="D181" s="126" t="s">
        <v>671</v>
      </c>
      <c r="E181" s="126" t="s">
        <v>518</v>
      </c>
      <c r="F181" s="17">
        <v>43887</v>
      </c>
      <c r="G181" s="127" t="s">
        <v>267</v>
      </c>
      <c r="H181" s="18" t="s">
        <v>243</v>
      </c>
      <c r="I181" s="16">
        <v>2653</v>
      </c>
      <c r="J181" s="16">
        <v>3741</v>
      </c>
      <c r="K181" s="16">
        <v>3992</v>
      </c>
      <c r="L181" s="202">
        <v>3736</v>
      </c>
      <c r="M181" s="202">
        <v>3244</v>
      </c>
      <c r="N181" s="202">
        <v>3778</v>
      </c>
      <c r="O181" s="202">
        <v>4242</v>
      </c>
      <c r="P181" s="202">
        <v>3585</v>
      </c>
      <c r="Q181" s="202">
        <v>3602</v>
      </c>
      <c r="R181" s="202">
        <f>VLOOKUP(B181,'2022 Count Table'!A181:X364,11)</f>
        <v>3958</v>
      </c>
      <c r="S181" s="19">
        <f t="shared" si="9"/>
        <v>3637</v>
      </c>
      <c r="T181" s="20">
        <f t="shared" si="10"/>
        <v>0</v>
      </c>
      <c r="U181" s="21">
        <v>0.47916666666666702</v>
      </c>
      <c r="V181" s="16">
        <v>379</v>
      </c>
      <c r="W181" s="16">
        <v>184</v>
      </c>
      <c r="X181" s="16">
        <v>195</v>
      </c>
      <c r="Y181" s="22">
        <v>0.10571827057182706</v>
      </c>
      <c r="Z181" s="23">
        <v>0.51451187335092352</v>
      </c>
      <c r="AA181" s="21">
        <f>VLOOKUP(B181,'2022 Count Table'!A181:X364,19)</f>
        <v>0.51041666666666663</v>
      </c>
      <c r="AB181" s="16">
        <f>VLOOKUP($B181,'2022 Count Table'!A181:X364,20)</f>
        <v>417</v>
      </c>
      <c r="AC181" s="16">
        <f>VLOOKUP($B181,'2022 Count Table'!A181:X364,21)</f>
        <v>242</v>
      </c>
      <c r="AD181" s="16">
        <f>VLOOKUP($B181,'2022 Count Table'!A181:X364,22)</f>
        <v>175</v>
      </c>
      <c r="AE181" s="22">
        <f>VLOOKUP($B181,'2022 Count Table'!A181:X364,23)</f>
        <v>0.10535624052551794</v>
      </c>
      <c r="AF181" s="23">
        <f>VLOOKUP($B181,'2022 Count Table'!A181:X364,24)</f>
        <v>0.58033573141486805</v>
      </c>
      <c r="AG181" s="24">
        <v>4</v>
      </c>
      <c r="AH181" s="25">
        <v>30</v>
      </c>
      <c r="AI181" s="18" t="s">
        <v>268</v>
      </c>
      <c r="AJ181" s="16" t="s">
        <v>268</v>
      </c>
      <c r="AK181" s="16" t="s">
        <v>268</v>
      </c>
      <c r="AL181" s="16" t="s">
        <v>268</v>
      </c>
      <c r="AM181" s="16" t="s">
        <v>268</v>
      </c>
      <c r="AN181" s="128" t="s">
        <v>268</v>
      </c>
      <c r="AO181" s="131">
        <f t="shared" si="11"/>
        <v>4262.229018124357</v>
      </c>
      <c r="AP181" s="128">
        <f t="shared" si="12"/>
        <v>3403.7709818756425</v>
      </c>
    </row>
    <row r="182" spans="1:42" s="205" customFormat="1" ht="18.95" customHeight="1">
      <c r="A182" s="125">
        <v>476</v>
      </c>
      <c r="B182" s="125">
        <f>VLOOKUP(C182,'station changes (20-21)'!$A$3:$D$298,4,)</f>
        <v>183</v>
      </c>
      <c r="C182" s="125">
        <v>476</v>
      </c>
      <c r="D182" s="126" t="s">
        <v>506</v>
      </c>
      <c r="E182" s="126" t="s">
        <v>507</v>
      </c>
      <c r="F182" s="17">
        <v>43865</v>
      </c>
      <c r="G182" s="127" t="s">
        <v>267</v>
      </c>
      <c r="H182" s="18">
        <v>3124</v>
      </c>
      <c r="I182" s="16">
        <v>2093.2925170068024</v>
      </c>
      <c r="J182" s="16">
        <v>2856</v>
      </c>
      <c r="K182" s="16">
        <v>2450</v>
      </c>
      <c r="L182" s="16">
        <v>3256</v>
      </c>
      <c r="M182" s="16">
        <v>2806</v>
      </c>
      <c r="N182" s="16">
        <v>3448</v>
      </c>
      <c r="O182" s="16">
        <v>3412</v>
      </c>
      <c r="P182" s="16">
        <v>3270</v>
      </c>
      <c r="Q182" s="16">
        <v>3195</v>
      </c>
      <c r="R182" s="16">
        <f>VLOOKUP(B182,'2022 Count Table'!A182:X365,11)</f>
        <v>3339</v>
      </c>
      <c r="S182" s="19">
        <f t="shared" si="9"/>
        <v>3028.3000000000029</v>
      </c>
      <c r="T182" s="20">
        <f t="shared" si="10"/>
        <v>0</v>
      </c>
      <c r="U182" s="21">
        <v>0.44791666666666702</v>
      </c>
      <c r="V182" s="16">
        <v>304</v>
      </c>
      <c r="W182" s="16">
        <v>155</v>
      </c>
      <c r="X182" s="16">
        <v>149</v>
      </c>
      <c r="Y182" s="22">
        <v>9.2966360856269109E-2</v>
      </c>
      <c r="Z182" s="23">
        <v>0.50986842105263153</v>
      </c>
      <c r="AA182" s="21">
        <f>VLOOKUP(B182,'2022 Count Table'!A182:X365,19)</f>
        <v>0.625</v>
      </c>
      <c r="AB182" s="16">
        <f>VLOOKUP($B182,'2022 Count Table'!A182:X365,20)</f>
        <v>312</v>
      </c>
      <c r="AC182" s="16">
        <f>VLOOKUP($B182,'2022 Count Table'!A182:X365,21)</f>
        <v>143</v>
      </c>
      <c r="AD182" s="16">
        <f>VLOOKUP($B182,'2022 Count Table'!A182:X365,22)</f>
        <v>169</v>
      </c>
      <c r="AE182" s="22">
        <f>VLOOKUP($B182,'2022 Count Table'!A182:X365,23)</f>
        <v>9.3441150044923635E-2</v>
      </c>
      <c r="AF182" s="23">
        <f>VLOOKUP($B182,'2022 Count Table'!A182:X365,24)</f>
        <v>0.54166666666666663</v>
      </c>
      <c r="AG182" s="24">
        <v>2</v>
      </c>
      <c r="AH182" s="25">
        <v>20</v>
      </c>
      <c r="AI182" s="18">
        <v>866</v>
      </c>
      <c r="AJ182" s="16" t="s">
        <v>268</v>
      </c>
      <c r="AK182" s="16" t="s">
        <v>268</v>
      </c>
      <c r="AL182" s="16" t="s">
        <v>268</v>
      </c>
      <c r="AM182" s="16" t="s">
        <v>268</v>
      </c>
      <c r="AN182" s="128" t="s">
        <v>268</v>
      </c>
      <c r="AO182" s="131">
        <f t="shared" si="11"/>
        <v>3494.1701180516393</v>
      </c>
      <c r="AP182" s="128">
        <f t="shared" si="12"/>
        <v>3171.4298819483611</v>
      </c>
    </row>
    <row r="183" spans="1:42" s="162" customFormat="1" ht="18.95" customHeight="1">
      <c r="A183" s="184">
        <v>1250</v>
      </c>
      <c r="B183" s="184">
        <f>VLOOKUP(C183,'station changes (20-21)'!$A$3:$D$298,4,)</f>
        <v>184</v>
      </c>
      <c r="C183" s="184">
        <v>1250</v>
      </c>
      <c r="D183" s="185" t="s">
        <v>532</v>
      </c>
      <c r="E183" s="185" t="s">
        <v>533</v>
      </c>
      <c r="F183" s="186">
        <v>43844</v>
      </c>
      <c r="G183" s="187" t="s">
        <v>267</v>
      </c>
      <c r="H183" s="188" t="s">
        <v>243</v>
      </c>
      <c r="I183" s="189" t="s">
        <v>243</v>
      </c>
      <c r="J183" s="189" t="s">
        <v>243</v>
      </c>
      <c r="K183" s="189" t="s">
        <v>243</v>
      </c>
      <c r="L183" s="174" t="s">
        <v>243</v>
      </c>
      <c r="M183" s="174" t="s">
        <v>243</v>
      </c>
      <c r="N183" s="174">
        <v>5906</v>
      </c>
      <c r="O183" s="174">
        <v>4394</v>
      </c>
      <c r="P183" s="174">
        <v>5871</v>
      </c>
      <c r="Q183" s="174">
        <v>5632</v>
      </c>
      <c r="R183" s="174">
        <f>VLOOKUP(B183,'2022 Count Table'!A183:X366,11)</f>
        <v>4177</v>
      </c>
      <c r="S183" s="175">
        <f t="shared" si="9"/>
        <v>3642</v>
      </c>
      <c r="T183" s="176">
        <f t="shared" si="10"/>
        <v>0</v>
      </c>
      <c r="U183" s="192">
        <v>0.47916666666666702</v>
      </c>
      <c r="V183" s="189">
        <v>585</v>
      </c>
      <c r="W183" s="189">
        <v>298</v>
      </c>
      <c r="X183" s="189">
        <v>287</v>
      </c>
      <c r="Y183" s="193">
        <v>9.9642309657639247E-2</v>
      </c>
      <c r="Z183" s="194">
        <v>0.50940170940170937</v>
      </c>
      <c r="AA183" s="192">
        <f>VLOOKUP(B183,'2022 Count Table'!A183:X366,19)</f>
        <v>0.60416666666666663</v>
      </c>
      <c r="AB183" s="189">
        <f>VLOOKUP($B183,'2022 Count Table'!A183:X366,20)</f>
        <v>443</v>
      </c>
      <c r="AC183" s="189">
        <f>VLOOKUP($B183,'2022 Count Table'!A183:X366,21)</f>
        <v>253</v>
      </c>
      <c r="AD183" s="189">
        <f>VLOOKUP($B183,'2022 Count Table'!A183:X366,22)</f>
        <v>190</v>
      </c>
      <c r="AE183" s="193">
        <f>VLOOKUP($B183,'2022 Count Table'!A183:X366,23)</f>
        <v>0.10605697869284175</v>
      </c>
      <c r="AF183" s="194">
        <f>VLOOKUP($B183,'2022 Count Table'!A183:X366,24)</f>
        <v>0.57110609480812646</v>
      </c>
      <c r="AG183" s="195">
        <v>2</v>
      </c>
      <c r="AH183" s="196">
        <v>25</v>
      </c>
      <c r="AI183" s="188" t="s">
        <v>268</v>
      </c>
      <c r="AJ183" s="189" t="s">
        <v>268</v>
      </c>
      <c r="AK183" s="189" t="s">
        <v>268</v>
      </c>
      <c r="AL183" s="189" t="s">
        <v>268</v>
      </c>
      <c r="AM183" s="189" t="s">
        <v>268</v>
      </c>
      <c r="AN183" s="197" t="s">
        <v>268</v>
      </c>
      <c r="AO183" s="198">
        <f t="shared" si="11"/>
        <v>6512.8993602398023</v>
      </c>
      <c r="AP183" s="197">
        <f t="shared" si="12"/>
        <v>3879.1006397601977</v>
      </c>
    </row>
    <row r="184" spans="1:42" s="205" customFormat="1" ht="18.95" customHeight="1">
      <c r="A184" s="277">
        <v>80037</v>
      </c>
      <c r="B184" s="494">
        <f>VLOOKUP(C184,'station changes (20-21)'!$A$3:$D$298,4,)</f>
        <v>80037</v>
      </c>
      <c r="C184" s="277">
        <v>80037</v>
      </c>
      <c r="D184" s="286"/>
      <c r="E184" s="286"/>
      <c r="F184" s="286"/>
      <c r="G184" s="296"/>
      <c r="H184" s="302">
        <v>37500</v>
      </c>
      <c r="I184" s="252">
        <v>36000</v>
      </c>
      <c r="J184" s="252">
        <v>38500</v>
      </c>
      <c r="K184" s="252">
        <v>37500</v>
      </c>
      <c r="L184" s="146">
        <v>47500</v>
      </c>
      <c r="M184" s="146">
        <v>51000</v>
      </c>
      <c r="N184" s="146">
        <v>52000</v>
      </c>
      <c r="O184" s="146">
        <v>52500</v>
      </c>
      <c r="P184" s="146"/>
      <c r="Q184" s="146">
        <v>52550</v>
      </c>
      <c r="R184" s="146">
        <f>_xlfn.FORECAST.LINEAR($R$5,$M184:$Q184,$M$5:$Q$5)</f>
        <v>53168.571428571362</v>
      </c>
      <c r="S184" s="232">
        <f>_xlfn.FORECAST.LINEAR($S$5,$N184:$R184,$N$5:$R$5)</f>
        <v>54225.642857142782</v>
      </c>
      <c r="T184" s="233">
        <f t="shared" si="10"/>
        <v>5.0000000000000001E-3</v>
      </c>
      <c r="U184" s="322"/>
      <c r="V184" s="286"/>
      <c r="W184" s="286"/>
      <c r="X184" s="286"/>
      <c r="Y184" s="286"/>
      <c r="Z184" s="331"/>
      <c r="AA184" s="334"/>
      <c r="AB184" s="252">
        <f>AC184+AD184</f>
        <v>3914</v>
      </c>
      <c r="AC184" s="252">
        <f>ROUND(AVERAGE(1797,1943),0)</f>
        <v>1870</v>
      </c>
      <c r="AD184" s="252">
        <f>ROUND(AVERAGE(2180,1908),0)</f>
        <v>2044</v>
      </c>
      <c r="AE184" s="252"/>
      <c r="AF184" s="331"/>
      <c r="AG184" s="334"/>
      <c r="AH184" s="296"/>
      <c r="AI184" s="334"/>
      <c r="AJ184" s="286"/>
      <c r="AK184" s="286"/>
      <c r="AL184" s="286"/>
      <c r="AM184" s="286"/>
      <c r="AN184" s="342"/>
      <c r="AO184" s="240">
        <f>AVERAGE(N184:R184)+_xlfn.STDEV.P(N184:R184)*1.75</f>
        <v>53280.177950625533</v>
      </c>
      <c r="AP184" s="239">
        <f>AVERAGE(N184:R184)-_xlfn.STDEV.P(N184:R184)*1.75</f>
        <v>51829.107763660148</v>
      </c>
    </row>
    <row r="185" spans="1:42" s="162" customFormat="1" ht="18.95" customHeight="1">
      <c r="A185" s="277">
        <v>85307</v>
      </c>
      <c r="B185" s="494">
        <f>VLOOKUP(C185,'station changes (20-21)'!$A$3:$D$298,4,)</f>
        <v>85307</v>
      </c>
      <c r="C185" s="277">
        <v>85307</v>
      </c>
      <c r="D185" s="286"/>
      <c r="E185" s="286"/>
      <c r="F185" s="286"/>
      <c r="G185" s="296"/>
      <c r="H185" s="302">
        <v>3800</v>
      </c>
      <c r="I185" s="252">
        <v>3600</v>
      </c>
      <c r="J185" s="252">
        <v>3600</v>
      </c>
      <c r="K185" s="252">
        <v>3900</v>
      </c>
      <c r="L185" s="146">
        <v>3900</v>
      </c>
      <c r="M185" s="146">
        <v>4100</v>
      </c>
      <c r="N185" s="146">
        <v>4600</v>
      </c>
      <c r="O185" s="146">
        <v>4800</v>
      </c>
      <c r="P185" s="146">
        <v>4200</v>
      </c>
      <c r="Q185" s="146">
        <v>4500</v>
      </c>
      <c r="R185" s="146">
        <f>_xlfn.FORECAST.LINEAR($R$5,$M185:$Q185,$M$5:$Q$5)</f>
        <v>4560</v>
      </c>
      <c r="S185" s="232">
        <f>_xlfn.FORECAST.LINEAR($S$5,$N185:$R185,$N$5:$R$5)</f>
        <v>4266</v>
      </c>
      <c r="T185" s="233">
        <f t="shared" si="10"/>
        <v>0</v>
      </c>
      <c r="U185" s="322"/>
      <c r="V185" s="286"/>
      <c r="W185" s="286"/>
      <c r="X185" s="286"/>
      <c r="Y185" s="286"/>
      <c r="Z185" s="331"/>
      <c r="AA185" s="334"/>
      <c r="AB185" s="252">
        <f t="shared" ref="AB185:AB215" si="13">AC185+AD185</f>
        <v>410</v>
      </c>
      <c r="AC185" s="252">
        <f>ROUND(AVERAGE(179,196),0)</f>
        <v>188</v>
      </c>
      <c r="AD185" s="252">
        <f>ROUND(AVERAGE(233,210),0)</f>
        <v>222</v>
      </c>
      <c r="AE185" s="252"/>
      <c r="AF185" s="331"/>
      <c r="AG185" s="334"/>
      <c r="AH185" s="296"/>
      <c r="AI185" s="334"/>
      <c r="AJ185" s="286"/>
      <c r="AK185" s="286"/>
      <c r="AL185" s="286"/>
      <c r="AM185" s="286"/>
      <c r="AN185" s="342"/>
      <c r="AO185" s="240">
        <f t="shared" si="11"/>
        <v>4871.7705107863248</v>
      </c>
      <c r="AP185" s="239">
        <f t="shared" si="12"/>
        <v>4192.2294892136752</v>
      </c>
    </row>
    <row r="186" spans="1:42" s="205" customFormat="1" ht="18.95" customHeight="1">
      <c r="A186" s="277">
        <v>118009</v>
      </c>
      <c r="B186" s="494">
        <f>VLOOKUP(C186,'station changes (20-21)'!$A$3:$D$298,4,)</f>
        <v>118009</v>
      </c>
      <c r="C186" s="277">
        <v>118009</v>
      </c>
      <c r="D186" s="286"/>
      <c r="E186" s="286"/>
      <c r="F186" s="286"/>
      <c r="G186" s="296"/>
      <c r="H186" s="302">
        <v>400</v>
      </c>
      <c r="I186" s="252">
        <v>400</v>
      </c>
      <c r="J186" s="252">
        <v>400</v>
      </c>
      <c r="K186" s="252">
        <v>450</v>
      </c>
      <c r="L186" s="146">
        <v>450</v>
      </c>
      <c r="M186" s="146">
        <v>400</v>
      </c>
      <c r="N186" s="146">
        <v>400</v>
      </c>
      <c r="O186" s="146">
        <v>400</v>
      </c>
      <c r="P186" s="146">
        <v>500</v>
      </c>
      <c r="Q186" s="146">
        <v>500</v>
      </c>
      <c r="R186" s="146">
        <f t="shared" ref="R186:R240" si="14">_xlfn.FORECAST.LINEAR($R$5,$M186:$Q186,$M$5:$Q$5)</f>
        <v>530</v>
      </c>
      <c r="S186" s="232">
        <f t="shared" si="9"/>
        <v>718</v>
      </c>
      <c r="T186" s="233">
        <f t="shared" si="10"/>
        <v>6.25E-2</v>
      </c>
      <c r="U186" s="322"/>
      <c r="V186" s="286"/>
      <c r="W186" s="286"/>
      <c r="X186" s="286"/>
      <c r="Y186" s="286"/>
      <c r="Z186" s="331"/>
      <c r="AA186" s="334"/>
      <c r="AB186" s="252">
        <f>AC186+AD186</f>
        <v>50</v>
      </c>
      <c r="AC186" s="252">
        <f>ROUND(R186*0.095*(0.538),0)</f>
        <v>27</v>
      </c>
      <c r="AD186" s="252">
        <f>ROUND(R186*0.095*(1-0.538),0)</f>
        <v>23</v>
      </c>
      <c r="AE186" s="252"/>
      <c r="AF186" s="331"/>
      <c r="AG186" s="334"/>
      <c r="AH186" s="296"/>
      <c r="AI186" s="334"/>
      <c r="AJ186" s="286"/>
      <c r="AK186" s="286"/>
      <c r="AL186" s="286"/>
      <c r="AM186" s="286"/>
      <c r="AN186" s="342"/>
      <c r="AO186" s="240">
        <f t="shared" si="11"/>
        <v>562.23408959407266</v>
      </c>
      <c r="AP186" s="239">
        <f t="shared" si="12"/>
        <v>369.76591040592734</v>
      </c>
    </row>
    <row r="187" spans="1:42" s="162" customFormat="1" ht="18.75" customHeight="1">
      <c r="A187" s="277">
        <v>180001</v>
      </c>
      <c r="B187" s="494">
        <f>VLOOKUP(C187,'station changes (20-21)'!$A$3:$D$298,4,)</f>
        <v>180001</v>
      </c>
      <c r="C187" s="277">
        <v>180001</v>
      </c>
      <c r="D187" s="286"/>
      <c r="E187" s="286"/>
      <c r="F187" s="286"/>
      <c r="G187" s="296"/>
      <c r="H187" s="302">
        <v>4500</v>
      </c>
      <c r="I187" s="252">
        <v>5100</v>
      </c>
      <c r="J187" s="252">
        <v>4500</v>
      </c>
      <c r="K187" s="252">
        <v>4800</v>
      </c>
      <c r="L187" s="146">
        <v>5300</v>
      </c>
      <c r="M187" s="146">
        <v>5700</v>
      </c>
      <c r="N187" s="146">
        <v>5600</v>
      </c>
      <c r="O187" s="146">
        <v>5600</v>
      </c>
      <c r="P187" s="146">
        <v>4700</v>
      </c>
      <c r="Q187" s="146">
        <v>4900</v>
      </c>
      <c r="R187" s="146">
        <f t="shared" si="14"/>
        <v>4550</v>
      </c>
      <c r="S187" s="232">
        <f t="shared" si="9"/>
        <v>3110</v>
      </c>
      <c r="T187" s="233">
        <f>IF(S187&lt;R187,0,MROUND((S187/R187)^(1/5)-1,0.0025))</f>
        <v>0</v>
      </c>
      <c r="U187" s="322"/>
      <c r="V187" s="286"/>
      <c r="W187" s="286"/>
      <c r="X187" s="286"/>
      <c r="Y187" s="286"/>
      <c r="Z187" s="331"/>
      <c r="AA187" s="334"/>
      <c r="AB187" s="252">
        <f t="shared" si="13"/>
        <v>432</v>
      </c>
      <c r="AC187" s="252">
        <f>ROUND(R187*0.095*(0.53),0)</f>
        <v>229</v>
      </c>
      <c r="AD187" s="252">
        <f>ROUND(R187*0.095*(1-0.53),0)</f>
        <v>203</v>
      </c>
      <c r="AE187" s="252"/>
      <c r="AF187" s="331"/>
      <c r="AG187" s="334"/>
      <c r="AH187" s="296"/>
      <c r="AI187" s="334"/>
      <c r="AJ187" s="286"/>
      <c r="AK187" s="286"/>
      <c r="AL187" s="286"/>
      <c r="AM187" s="286"/>
      <c r="AN187" s="342"/>
      <c r="AO187" s="240">
        <f t="shared" si="11"/>
        <v>5851.8407766291039</v>
      </c>
      <c r="AP187" s="239">
        <f t="shared" si="12"/>
        <v>4288.1592233708961</v>
      </c>
    </row>
    <row r="188" spans="1:42" s="205" customFormat="1" ht="18.95" customHeight="1">
      <c r="A188" s="277">
        <v>180002</v>
      </c>
      <c r="B188" s="494">
        <f>VLOOKUP(C188,'station changes (20-21)'!$A$3:$D$298,4,)</f>
        <v>180002</v>
      </c>
      <c r="C188" s="277">
        <v>180002</v>
      </c>
      <c r="D188" s="286"/>
      <c r="E188" s="286"/>
      <c r="F188" s="286"/>
      <c r="G188" s="296"/>
      <c r="H188" s="302">
        <v>14500</v>
      </c>
      <c r="I188" s="252">
        <v>16200</v>
      </c>
      <c r="J188" s="252">
        <v>15800</v>
      </c>
      <c r="K188" s="252">
        <v>16200</v>
      </c>
      <c r="L188" s="146">
        <v>20500</v>
      </c>
      <c r="M188" s="146">
        <v>19400</v>
      </c>
      <c r="N188" s="146"/>
      <c r="O188" s="146">
        <v>26500</v>
      </c>
      <c r="P188" s="146">
        <v>25500</v>
      </c>
      <c r="Q188" s="146">
        <v>23000</v>
      </c>
      <c r="R188" s="146">
        <f t="shared" si="14"/>
        <v>26460</v>
      </c>
      <c r="S188" s="232">
        <f t="shared" si="9"/>
        <v>23662</v>
      </c>
      <c r="T188" s="233">
        <f>IF(S188&lt;R188,0,MROUND((S188/R188)^(1/5)-1,0.0025))</f>
        <v>0</v>
      </c>
      <c r="U188" s="322"/>
      <c r="V188" s="286"/>
      <c r="W188" s="286"/>
      <c r="X188" s="286"/>
      <c r="Y188" s="286"/>
      <c r="Z188" s="331"/>
      <c r="AA188" s="334"/>
      <c r="AB188" s="252">
        <f t="shared" si="13"/>
        <v>2381</v>
      </c>
      <c r="AC188" s="252">
        <f>ROUND(R188*0.09*(0.53),0)</f>
        <v>1262</v>
      </c>
      <c r="AD188" s="252">
        <f>ROUND(R188*0.09*(1-0.53),0)</f>
        <v>1119</v>
      </c>
      <c r="AE188" s="252"/>
      <c r="AF188" s="331"/>
      <c r="AG188" s="334"/>
      <c r="AH188" s="296"/>
      <c r="AI188" s="334"/>
      <c r="AJ188" s="286"/>
      <c r="AK188" s="286"/>
      <c r="AL188" s="286"/>
      <c r="AM188" s="286"/>
      <c r="AN188" s="342"/>
      <c r="AO188" s="240">
        <f t="shared" si="11"/>
        <v>27855.093810983835</v>
      </c>
      <c r="AP188" s="239">
        <f t="shared" si="12"/>
        <v>22874.906189016165</v>
      </c>
    </row>
    <row r="189" spans="1:42" s="162" customFormat="1" ht="18.95" customHeight="1">
      <c r="A189" s="277">
        <v>180005</v>
      </c>
      <c r="B189" s="494">
        <f>VLOOKUP(C189,'station changes (20-21)'!$A$3:$D$298,4,)</f>
        <v>180005</v>
      </c>
      <c r="C189" s="277">
        <v>180005</v>
      </c>
      <c r="D189" s="286"/>
      <c r="E189" s="286"/>
      <c r="F189" s="286"/>
      <c r="G189" s="296"/>
      <c r="H189" s="302">
        <v>14500</v>
      </c>
      <c r="I189" s="252">
        <v>15100</v>
      </c>
      <c r="J189" s="252">
        <v>15400</v>
      </c>
      <c r="K189" s="252">
        <v>16800</v>
      </c>
      <c r="L189" s="146">
        <v>17500</v>
      </c>
      <c r="M189" s="146">
        <v>18500</v>
      </c>
      <c r="N189" s="146">
        <v>19800</v>
      </c>
      <c r="O189" s="146">
        <v>21000</v>
      </c>
      <c r="P189" s="146">
        <v>20000</v>
      </c>
      <c r="Q189" s="146">
        <v>21000</v>
      </c>
      <c r="R189" s="146">
        <f t="shared" si="14"/>
        <v>21620</v>
      </c>
      <c r="S189" s="232">
        <f t="shared" si="9"/>
        <v>23232</v>
      </c>
      <c r="T189" s="233">
        <f t="shared" si="10"/>
        <v>1.4999999999999999E-2</v>
      </c>
      <c r="U189" s="322"/>
      <c r="V189" s="286"/>
      <c r="W189" s="286"/>
      <c r="X189" s="286"/>
      <c r="Y189" s="286"/>
      <c r="Z189" s="331"/>
      <c r="AA189" s="334"/>
      <c r="AB189" s="252">
        <f t="shared" si="13"/>
        <v>1946</v>
      </c>
      <c r="AC189" s="252">
        <f>ROUND(R189*0.09*(0.53),0)</f>
        <v>1031</v>
      </c>
      <c r="AD189" s="252">
        <f>ROUND(R189*0.09*(1-0.53),0)</f>
        <v>915</v>
      </c>
      <c r="AE189" s="252"/>
      <c r="AF189" s="331"/>
      <c r="AG189" s="334"/>
      <c r="AH189" s="296"/>
      <c r="AI189" s="334"/>
      <c r="AJ189" s="286"/>
      <c r="AK189" s="286"/>
      <c r="AL189" s="286"/>
      <c r="AM189" s="286"/>
      <c r="AN189" s="342"/>
      <c r="AO189" s="240">
        <f t="shared" si="11"/>
        <v>21877.371693983059</v>
      </c>
      <c r="AP189" s="239">
        <f t="shared" si="12"/>
        <v>19490.628306016941</v>
      </c>
    </row>
    <row r="190" spans="1:42" s="205" customFormat="1" ht="18.95" customHeight="1">
      <c r="A190" s="277">
        <v>180006</v>
      </c>
      <c r="B190" s="494">
        <f>VLOOKUP(C190,'station changes (20-21)'!$A$3:$D$298,4,)</f>
        <v>180006</v>
      </c>
      <c r="C190" s="277">
        <v>180006</v>
      </c>
      <c r="D190" s="286"/>
      <c r="E190" s="286"/>
      <c r="F190" s="286"/>
      <c r="G190" s="296"/>
      <c r="H190" s="302">
        <v>13300</v>
      </c>
      <c r="I190" s="252">
        <v>14000</v>
      </c>
      <c r="J190" s="252">
        <v>13700</v>
      </c>
      <c r="K190" s="252">
        <v>14000</v>
      </c>
      <c r="L190" s="146">
        <v>15400</v>
      </c>
      <c r="M190" s="146">
        <v>16400</v>
      </c>
      <c r="N190" s="146">
        <v>19900</v>
      </c>
      <c r="O190" s="146">
        <v>20000</v>
      </c>
      <c r="P190" s="146">
        <v>18600</v>
      </c>
      <c r="Q190" s="146">
        <v>19200</v>
      </c>
      <c r="R190" s="146">
        <f t="shared" si="14"/>
        <v>20110</v>
      </c>
      <c r="S190" s="232">
        <f t="shared" si="9"/>
        <v>19296</v>
      </c>
      <c r="T190" s="233">
        <f t="shared" si="10"/>
        <v>0</v>
      </c>
      <c r="U190" s="322"/>
      <c r="V190" s="286"/>
      <c r="W190" s="286"/>
      <c r="X190" s="286"/>
      <c r="Y190" s="286"/>
      <c r="Z190" s="331"/>
      <c r="AA190" s="334"/>
      <c r="AB190" s="252">
        <f t="shared" si="13"/>
        <v>1810</v>
      </c>
      <c r="AC190" s="252">
        <f>ROUND(R190*0.09*(0.53),0)</f>
        <v>959</v>
      </c>
      <c r="AD190" s="252">
        <f>ROUND(R190*0.09*(1-0.53),0)</f>
        <v>851</v>
      </c>
      <c r="AE190" s="252"/>
      <c r="AF190" s="331"/>
      <c r="AG190" s="334"/>
      <c r="AH190" s="296"/>
      <c r="AI190" s="334"/>
      <c r="AJ190" s="286"/>
      <c r="AK190" s="286"/>
      <c r="AL190" s="286"/>
      <c r="AM190" s="286"/>
      <c r="AN190" s="342"/>
      <c r="AO190" s="240">
        <f t="shared" si="11"/>
        <v>20571.214546070358</v>
      </c>
      <c r="AP190" s="239">
        <f t="shared" si="12"/>
        <v>18552.785453929642</v>
      </c>
    </row>
    <row r="191" spans="1:42" s="162" customFormat="1" ht="18.95" customHeight="1">
      <c r="A191" s="277">
        <v>180009</v>
      </c>
      <c r="B191" s="494">
        <f>VLOOKUP(C191,'station changes (20-21)'!$A$3:$D$298,4,)</f>
        <v>180009</v>
      </c>
      <c r="C191" s="277">
        <v>180009</v>
      </c>
      <c r="D191" s="286"/>
      <c r="E191" s="286"/>
      <c r="F191" s="286"/>
      <c r="G191" s="296"/>
      <c r="H191" s="302">
        <v>8800</v>
      </c>
      <c r="I191" s="252">
        <v>9200</v>
      </c>
      <c r="J191" s="252">
        <v>8600</v>
      </c>
      <c r="K191" s="252">
        <v>9400</v>
      </c>
      <c r="L191" s="146">
        <v>9100</v>
      </c>
      <c r="M191" s="146">
        <v>9700</v>
      </c>
      <c r="N191" s="146">
        <v>10500</v>
      </c>
      <c r="O191" s="146">
        <v>12100</v>
      </c>
      <c r="P191" s="146">
        <v>11500</v>
      </c>
      <c r="Q191" s="146">
        <v>11900</v>
      </c>
      <c r="R191" s="146">
        <f t="shared" si="14"/>
        <v>12760</v>
      </c>
      <c r="S191" s="232">
        <f t="shared" si="9"/>
        <v>14776</v>
      </c>
      <c r="T191" s="233">
        <f t="shared" si="10"/>
        <v>0.03</v>
      </c>
      <c r="U191" s="322"/>
      <c r="V191" s="286"/>
      <c r="W191" s="286"/>
      <c r="X191" s="286"/>
      <c r="Y191" s="286"/>
      <c r="Z191" s="331"/>
      <c r="AA191" s="334"/>
      <c r="AB191" s="252">
        <f t="shared" si="13"/>
        <v>1212</v>
      </c>
      <c r="AC191" s="252">
        <f>ROUND(R191*0.095*(0.53),0)</f>
        <v>642</v>
      </c>
      <c r="AD191" s="252">
        <f>ROUND(R191*0.095*(1-0.53),0)</f>
        <v>570</v>
      </c>
      <c r="AE191" s="252"/>
      <c r="AF191" s="331"/>
      <c r="AG191" s="334"/>
      <c r="AH191" s="296"/>
      <c r="AI191" s="334"/>
      <c r="AJ191" s="286"/>
      <c r="AK191" s="286"/>
      <c r="AL191" s="286"/>
      <c r="AM191" s="286"/>
      <c r="AN191" s="342"/>
      <c r="AO191" s="240">
        <f t="shared" si="11"/>
        <v>13059.258199438809</v>
      </c>
      <c r="AP191" s="239">
        <f t="shared" si="12"/>
        <v>10444.741800561191</v>
      </c>
    </row>
    <row r="192" spans="1:42" s="205" customFormat="1" ht="18.95" customHeight="1">
      <c r="A192" s="277">
        <v>180016</v>
      </c>
      <c r="B192" s="494">
        <f>VLOOKUP(C192,'station changes (20-21)'!$A$3:$D$298,4,)</f>
        <v>180016</v>
      </c>
      <c r="C192" s="277">
        <v>180016</v>
      </c>
      <c r="D192" s="286"/>
      <c r="E192" s="286"/>
      <c r="F192" s="286"/>
      <c r="G192" s="296"/>
      <c r="H192" s="302">
        <v>9500</v>
      </c>
      <c r="I192" s="252">
        <v>9200</v>
      </c>
      <c r="J192" s="252">
        <v>9400</v>
      </c>
      <c r="K192" s="252">
        <v>9800</v>
      </c>
      <c r="L192" s="146">
        <v>10600</v>
      </c>
      <c r="M192" s="146"/>
      <c r="N192" s="146">
        <v>10900</v>
      </c>
      <c r="O192" s="146">
        <v>11100</v>
      </c>
      <c r="P192" s="146">
        <v>10600</v>
      </c>
      <c r="Q192" s="146">
        <v>11000</v>
      </c>
      <c r="R192" s="146">
        <f t="shared" si="14"/>
        <v>10850</v>
      </c>
      <c r="S192" s="232">
        <f t="shared" si="9"/>
        <v>10750</v>
      </c>
      <c r="T192" s="233">
        <f t="shared" si="10"/>
        <v>0</v>
      </c>
      <c r="U192" s="322"/>
      <c r="V192" s="286"/>
      <c r="W192" s="286"/>
      <c r="X192" s="286"/>
      <c r="Y192" s="286"/>
      <c r="Z192" s="331"/>
      <c r="AA192" s="334"/>
      <c r="AB192" s="252">
        <f t="shared" si="13"/>
        <v>1030</v>
      </c>
      <c r="AC192" s="252">
        <f>ROUND(R192*0.095*(0.53),0)</f>
        <v>546</v>
      </c>
      <c r="AD192" s="252">
        <f>ROUND(R192*0.095*(1-0.53),0)</f>
        <v>484</v>
      </c>
      <c r="AE192" s="252"/>
      <c r="AF192" s="331"/>
      <c r="AG192" s="334"/>
      <c r="AH192" s="296"/>
      <c r="AI192" s="334"/>
      <c r="AJ192" s="286"/>
      <c r="AK192" s="286"/>
      <c r="AL192" s="286"/>
      <c r="AM192" s="286"/>
      <c r="AN192" s="342"/>
      <c r="AO192" s="240">
        <f t="shared" si="11"/>
        <v>11184.915242061172</v>
      </c>
      <c r="AP192" s="239">
        <f t="shared" si="12"/>
        <v>10595.084757938828</v>
      </c>
    </row>
    <row r="193" spans="1:42" s="162" customFormat="1" ht="18.95" customHeight="1">
      <c r="A193" s="277">
        <v>180017</v>
      </c>
      <c r="B193" s="494">
        <f>VLOOKUP(C193,'station changes (20-21)'!$A$3:$D$298,4,)</f>
        <v>180017</v>
      </c>
      <c r="C193" s="277">
        <v>180017</v>
      </c>
      <c r="D193" s="286"/>
      <c r="E193" s="286"/>
      <c r="F193" s="286"/>
      <c r="G193" s="296"/>
      <c r="H193" s="302">
        <v>6900</v>
      </c>
      <c r="I193" s="252">
        <v>7300</v>
      </c>
      <c r="J193" s="252">
        <v>7700</v>
      </c>
      <c r="K193" s="252">
        <v>8200</v>
      </c>
      <c r="L193" s="146">
        <v>7900</v>
      </c>
      <c r="M193" s="146">
        <v>9400</v>
      </c>
      <c r="N193" s="146"/>
      <c r="O193" s="146">
        <v>10300</v>
      </c>
      <c r="P193" s="146">
        <v>9900</v>
      </c>
      <c r="Q193" s="146">
        <v>10100</v>
      </c>
      <c r="R193" s="146">
        <f t="shared" si="14"/>
        <v>10357.142857142899</v>
      </c>
      <c r="S193" s="232">
        <f t="shared" si="9"/>
        <v>10405.714285714377</v>
      </c>
      <c r="T193" s="233">
        <f t="shared" si="10"/>
        <v>0</v>
      </c>
      <c r="U193" s="322"/>
      <c r="V193" s="286"/>
      <c r="W193" s="286"/>
      <c r="X193" s="286"/>
      <c r="Y193" s="286"/>
      <c r="Z193" s="331"/>
      <c r="AA193" s="334"/>
      <c r="AB193" s="252">
        <f t="shared" si="13"/>
        <v>983</v>
      </c>
      <c r="AC193" s="252">
        <f>ROUND(R193*0.095*(0.53),0)</f>
        <v>521</v>
      </c>
      <c r="AD193" s="252">
        <f>ROUND(R193*0.095*(1-0.53),0)</f>
        <v>462</v>
      </c>
      <c r="AE193" s="252"/>
      <c r="AF193" s="331"/>
      <c r="AG193" s="334"/>
      <c r="AH193" s="296"/>
      <c r="AI193" s="334"/>
      <c r="AJ193" s="286"/>
      <c r="AK193" s="286"/>
      <c r="AL193" s="286"/>
      <c r="AM193" s="286"/>
      <c r="AN193" s="342"/>
      <c r="AO193" s="240">
        <f t="shared" si="11"/>
        <v>10479.275793494598</v>
      </c>
      <c r="AP193" s="239">
        <f t="shared" si="12"/>
        <v>9849.2956350768509</v>
      </c>
    </row>
    <row r="194" spans="1:42" s="205" customFormat="1" ht="18.95" customHeight="1">
      <c r="A194" s="277">
        <v>180020</v>
      </c>
      <c r="B194" s="494">
        <f>VLOOKUP(C194,'station changes (20-21)'!$A$3:$D$298,4,)</f>
        <v>180020</v>
      </c>
      <c r="C194" s="277">
        <v>180020</v>
      </c>
      <c r="D194" s="286"/>
      <c r="E194" s="286"/>
      <c r="F194" s="286"/>
      <c r="G194" s="296"/>
      <c r="H194" s="302">
        <v>3500</v>
      </c>
      <c r="I194" s="252">
        <v>4100</v>
      </c>
      <c r="J194" s="252">
        <v>4400</v>
      </c>
      <c r="K194" s="252">
        <v>4200</v>
      </c>
      <c r="L194" s="146">
        <v>4100</v>
      </c>
      <c r="M194" s="146"/>
      <c r="N194" s="146">
        <v>5600</v>
      </c>
      <c r="O194" s="146">
        <v>5600</v>
      </c>
      <c r="P194" s="146">
        <v>5900</v>
      </c>
      <c r="Q194" s="146">
        <v>6100</v>
      </c>
      <c r="R194" s="146">
        <f t="shared" si="14"/>
        <v>6250</v>
      </c>
      <c r="S194" s="232">
        <f t="shared" si="9"/>
        <v>7150</v>
      </c>
      <c r="T194" s="233">
        <f t="shared" si="10"/>
        <v>2.75E-2</v>
      </c>
      <c r="U194" s="322"/>
      <c r="V194" s="286"/>
      <c r="W194" s="286"/>
      <c r="X194" s="286"/>
      <c r="Y194" s="286"/>
      <c r="Z194" s="331"/>
      <c r="AA194" s="334"/>
      <c r="AB194" s="252">
        <f t="shared" si="13"/>
        <v>594</v>
      </c>
      <c r="AC194" s="252">
        <f>ROUND(R194*0.095*(0.53),0)</f>
        <v>315</v>
      </c>
      <c r="AD194" s="252">
        <f>ROUND(R194*0.095*(1-0.53),0)</f>
        <v>279</v>
      </c>
      <c r="AE194" s="252"/>
      <c r="AF194" s="331"/>
      <c r="AG194" s="334"/>
      <c r="AH194" s="296"/>
      <c r="AI194" s="334"/>
      <c r="AJ194" s="286"/>
      <c r="AK194" s="286"/>
      <c r="AL194" s="286"/>
      <c r="AM194" s="286"/>
      <c r="AN194" s="342"/>
      <c r="AO194" s="240">
        <f t="shared" si="11"/>
        <v>6347.684389071771</v>
      </c>
      <c r="AP194" s="239">
        <f t="shared" si="12"/>
        <v>5432.315610928229</v>
      </c>
    </row>
    <row r="195" spans="1:42" s="162" customFormat="1" ht="18.95" customHeight="1">
      <c r="A195" s="277">
        <v>180021</v>
      </c>
      <c r="B195" s="494">
        <f>VLOOKUP(C195,'station changes (20-21)'!$A$3:$D$298,4,)</f>
        <v>180021</v>
      </c>
      <c r="C195" s="277">
        <v>180021</v>
      </c>
      <c r="D195" s="286"/>
      <c r="E195" s="286"/>
      <c r="F195" s="286"/>
      <c r="G195" s="296"/>
      <c r="H195" s="302">
        <v>5300</v>
      </c>
      <c r="I195" s="252">
        <v>5600</v>
      </c>
      <c r="J195" s="252">
        <v>5800</v>
      </c>
      <c r="K195" s="252">
        <v>6100</v>
      </c>
      <c r="L195" s="146">
        <v>6500</v>
      </c>
      <c r="M195" s="146">
        <v>6500</v>
      </c>
      <c r="N195" s="146">
        <v>6500</v>
      </c>
      <c r="O195" s="146">
        <v>7000</v>
      </c>
      <c r="P195" s="146">
        <v>6600</v>
      </c>
      <c r="Q195" s="146">
        <v>6800</v>
      </c>
      <c r="R195" s="146">
        <f t="shared" si="14"/>
        <v>6890</v>
      </c>
      <c r="S195" s="232">
        <f t="shared" si="9"/>
        <v>7164</v>
      </c>
      <c r="T195" s="233">
        <f t="shared" si="10"/>
        <v>7.4999999999999997E-3</v>
      </c>
      <c r="U195" s="322"/>
      <c r="V195" s="286"/>
      <c r="W195" s="286"/>
      <c r="X195" s="286"/>
      <c r="Y195" s="286"/>
      <c r="Z195" s="331"/>
      <c r="AA195" s="334"/>
      <c r="AB195" s="252">
        <f t="shared" si="13"/>
        <v>655</v>
      </c>
      <c r="AC195" s="252">
        <f>ROUND(R195*0.095*(0.53),0)</f>
        <v>347</v>
      </c>
      <c r="AD195" s="252">
        <f>ROUND(R195*0.095*(1-0.53),0)</f>
        <v>308</v>
      </c>
      <c r="AE195" s="252"/>
      <c r="AF195" s="331"/>
      <c r="AG195" s="334"/>
      <c r="AH195" s="296"/>
      <c r="AI195" s="334"/>
      <c r="AJ195" s="286"/>
      <c r="AK195" s="286"/>
      <c r="AL195" s="286"/>
      <c r="AM195" s="286"/>
      <c r="AN195" s="342"/>
      <c r="AO195" s="240">
        <f t="shared" si="11"/>
        <v>7080</v>
      </c>
      <c r="AP195" s="239">
        <f t="shared" si="12"/>
        <v>6436</v>
      </c>
    </row>
    <row r="196" spans="1:42" s="205" customFormat="1" ht="18.95" customHeight="1">
      <c r="A196" s="277">
        <v>180026</v>
      </c>
      <c r="B196" s="494">
        <f>VLOOKUP(C196,'station changes (20-21)'!$A$3:$D$298,4,)</f>
        <v>180026</v>
      </c>
      <c r="C196" s="277">
        <v>180026</v>
      </c>
      <c r="D196" s="286"/>
      <c r="E196" s="286"/>
      <c r="F196" s="286"/>
      <c r="G196" s="296"/>
      <c r="H196" s="302">
        <v>18600</v>
      </c>
      <c r="I196" s="252">
        <v>18300</v>
      </c>
      <c r="J196" s="252">
        <v>16200</v>
      </c>
      <c r="K196" s="252">
        <v>17300</v>
      </c>
      <c r="L196" s="146">
        <v>20000</v>
      </c>
      <c r="M196" s="146">
        <v>21000</v>
      </c>
      <c r="N196" s="146">
        <v>21000</v>
      </c>
      <c r="O196" s="146">
        <v>23000</v>
      </c>
      <c r="P196" s="146">
        <v>22000</v>
      </c>
      <c r="Q196" s="146">
        <v>26000</v>
      </c>
      <c r="R196" s="146">
        <f t="shared" si="14"/>
        <v>25900</v>
      </c>
      <c r="S196" s="232">
        <f t="shared" si="9"/>
        <v>32540</v>
      </c>
      <c r="T196" s="233">
        <f t="shared" si="10"/>
        <v>4.7500000000000001E-2</v>
      </c>
      <c r="U196" s="322"/>
      <c r="V196" s="286"/>
      <c r="W196" s="286"/>
      <c r="X196" s="286"/>
      <c r="Y196" s="286"/>
      <c r="Z196" s="331"/>
      <c r="AA196" s="334"/>
      <c r="AB196" s="252">
        <f t="shared" si="13"/>
        <v>2071</v>
      </c>
      <c r="AC196" s="252">
        <f>ROUND(AVERAGE(1115,1089),0)</f>
        <v>1102</v>
      </c>
      <c r="AD196" s="252">
        <f>ROUND(AVERAGE(952,986),0)</f>
        <v>969</v>
      </c>
      <c r="AE196" s="252"/>
      <c r="AF196" s="331"/>
      <c r="AG196" s="334"/>
      <c r="AH196" s="296"/>
      <c r="AI196" s="334"/>
      <c r="AJ196" s="286"/>
      <c r="AK196" s="286"/>
      <c r="AL196" s="286"/>
      <c r="AM196" s="286"/>
      <c r="AN196" s="342"/>
      <c r="AO196" s="240">
        <f t="shared" si="11"/>
        <v>27143.130645934834</v>
      </c>
      <c r="AP196" s="239">
        <f t="shared" si="12"/>
        <v>20016.869354065166</v>
      </c>
    </row>
    <row r="197" spans="1:42" s="162" customFormat="1" ht="18.95" customHeight="1">
      <c r="A197" s="277">
        <v>180041</v>
      </c>
      <c r="B197" s="494">
        <f>VLOOKUP(C197,'station changes (20-21)'!$A$3:$D$298,4,)</f>
        <v>180041</v>
      </c>
      <c r="C197" s="277">
        <v>180041</v>
      </c>
      <c r="D197" s="286"/>
      <c r="E197" s="286"/>
      <c r="F197" s="286"/>
      <c r="G197" s="296"/>
      <c r="H197" s="302">
        <v>5900</v>
      </c>
      <c r="I197" s="252">
        <v>6000</v>
      </c>
      <c r="J197" s="252">
        <v>5800</v>
      </c>
      <c r="K197" s="252">
        <v>5800</v>
      </c>
      <c r="L197" s="146">
        <v>6500</v>
      </c>
      <c r="M197" s="146">
        <v>7000</v>
      </c>
      <c r="N197" s="146"/>
      <c r="O197" s="146">
        <v>8500</v>
      </c>
      <c r="P197" s="146">
        <v>8100</v>
      </c>
      <c r="Q197" s="146">
        <v>8300</v>
      </c>
      <c r="R197" s="146">
        <f t="shared" si="14"/>
        <v>8831.428571428638</v>
      </c>
      <c r="S197" s="232">
        <f t="shared" si="9"/>
        <v>9209.1428571430151</v>
      </c>
      <c r="T197" s="233">
        <f t="shared" si="10"/>
        <v>7.4999999999999997E-3</v>
      </c>
      <c r="U197" s="322"/>
      <c r="V197" s="286"/>
      <c r="W197" s="286"/>
      <c r="X197" s="286"/>
      <c r="Y197" s="286"/>
      <c r="Z197" s="331"/>
      <c r="AA197" s="334"/>
      <c r="AB197" s="252">
        <f t="shared" si="13"/>
        <v>839</v>
      </c>
      <c r="AC197" s="252">
        <f t="shared" ref="AC197:AC203" si="15">ROUND(R197*0.095*(0.53),0)</f>
        <v>445</v>
      </c>
      <c r="AD197" s="252">
        <f t="shared" ref="AD197:AD203" si="16">ROUND(R197*0.095*(1-0.53),0)</f>
        <v>394</v>
      </c>
      <c r="AE197" s="252"/>
      <c r="AF197" s="331"/>
      <c r="AG197" s="334"/>
      <c r="AH197" s="296"/>
      <c r="AI197" s="334"/>
      <c r="AJ197" s="286"/>
      <c r="AK197" s="286"/>
      <c r="AL197" s="286"/>
      <c r="AM197" s="286"/>
      <c r="AN197" s="342"/>
      <c r="AO197" s="240">
        <f t="shared" si="11"/>
        <v>8905.5290692501294</v>
      </c>
      <c r="AP197" s="239">
        <f t="shared" si="12"/>
        <v>7960.1852164641905</v>
      </c>
    </row>
    <row r="198" spans="1:42" s="205" customFormat="1" ht="18.95" customHeight="1">
      <c r="A198" s="277">
        <v>180042</v>
      </c>
      <c r="B198" s="494">
        <f>VLOOKUP(C198,'station changes (20-21)'!$A$3:$D$298,4,)</f>
        <v>180042</v>
      </c>
      <c r="C198" s="277">
        <v>180042</v>
      </c>
      <c r="D198" s="286"/>
      <c r="E198" s="286"/>
      <c r="F198" s="286"/>
      <c r="G198" s="296"/>
      <c r="H198" s="302">
        <v>3900</v>
      </c>
      <c r="I198" s="252">
        <v>3900</v>
      </c>
      <c r="J198" s="252">
        <v>3800</v>
      </c>
      <c r="K198" s="252">
        <v>4000</v>
      </c>
      <c r="L198" s="146">
        <v>4400</v>
      </c>
      <c r="M198" s="146">
        <v>4800</v>
      </c>
      <c r="N198" s="146">
        <v>4600</v>
      </c>
      <c r="O198" s="146">
        <v>4600</v>
      </c>
      <c r="P198" s="146">
        <v>3900</v>
      </c>
      <c r="Q198" s="146">
        <v>4100</v>
      </c>
      <c r="R198" s="146">
        <f t="shared" si="14"/>
        <v>3770</v>
      </c>
      <c r="S198" s="232">
        <f t="shared" si="9"/>
        <v>2682</v>
      </c>
      <c r="T198" s="233">
        <f t="shared" si="10"/>
        <v>0</v>
      </c>
      <c r="U198" s="322"/>
      <c r="V198" s="286"/>
      <c r="W198" s="286"/>
      <c r="X198" s="286"/>
      <c r="Y198" s="286"/>
      <c r="Z198" s="331"/>
      <c r="AA198" s="334"/>
      <c r="AB198" s="252">
        <f t="shared" si="13"/>
        <v>358</v>
      </c>
      <c r="AC198" s="252">
        <f t="shared" si="15"/>
        <v>190</v>
      </c>
      <c r="AD198" s="252">
        <f t="shared" si="16"/>
        <v>168</v>
      </c>
      <c r="AE198" s="252"/>
      <c r="AF198" s="331"/>
      <c r="AG198" s="334"/>
      <c r="AH198" s="296"/>
      <c r="AI198" s="334"/>
      <c r="AJ198" s="286"/>
      <c r="AK198" s="286"/>
      <c r="AL198" s="286"/>
      <c r="AM198" s="286"/>
      <c r="AN198" s="342"/>
      <c r="AO198" s="240">
        <f t="shared" si="11"/>
        <v>4802.5975681844284</v>
      </c>
      <c r="AP198" s="239">
        <f t="shared" si="12"/>
        <v>3585.4024318155716</v>
      </c>
    </row>
    <row r="199" spans="1:42" s="162" customFormat="1" ht="18.95" customHeight="1">
      <c r="A199" s="277">
        <v>180061</v>
      </c>
      <c r="B199" s="494">
        <f>VLOOKUP(C199,'station changes (20-21)'!$A$3:$D$298,4,)</f>
        <v>180061</v>
      </c>
      <c r="C199" s="277">
        <v>180061</v>
      </c>
      <c r="D199" s="286"/>
      <c r="E199" s="286"/>
      <c r="F199" s="286"/>
      <c r="G199" s="296"/>
      <c r="H199" s="302">
        <v>4400</v>
      </c>
      <c r="I199" s="252">
        <v>4700</v>
      </c>
      <c r="J199" s="252">
        <v>4900</v>
      </c>
      <c r="K199" s="252">
        <v>5100</v>
      </c>
      <c r="L199" s="146">
        <v>5100</v>
      </c>
      <c r="M199" s="146">
        <v>5800</v>
      </c>
      <c r="N199" s="146"/>
      <c r="O199" s="146">
        <v>7300</v>
      </c>
      <c r="P199" s="146">
        <v>6900</v>
      </c>
      <c r="Q199" s="146">
        <v>7100</v>
      </c>
      <c r="R199" s="146">
        <f t="shared" si="14"/>
        <v>7631.428571428638</v>
      </c>
      <c r="S199" s="232">
        <f t="shared" ref="S199:S262" si="17">_xlfn.FORECAST.LINEAR($S$5,$N199:$R199,$N$5:$R$5)</f>
        <v>8009.1428571430151</v>
      </c>
      <c r="T199" s="233">
        <f t="shared" ref="T199:T262" si="18">IF(S199&lt;R199,0,MROUND((S199/R199)^(1/5)-1,0.0025))</f>
        <v>0.01</v>
      </c>
      <c r="U199" s="322"/>
      <c r="V199" s="286"/>
      <c r="W199" s="286"/>
      <c r="X199" s="286"/>
      <c r="Y199" s="286"/>
      <c r="Z199" s="331"/>
      <c r="AA199" s="334"/>
      <c r="AB199" s="252">
        <f t="shared" si="13"/>
        <v>725</v>
      </c>
      <c r="AC199" s="252">
        <f t="shared" si="15"/>
        <v>384</v>
      </c>
      <c r="AD199" s="252">
        <f t="shared" si="16"/>
        <v>341</v>
      </c>
      <c r="AE199" s="252"/>
      <c r="AF199" s="331"/>
      <c r="AG199" s="334"/>
      <c r="AH199" s="296"/>
      <c r="AI199" s="334"/>
      <c r="AJ199" s="286"/>
      <c r="AK199" s="286"/>
      <c r="AL199" s="286"/>
      <c r="AM199" s="286"/>
      <c r="AN199" s="342"/>
      <c r="AO199" s="240">
        <f t="shared" ref="AO199:AO262" si="19">AVERAGE(N199:R199)+_xlfn.STDEV.P(N199:R199)*1.75</f>
        <v>7705.5290692501285</v>
      </c>
      <c r="AP199" s="239">
        <f t="shared" ref="AP199:AP262" si="20">AVERAGE(N199:R199)-_xlfn.STDEV.P(N199:R199)*1.75</f>
        <v>6760.1852164641905</v>
      </c>
    </row>
    <row r="200" spans="1:42" s="205" customFormat="1" ht="18.75" customHeight="1">
      <c r="A200" s="277">
        <v>180077</v>
      </c>
      <c r="B200" s="494">
        <f>VLOOKUP(C200,'station changes (20-21)'!$A$3:$D$298,4,)</f>
        <v>180077</v>
      </c>
      <c r="C200" s="277">
        <v>180077</v>
      </c>
      <c r="D200" s="286"/>
      <c r="E200" s="286"/>
      <c r="F200" s="286"/>
      <c r="G200" s="296"/>
      <c r="H200" s="302">
        <v>9200</v>
      </c>
      <c r="I200" s="252">
        <v>9300</v>
      </c>
      <c r="J200" s="252">
        <v>9200</v>
      </c>
      <c r="K200" s="252">
        <v>9600</v>
      </c>
      <c r="L200" s="146">
        <v>10700</v>
      </c>
      <c r="M200" s="146">
        <v>11500</v>
      </c>
      <c r="N200" s="146">
        <v>14200</v>
      </c>
      <c r="O200" s="146">
        <v>17000</v>
      </c>
      <c r="P200" s="146">
        <v>16200</v>
      </c>
      <c r="Q200" s="146">
        <v>16600</v>
      </c>
      <c r="R200" s="146">
        <f t="shared" si="14"/>
        <v>18760</v>
      </c>
      <c r="S200" s="232">
        <f t="shared" si="17"/>
        <v>22656</v>
      </c>
      <c r="T200" s="233">
        <f t="shared" si="18"/>
        <v>3.7499999999999999E-2</v>
      </c>
      <c r="U200" s="322"/>
      <c r="V200" s="286"/>
      <c r="W200" s="286"/>
      <c r="X200" s="286"/>
      <c r="Y200" s="286"/>
      <c r="Z200" s="331"/>
      <c r="AA200" s="334"/>
      <c r="AB200" s="252">
        <f t="shared" si="13"/>
        <v>1783</v>
      </c>
      <c r="AC200" s="252">
        <f t="shared" si="15"/>
        <v>945</v>
      </c>
      <c r="AD200" s="252">
        <f t="shared" si="16"/>
        <v>838</v>
      </c>
      <c r="AE200" s="252"/>
      <c r="AF200" s="331"/>
      <c r="AG200" s="334"/>
      <c r="AH200" s="296"/>
      <c r="AI200" s="334"/>
      <c r="AJ200" s="286"/>
      <c r="AK200" s="286"/>
      <c r="AL200" s="286"/>
      <c r="AM200" s="286"/>
      <c r="AN200" s="342"/>
      <c r="AO200" s="240">
        <f t="shared" si="19"/>
        <v>19116.102962051253</v>
      </c>
      <c r="AP200" s="239">
        <f t="shared" si="20"/>
        <v>13987.897037948749</v>
      </c>
    </row>
    <row r="201" spans="1:42" s="162" customFormat="1" ht="18.95" customHeight="1">
      <c r="A201" s="277">
        <v>180083</v>
      </c>
      <c r="B201" s="494">
        <f>VLOOKUP(C201,'station changes (20-21)'!$A$3:$D$298,4,)</f>
        <v>180083</v>
      </c>
      <c r="C201" s="277">
        <v>180083</v>
      </c>
      <c r="D201" s="286"/>
      <c r="E201" s="286"/>
      <c r="F201" s="286"/>
      <c r="G201" s="296"/>
      <c r="H201" s="302">
        <v>10200</v>
      </c>
      <c r="I201" s="252">
        <v>10500</v>
      </c>
      <c r="J201" s="252">
        <v>9200</v>
      </c>
      <c r="K201" s="252">
        <v>11000</v>
      </c>
      <c r="L201" s="146">
        <v>13300</v>
      </c>
      <c r="M201" s="146">
        <v>13100</v>
      </c>
      <c r="N201" s="146">
        <v>13100</v>
      </c>
      <c r="O201" s="146">
        <v>14700</v>
      </c>
      <c r="P201" s="146">
        <v>14100</v>
      </c>
      <c r="Q201" s="146">
        <v>16500</v>
      </c>
      <c r="R201" s="146">
        <f t="shared" si="14"/>
        <v>16640</v>
      </c>
      <c r="S201" s="232">
        <f t="shared" si="17"/>
        <v>21224</v>
      </c>
      <c r="T201" s="233">
        <f t="shared" si="18"/>
        <v>0.05</v>
      </c>
      <c r="U201" s="322"/>
      <c r="V201" s="286"/>
      <c r="W201" s="286"/>
      <c r="X201" s="286"/>
      <c r="Y201" s="286"/>
      <c r="Z201" s="331"/>
      <c r="AA201" s="334"/>
      <c r="AB201" s="252">
        <f t="shared" si="13"/>
        <v>1581</v>
      </c>
      <c r="AC201" s="252">
        <f t="shared" si="15"/>
        <v>838</v>
      </c>
      <c r="AD201" s="252">
        <f t="shared" si="16"/>
        <v>743</v>
      </c>
      <c r="AE201" s="252"/>
      <c r="AF201" s="331"/>
      <c r="AG201" s="334"/>
      <c r="AH201" s="296"/>
      <c r="AI201" s="334"/>
      <c r="AJ201" s="286"/>
      <c r="AK201" s="286"/>
      <c r="AL201" s="286"/>
      <c r="AM201" s="286"/>
      <c r="AN201" s="342"/>
      <c r="AO201" s="240">
        <f t="shared" si="19"/>
        <v>17413.760586592107</v>
      </c>
      <c r="AP201" s="239">
        <f t="shared" si="20"/>
        <v>12602.239413407893</v>
      </c>
    </row>
    <row r="202" spans="1:42" s="205" customFormat="1" ht="18.95" customHeight="1">
      <c r="A202" s="277">
        <v>180088</v>
      </c>
      <c r="B202" s="494">
        <f>VLOOKUP(C202,'station changes (20-21)'!$A$3:$D$298,4,)</f>
        <v>180088</v>
      </c>
      <c r="C202" s="277">
        <v>180088</v>
      </c>
      <c r="D202" s="286"/>
      <c r="E202" s="286"/>
      <c r="F202" s="286"/>
      <c r="G202" s="296"/>
      <c r="H202" s="302">
        <v>5100</v>
      </c>
      <c r="I202" s="252">
        <v>5300</v>
      </c>
      <c r="J202" s="252">
        <v>5100</v>
      </c>
      <c r="K202" s="252">
        <v>5300</v>
      </c>
      <c r="L202" s="146">
        <v>6000</v>
      </c>
      <c r="M202" s="146">
        <v>6400</v>
      </c>
      <c r="N202" s="146">
        <v>6200</v>
      </c>
      <c r="O202" s="146">
        <v>6200</v>
      </c>
      <c r="P202" s="146">
        <v>5100</v>
      </c>
      <c r="Q202" s="146">
        <v>5300</v>
      </c>
      <c r="R202" s="146">
        <f t="shared" si="14"/>
        <v>4850</v>
      </c>
      <c r="S202" s="232">
        <f t="shared" si="17"/>
        <v>3010</v>
      </c>
      <c r="T202" s="233">
        <f t="shared" si="18"/>
        <v>0</v>
      </c>
      <c r="U202" s="322"/>
      <c r="V202" s="286"/>
      <c r="W202" s="286"/>
      <c r="X202" s="286"/>
      <c r="Y202" s="286"/>
      <c r="Z202" s="331"/>
      <c r="AA202" s="334"/>
      <c r="AB202" s="252">
        <f t="shared" si="13"/>
        <v>461</v>
      </c>
      <c r="AC202" s="252">
        <f t="shared" si="15"/>
        <v>244</v>
      </c>
      <c r="AD202" s="252">
        <f t="shared" si="16"/>
        <v>217</v>
      </c>
      <c r="AE202" s="252"/>
      <c r="AF202" s="331"/>
      <c r="AG202" s="334"/>
      <c r="AH202" s="296"/>
      <c r="AI202" s="334"/>
      <c r="AJ202" s="286"/>
      <c r="AK202" s="286"/>
      <c r="AL202" s="286"/>
      <c r="AM202" s="286"/>
      <c r="AN202" s="342"/>
      <c r="AO202" s="240">
        <f t="shared" si="19"/>
        <v>6519.33058175718</v>
      </c>
      <c r="AP202" s="239">
        <f t="shared" si="20"/>
        <v>4540.66941824282</v>
      </c>
    </row>
    <row r="203" spans="1:42" s="162" customFormat="1" ht="18.95" customHeight="1">
      <c r="A203" s="277">
        <v>180089</v>
      </c>
      <c r="B203" s="494">
        <f>VLOOKUP(C203,'station changes (20-21)'!$A$3:$D$298,4,)</f>
        <v>180089</v>
      </c>
      <c r="C203" s="277">
        <v>180089</v>
      </c>
      <c r="D203" s="286"/>
      <c r="E203" s="286"/>
      <c r="F203" s="286"/>
      <c r="G203" s="296"/>
      <c r="H203" s="302">
        <v>3600</v>
      </c>
      <c r="I203" s="252">
        <v>3700</v>
      </c>
      <c r="J203" s="252">
        <v>3700</v>
      </c>
      <c r="K203" s="252">
        <v>3900</v>
      </c>
      <c r="L203" s="146">
        <v>4100</v>
      </c>
      <c r="M203" s="146">
        <v>4300</v>
      </c>
      <c r="N203" s="146">
        <v>5900</v>
      </c>
      <c r="O203" s="146">
        <v>5900</v>
      </c>
      <c r="P203" s="146">
        <v>4900</v>
      </c>
      <c r="Q203" s="146">
        <v>5100</v>
      </c>
      <c r="R203" s="146">
        <f t="shared" si="14"/>
        <v>5400</v>
      </c>
      <c r="S203" s="232">
        <f t="shared" si="17"/>
        <v>4180</v>
      </c>
      <c r="T203" s="233">
        <f t="shared" si="18"/>
        <v>0</v>
      </c>
      <c r="U203" s="322"/>
      <c r="V203" s="286"/>
      <c r="W203" s="286"/>
      <c r="X203" s="286"/>
      <c r="Y203" s="286"/>
      <c r="Z203" s="331"/>
      <c r="AA203" s="334"/>
      <c r="AB203" s="252">
        <f t="shared" si="13"/>
        <v>513</v>
      </c>
      <c r="AC203" s="252">
        <f t="shared" si="15"/>
        <v>272</v>
      </c>
      <c r="AD203" s="252">
        <f t="shared" si="16"/>
        <v>241</v>
      </c>
      <c r="AE203" s="252"/>
      <c r="AF203" s="331"/>
      <c r="AG203" s="334"/>
      <c r="AH203" s="296"/>
      <c r="AI203" s="334"/>
      <c r="AJ203" s="286"/>
      <c r="AK203" s="286"/>
      <c r="AL203" s="286"/>
      <c r="AM203" s="286"/>
      <c r="AN203" s="342"/>
      <c r="AO203" s="240">
        <f t="shared" si="19"/>
        <v>6153.8627319029902</v>
      </c>
      <c r="AP203" s="239">
        <f t="shared" si="20"/>
        <v>4726.1372680970098</v>
      </c>
    </row>
    <row r="204" spans="1:42" s="205" customFormat="1" ht="18.95" customHeight="1">
      <c r="A204" s="277">
        <v>180100</v>
      </c>
      <c r="B204" s="494">
        <f>VLOOKUP(C204,'station changes (20-21)'!$A$3:$D$298,4,)</f>
        <v>180100</v>
      </c>
      <c r="C204" s="277">
        <v>180100</v>
      </c>
      <c r="D204" s="286"/>
      <c r="E204" s="286"/>
      <c r="F204" s="286"/>
      <c r="G204" s="296"/>
      <c r="H204" s="302">
        <v>14300</v>
      </c>
      <c r="I204" s="252">
        <v>15400</v>
      </c>
      <c r="J204" s="252">
        <v>16000</v>
      </c>
      <c r="K204" s="252">
        <v>16200</v>
      </c>
      <c r="L204" s="146">
        <v>18000</v>
      </c>
      <c r="M204" s="146">
        <v>19900</v>
      </c>
      <c r="N204" s="146">
        <v>19900</v>
      </c>
      <c r="O204" s="146">
        <v>19400</v>
      </c>
      <c r="P204" s="146">
        <v>18500</v>
      </c>
      <c r="Q204" s="146">
        <v>20500</v>
      </c>
      <c r="R204" s="146">
        <f t="shared" si="14"/>
        <v>19580</v>
      </c>
      <c r="S204" s="232">
        <f t="shared" si="17"/>
        <v>19898</v>
      </c>
      <c r="T204" s="233">
        <f t="shared" si="18"/>
        <v>2.5000000000000001E-3</v>
      </c>
      <c r="U204" s="322"/>
      <c r="V204" s="286"/>
      <c r="W204" s="286"/>
      <c r="X204" s="286"/>
      <c r="Y204" s="286"/>
      <c r="Z204" s="331"/>
      <c r="AA204" s="334"/>
      <c r="AB204" s="252">
        <f t="shared" si="13"/>
        <v>1902</v>
      </c>
      <c r="AC204" s="252">
        <f>ROUND(AVERAGE(1206,1139),0)</f>
        <v>1173</v>
      </c>
      <c r="AD204" s="252">
        <f>ROUND(AVERAGE(738,719),0)</f>
        <v>729</v>
      </c>
      <c r="AE204" s="252"/>
      <c r="AF204" s="331"/>
      <c r="AG204" s="334"/>
      <c r="AH204" s="296"/>
      <c r="AI204" s="334"/>
      <c r="AJ204" s="286"/>
      <c r="AK204" s="286"/>
      <c r="AL204" s="286"/>
      <c r="AM204" s="286"/>
      <c r="AN204" s="342"/>
      <c r="AO204" s="240">
        <f t="shared" si="19"/>
        <v>20722.889706990172</v>
      </c>
      <c r="AP204" s="239">
        <f t="shared" si="20"/>
        <v>18429.110293009828</v>
      </c>
    </row>
    <row r="205" spans="1:42" s="162" customFormat="1" ht="18.75" customHeight="1">
      <c r="A205" s="277">
        <v>180102</v>
      </c>
      <c r="B205" s="494">
        <f>VLOOKUP(C205,'station changes (20-21)'!$A$3:$D$298,4,)</f>
        <v>180102</v>
      </c>
      <c r="C205" s="277">
        <v>180102</v>
      </c>
      <c r="D205" s="286"/>
      <c r="E205" s="286"/>
      <c r="F205" s="286"/>
      <c r="G205" s="296"/>
      <c r="H205" s="302">
        <v>14000</v>
      </c>
      <c r="I205" s="252">
        <v>14400</v>
      </c>
      <c r="J205" s="252">
        <v>15100</v>
      </c>
      <c r="K205" s="252">
        <v>15000</v>
      </c>
      <c r="L205" s="146">
        <v>16700</v>
      </c>
      <c r="M205" s="146">
        <v>18400</v>
      </c>
      <c r="N205" s="146">
        <v>19200</v>
      </c>
      <c r="O205" s="146">
        <v>18100</v>
      </c>
      <c r="P205" s="146">
        <v>17300</v>
      </c>
      <c r="Q205" s="146">
        <v>19400</v>
      </c>
      <c r="R205" s="146">
        <f t="shared" si="14"/>
        <v>18510</v>
      </c>
      <c r="S205" s="232">
        <f t="shared" si="17"/>
        <v>18446</v>
      </c>
      <c r="T205" s="233">
        <f t="shared" si="18"/>
        <v>0</v>
      </c>
      <c r="U205" s="322"/>
      <c r="V205" s="286"/>
      <c r="W205" s="286"/>
      <c r="X205" s="286"/>
      <c r="Y205" s="286"/>
      <c r="Z205" s="331"/>
      <c r="AA205" s="334"/>
      <c r="AB205" s="252">
        <f t="shared" si="13"/>
        <v>1650</v>
      </c>
      <c r="AC205" s="252">
        <f>ROUND(AVERAGE(645,679),0)</f>
        <v>662</v>
      </c>
      <c r="AD205" s="252">
        <f>ROUND(AVERAGE(960,1016),0)</f>
        <v>988</v>
      </c>
      <c r="AE205" s="252"/>
      <c r="AF205" s="331"/>
      <c r="AG205" s="334"/>
      <c r="AH205" s="296"/>
      <c r="AI205" s="334"/>
      <c r="AJ205" s="286"/>
      <c r="AK205" s="286"/>
      <c r="AL205" s="286"/>
      <c r="AM205" s="286"/>
      <c r="AN205" s="342"/>
      <c r="AO205" s="240">
        <f t="shared" si="19"/>
        <v>19834.778676300008</v>
      </c>
      <c r="AP205" s="239">
        <f t="shared" si="20"/>
        <v>17169.221323699992</v>
      </c>
    </row>
    <row r="206" spans="1:42" s="205" customFormat="1" ht="18.95" customHeight="1">
      <c r="A206" s="282">
        <v>180112</v>
      </c>
      <c r="B206" s="495">
        <f>VLOOKUP(C206,'station changes (20-21)'!$A$3:$D$298,4,)</f>
        <v>180112</v>
      </c>
      <c r="C206" s="282">
        <v>180112</v>
      </c>
      <c r="D206" s="286"/>
      <c r="E206" s="286"/>
      <c r="F206" s="286"/>
      <c r="G206" s="296"/>
      <c r="H206" s="302">
        <v>5800</v>
      </c>
      <c r="I206" s="252">
        <v>5600</v>
      </c>
      <c r="J206" s="252">
        <v>5200</v>
      </c>
      <c r="K206" s="252">
        <v>5700</v>
      </c>
      <c r="L206" s="146">
        <v>6200</v>
      </c>
      <c r="M206" s="146">
        <v>5700</v>
      </c>
      <c r="N206" s="146">
        <v>6200</v>
      </c>
      <c r="O206" s="146">
        <v>6200</v>
      </c>
      <c r="P206" s="146"/>
      <c r="Q206" s="146">
        <v>6200</v>
      </c>
      <c r="R206" s="146">
        <f t="shared" si="14"/>
        <v>6400</v>
      </c>
      <c r="S206" s="232">
        <f t="shared" si="17"/>
        <v>6530</v>
      </c>
      <c r="T206" s="233">
        <f t="shared" si="18"/>
        <v>5.0000000000000001E-3</v>
      </c>
      <c r="U206" s="322"/>
      <c r="V206" s="286"/>
      <c r="W206" s="286"/>
      <c r="X206" s="286"/>
      <c r="Y206" s="286"/>
      <c r="Z206" s="331"/>
      <c r="AA206" s="334"/>
      <c r="AB206" s="252">
        <f t="shared" si="13"/>
        <v>608</v>
      </c>
      <c r="AC206" s="252">
        <f>ROUND(R206*0.095*(0.53),0)</f>
        <v>322</v>
      </c>
      <c r="AD206" s="252">
        <f>ROUND(R206*0.095*(1-0.53),0)</f>
        <v>286</v>
      </c>
      <c r="AE206" s="252"/>
      <c r="AF206" s="331"/>
      <c r="AG206" s="334"/>
      <c r="AH206" s="296"/>
      <c r="AI206" s="334"/>
      <c r="AJ206" s="286"/>
      <c r="AK206" s="286"/>
      <c r="AL206" s="286"/>
      <c r="AM206" s="286"/>
      <c r="AN206" s="342"/>
      <c r="AO206" s="240">
        <f t="shared" si="19"/>
        <v>6401.5544456622765</v>
      </c>
      <c r="AP206" s="239">
        <f t="shared" si="20"/>
        <v>6098.4455543377235</v>
      </c>
    </row>
    <row r="207" spans="1:42" s="162" customFormat="1" ht="18.95" customHeight="1">
      <c r="A207" s="277">
        <v>180117</v>
      </c>
      <c r="B207" s="494">
        <f>VLOOKUP(C207,'station changes (20-21)'!$A$3:$D$298,4,)</f>
        <v>180117</v>
      </c>
      <c r="C207" s="277">
        <v>180117</v>
      </c>
      <c r="D207" s="286"/>
      <c r="E207" s="286"/>
      <c r="F207" s="286"/>
      <c r="G207" s="296"/>
      <c r="H207" s="302">
        <v>8300</v>
      </c>
      <c r="I207" s="252">
        <v>8300</v>
      </c>
      <c r="J207" s="252">
        <v>8100</v>
      </c>
      <c r="K207" s="252">
        <v>8400</v>
      </c>
      <c r="L207" s="146">
        <v>8600</v>
      </c>
      <c r="M207" s="146">
        <v>9200</v>
      </c>
      <c r="N207" s="146">
        <v>9200</v>
      </c>
      <c r="O207" s="146">
        <v>10500</v>
      </c>
      <c r="P207" s="146">
        <v>10000</v>
      </c>
      <c r="Q207" s="146">
        <v>7900</v>
      </c>
      <c r="R207" s="146">
        <f t="shared" si="14"/>
        <v>8820</v>
      </c>
      <c r="S207" s="232">
        <f t="shared" si="17"/>
        <v>6932</v>
      </c>
      <c r="T207" s="233">
        <f t="shared" si="18"/>
        <v>0</v>
      </c>
      <c r="U207" s="322"/>
      <c r="V207" s="286"/>
      <c r="W207" s="286"/>
      <c r="X207" s="286"/>
      <c r="Y207" s="286"/>
      <c r="Z207" s="331"/>
      <c r="AA207" s="334"/>
      <c r="AB207" s="252">
        <f t="shared" si="13"/>
        <v>707</v>
      </c>
      <c r="AC207" s="252">
        <f>ROUND(AVERAGE(295,312),0)</f>
        <v>304</v>
      </c>
      <c r="AD207" s="252">
        <f>ROUND(AVERAGE(398,408),0)</f>
        <v>403</v>
      </c>
      <c r="AE207" s="252"/>
      <c r="AF207" s="331"/>
      <c r="AG207" s="334"/>
      <c r="AH207" s="296"/>
      <c r="AI207" s="334"/>
      <c r="AJ207" s="286"/>
      <c r="AK207" s="286"/>
      <c r="AL207" s="286"/>
      <c r="AM207" s="286"/>
      <c r="AN207" s="342"/>
      <c r="AO207" s="240">
        <f t="shared" si="19"/>
        <v>10874.310032666586</v>
      </c>
      <c r="AP207" s="239">
        <f t="shared" si="20"/>
        <v>7693.6899673334137</v>
      </c>
    </row>
    <row r="208" spans="1:42" s="205" customFormat="1" ht="18.95" customHeight="1">
      <c r="A208" s="277">
        <v>180118</v>
      </c>
      <c r="B208" s="494">
        <f>VLOOKUP(C208,'station changes (20-21)'!$A$3:$D$298,4,)</f>
        <v>180118</v>
      </c>
      <c r="C208" s="277">
        <v>180118</v>
      </c>
      <c r="D208" s="286"/>
      <c r="E208" s="286"/>
      <c r="F208" s="286"/>
      <c r="G208" s="296"/>
      <c r="H208" s="302">
        <v>5800</v>
      </c>
      <c r="I208" s="252">
        <v>6100</v>
      </c>
      <c r="J208" s="252">
        <v>6000</v>
      </c>
      <c r="K208" s="252">
        <v>6700</v>
      </c>
      <c r="L208" s="146">
        <v>7000</v>
      </c>
      <c r="M208" s="146">
        <v>7200</v>
      </c>
      <c r="N208" s="146">
        <v>7800</v>
      </c>
      <c r="O208" s="146">
        <v>7900</v>
      </c>
      <c r="P208" s="146">
        <v>7500</v>
      </c>
      <c r="Q208" s="146">
        <v>7900</v>
      </c>
      <c r="R208" s="146">
        <f t="shared" si="14"/>
        <v>7990</v>
      </c>
      <c r="S208" s="232">
        <f t="shared" si="17"/>
        <v>8084</v>
      </c>
      <c r="T208" s="233">
        <f t="shared" si="18"/>
        <v>2.5000000000000001E-3</v>
      </c>
      <c r="U208" s="322"/>
      <c r="V208" s="286"/>
      <c r="W208" s="286"/>
      <c r="X208" s="286"/>
      <c r="Y208" s="286"/>
      <c r="Z208" s="331"/>
      <c r="AA208" s="334"/>
      <c r="AB208" s="252">
        <f t="shared" si="13"/>
        <v>656</v>
      </c>
      <c r="AC208" s="252">
        <f>ROUND(AVERAGE(268,306),0)</f>
        <v>287</v>
      </c>
      <c r="AD208" s="252">
        <f>ROUND(AVERAGE(328,409),0)</f>
        <v>369</v>
      </c>
      <c r="AE208" s="252"/>
      <c r="AF208" s="331"/>
      <c r="AG208" s="334"/>
      <c r="AH208" s="296"/>
      <c r="AI208" s="334"/>
      <c r="AJ208" s="286"/>
      <c r="AK208" s="286"/>
      <c r="AL208" s="286"/>
      <c r="AM208" s="286"/>
      <c r="AN208" s="342"/>
      <c r="AO208" s="240">
        <f t="shared" si="19"/>
        <v>8115.4794110522607</v>
      </c>
      <c r="AP208" s="239">
        <f t="shared" si="20"/>
        <v>7520.5205889477393</v>
      </c>
    </row>
    <row r="209" spans="1:42" s="162" customFormat="1" ht="18.95" customHeight="1">
      <c r="A209" s="277">
        <v>180122</v>
      </c>
      <c r="B209" s="494">
        <f>VLOOKUP(C209,'station changes (20-21)'!$A$3:$D$298,4,)</f>
        <v>180122</v>
      </c>
      <c r="C209" s="277">
        <v>180122</v>
      </c>
      <c r="D209" s="286"/>
      <c r="E209" s="286"/>
      <c r="F209" s="286"/>
      <c r="G209" s="296"/>
      <c r="H209" s="302">
        <v>4400</v>
      </c>
      <c r="I209" s="252">
        <v>4600</v>
      </c>
      <c r="J209" s="252">
        <v>4300</v>
      </c>
      <c r="K209" s="252">
        <v>4600</v>
      </c>
      <c r="L209" s="146">
        <v>4700</v>
      </c>
      <c r="M209" s="146">
        <v>4800</v>
      </c>
      <c r="N209" s="146">
        <v>4800</v>
      </c>
      <c r="O209" s="146">
        <v>6100</v>
      </c>
      <c r="P209" s="146">
        <v>5900</v>
      </c>
      <c r="Q209" s="146">
        <v>5000</v>
      </c>
      <c r="R209" s="146">
        <f t="shared" si="14"/>
        <v>5770</v>
      </c>
      <c r="S209" s="232">
        <f t="shared" si="17"/>
        <v>6102</v>
      </c>
      <c r="T209" s="233">
        <f t="shared" si="18"/>
        <v>1.2500000000000001E-2</v>
      </c>
      <c r="U209" s="322"/>
      <c r="V209" s="286"/>
      <c r="W209" s="286"/>
      <c r="X209" s="286"/>
      <c r="Y209" s="286"/>
      <c r="Z209" s="331"/>
      <c r="AA209" s="334"/>
      <c r="AB209" s="252">
        <f t="shared" si="13"/>
        <v>450</v>
      </c>
      <c r="AC209" s="252">
        <f>ROUND(AVERAGE(191,191),0)</f>
        <v>191</v>
      </c>
      <c r="AD209" s="252">
        <f>ROUND(AVERAGE(273,244),0)</f>
        <v>259</v>
      </c>
      <c r="AE209" s="252"/>
      <c r="AF209" s="331"/>
      <c r="AG209" s="334"/>
      <c r="AH209" s="296"/>
      <c r="AI209" s="334"/>
      <c r="AJ209" s="286"/>
      <c r="AK209" s="286"/>
      <c r="AL209" s="286"/>
      <c r="AM209" s="286"/>
      <c r="AN209" s="342"/>
      <c r="AO209" s="240">
        <f t="shared" si="19"/>
        <v>6417.2170281831495</v>
      </c>
      <c r="AP209" s="239">
        <f t="shared" si="20"/>
        <v>4610.7829718168505</v>
      </c>
    </row>
    <row r="210" spans="1:42" s="205" customFormat="1" ht="18.75" customHeight="1">
      <c r="A210" s="277">
        <v>180186</v>
      </c>
      <c r="B210" s="494">
        <f>VLOOKUP(C210,'station changes (20-21)'!$A$3:$D$298,4,)</f>
        <v>180186</v>
      </c>
      <c r="C210" s="277">
        <v>180186</v>
      </c>
      <c r="D210" s="286"/>
      <c r="E210" s="286"/>
      <c r="F210" s="286"/>
      <c r="G210" s="296"/>
      <c r="H210" s="302">
        <v>58500</v>
      </c>
      <c r="I210" s="252">
        <v>60000</v>
      </c>
      <c r="J210" s="252">
        <v>61500</v>
      </c>
      <c r="K210" s="252">
        <v>67000</v>
      </c>
      <c r="L210" s="146">
        <v>68000</v>
      </c>
      <c r="M210" s="146">
        <v>73500</v>
      </c>
      <c r="N210" s="146"/>
      <c r="O210" s="146">
        <v>89000</v>
      </c>
      <c r="P210" s="146">
        <v>83500</v>
      </c>
      <c r="Q210" s="146">
        <v>86000</v>
      </c>
      <c r="R210" s="146">
        <f t="shared" si="14"/>
        <v>91014.28571428638</v>
      </c>
      <c r="S210" s="232">
        <f t="shared" si="17"/>
        <v>92931.428571430035</v>
      </c>
      <c r="T210" s="233">
        <f t="shared" si="18"/>
        <v>5.0000000000000001E-3</v>
      </c>
      <c r="U210" s="322"/>
      <c r="V210" s="286"/>
      <c r="W210" s="286"/>
      <c r="X210" s="286"/>
      <c r="Y210" s="286"/>
      <c r="Z210" s="331"/>
      <c r="AA210" s="334"/>
      <c r="AB210" s="252">
        <f t="shared" si="13"/>
        <v>9556</v>
      </c>
      <c r="AC210" s="252">
        <f>ROUND(R210*0.105*(0.536),0)</f>
        <v>5122</v>
      </c>
      <c r="AD210" s="252">
        <f>ROUND(R210*0.105*(1-0.536),0)</f>
        <v>4434</v>
      </c>
      <c r="AE210" s="252"/>
      <c r="AF210" s="331"/>
      <c r="AG210" s="334"/>
      <c r="AH210" s="296"/>
      <c r="AI210" s="334"/>
      <c r="AJ210" s="286"/>
      <c r="AK210" s="286"/>
      <c r="AL210" s="286"/>
      <c r="AM210" s="286"/>
      <c r="AN210" s="342"/>
      <c r="AO210" s="240">
        <f t="shared" si="19"/>
        <v>92389.13838750984</v>
      </c>
      <c r="AP210" s="239">
        <f t="shared" si="20"/>
        <v>82368.00446963335</v>
      </c>
    </row>
    <row r="211" spans="1:42" s="162" customFormat="1" ht="18.95" customHeight="1">
      <c r="A211" s="277">
        <v>180188</v>
      </c>
      <c r="B211" s="496">
        <f>VLOOKUP(C211,'station changes (20-21)'!$A$3:$D$298,4,)</f>
        <v>180188</v>
      </c>
      <c r="C211" s="277">
        <v>180188</v>
      </c>
      <c r="D211" s="286"/>
      <c r="E211" s="286"/>
      <c r="F211" s="286"/>
      <c r="G211" s="296"/>
      <c r="H211" s="302">
        <v>62500</v>
      </c>
      <c r="I211" s="252">
        <v>64000</v>
      </c>
      <c r="J211" s="252">
        <v>66500</v>
      </c>
      <c r="K211" s="252">
        <v>75500</v>
      </c>
      <c r="L211" s="146">
        <v>72500</v>
      </c>
      <c r="M211" s="146">
        <v>78000</v>
      </c>
      <c r="N211" s="146">
        <v>80000</v>
      </c>
      <c r="O211" s="146">
        <v>81000</v>
      </c>
      <c r="P211" s="146">
        <v>70500</v>
      </c>
      <c r="Q211" s="146">
        <v>72500</v>
      </c>
      <c r="R211" s="499">
        <f t="shared" si="14"/>
        <v>70250</v>
      </c>
      <c r="S211" s="500">
        <f>_xlfn.FORECAST.LINEAR($S$5,$N211:$R211,$N$5:$R$5)</f>
        <v>55250</v>
      </c>
      <c r="T211" s="233">
        <f t="shared" si="18"/>
        <v>0</v>
      </c>
      <c r="U211" s="322"/>
      <c r="V211" s="286"/>
      <c r="W211" s="286"/>
      <c r="X211" s="286"/>
      <c r="Y211" s="286"/>
      <c r="Z211" s="331"/>
      <c r="AA211" s="334"/>
      <c r="AB211" s="252">
        <f t="shared" si="13"/>
        <v>7377</v>
      </c>
      <c r="AC211" s="252">
        <f>ROUND(R211*0.105*(0.536),0)</f>
        <v>3954</v>
      </c>
      <c r="AD211" s="252">
        <f>ROUND(R211*0.105*(1-0.536),0)</f>
        <v>3423</v>
      </c>
      <c r="AE211" s="252"/>
      <c r="AF211" s="331"/>
      <c r="AG211" s="334"/>
      <c r="AH211" s="296"/>
      <c r="AI211" s="334"/>
      <c r="AJ211" s="286"/>
      <c r="AK211" s="286"/>
      <c r="AL211" s="286"/>
      <c r="AM211" s="286"/>
      <c r="AN211" s="342"/>
      <c r="AO211" s="240">
        <f>AVERAGE(N211:R211)+_xlfn.STDEV.P(N211:R211)*1.75</f>
        <v>83056.361861385347</v>
      </c>
      <c r="AP211" s="239">
        <f t="shared" si="20"/>
        <v>66643.638138614653</v>
      </c>
    </row>
    <row r="212" spans="1:42" s="205" customFormat="1" ht="18.95" customHeight="1">
      <c r="A212" s="283">
        <v>180194</v>
      </c>
      <c r="B212" s="494">
        <f>VLOOKUP(C212,'station changes (20-21)'!$A$3:$D$298,4,)</f>
        <v>180194</v>
      </c>
      <c r="C212" s="283">
        <v>180194</v>
      </c>
      <c r="D212" s="291" t="s">
        <v>680</v>
      </c>
      <c r="E212" s="292"/>
      <c r="F212" s="292"/>
      <c r="G212" s="301"/>
      <c r="H212" s="307">
        <f>AVERAGE(H184,H223)</f>
        <v>37600.5</v>
      </c>
      <c r="I212" s="244">
        <f>AVERAGE(I184,I223)</f>
        <v>37360</v>
      </c>
      <c r="J212" s="244">
        <f>AVERAGE(J184,J223)</f>
        <v>38515</v>
      </c>
      <c r="K212" s="244">
        <v>40500</v>
      </c>
      <c r="L212" s="216">
        <f>AVERAGE(L184,L223)</f>
        <v>49936</v>
      </c>
      <c r="M212" s="216">
        <f>AVERAGE(M184,M223)</f>
        <v>50171</v>
      </c>
      <c r="N212" s="216">
        <f>AVERAGE(N184,N223)</f>
        <v>51277</v>
      </c>
      <c r="O212" s="216">
        <f t="shared" ref="O212" si="21">AVERAGE(O184,O223)</f>
        <v>52526</v>
      </c>
      <c r="P212" s="216">
        <f>AVERAGE(P184,P223)</f>
        <v>48433</v>
      </c>
      <c r="Q212" s="216">
        <f>AVERAGE(Q184,Q223)</f>
        <v>54923</v>
      </c>
      <c r="R212" s="146">
        <f t="shared" si="14"/>
        <v>53464</v>
      </c>
      <c r="S212" s="217">
        <f t="shared" si="17"/>
        <v>56864.300000000047</v>
      </c>
      <c r="T212" s="218">
        <f t="shared" si="18"/>
        <v>1.2500000000000001E-2</v>
      </c>
      <c r="U212" s="327"/>
      <c r="V212" s="292"/>
      <c r="W212" s="292"/>
      <c r="X212" s="292"/>
      <c r="Y212" s="292"/>
      <c r="Z212" s="333"/>
      <c r="AA212" s="336"/>
      <c r="AB212" s="244">
        <f t="shared" si="13"/>
        <v>4885</v>
      </c>
      <c r="AC212" s="216">
        <f t="shared" ref="AC212:AD212" si="22">AVERAGE(AC184,AC223)</f>
        <v>2507.5</v>
      </c>
      <c r="AD212" s="244">
        <f t="shared" si="22"/>
        <v>2377.5</v>
      </c>
      <c r="AE212" s="244"/>
      <c r="AF212" s="333"/>
      <c r="AG212" s="336"/>
      <c r="AH212" s="301"/>
      <c r="AI212" s="336"/>
      <c r="AJ212" s="292"/>
      <c r="AK212" s="292"/>
      <c r="AL212" s="292"/>
      <c r="AM212" s="292"/>
      <c r="AN212" s="344"/>
      <c r="AO212" s="225">
        <f t="shared" si="19"/>
        <v>55969.22639082135</v>
      </c>
      <c r="AP212" s="224">
        <f t="shared" si="20"/>
        <v>48279.973609178647</v>
      </c>
    </row>
    <row r="213" spans="1:42" s="162" customFormat="1" ht="18.95" customHeight="1">
      <c r="A213" s="277">
        <v>180197</v>
      </c>
      <c r="B213" s="494">
        <f>VLOOKUP(C213,'station changes (20-21)'!$A$3:$D$298,4,)</f>
        <v>180197</v>
      </c>
      <c r="C213" s="277">
        <v>180197</v>
      </c>
      <c r="D213" s="286"/>
      <c r="E213" s="286"/>
      <c r="F213" s="286"/>
      <c r="G213" s="296"/>
      <c r="H213" s="302">
        <v>2400</v>
      </c>
      <c r="I213" s="252">
        <v>2500</v>
      </c>
      <c r="J213" s="252">
        <v>2700</v>
      </c>
      <c r="K213" s="252">
        <v>2700</v>
      </c>
      <c r="L213" s="146">
        <v>2900</v>
      </c>
      <c r="M213" s="146">
        <v>3200</v>
      </c>
      <c r="N213" s="146">
        <v>3600</v>
      </c>
      <c r="O213" s="146">
        <v>3400</v>
      </c>
      <c r="P213" s="146">
        <v>3200</v>
      </c>
      <c r="Q213" s="146">
        <v>4300</v>
      </c>
      <c r="R213" s="146">
        <f t="shared" si="14"/>
        <v>4080</v>
      </c>
      <c r="S213" s="232">
        <f t="shared" si="17"/>
        <v>5018</v>
      </c>
      <c r="T213" s="233">
        <f t="shared" si="18"/>
        <v>4.2500000000000003E-2</v>
      </c>
      <c r="U213" s="322"/>
      <c r="V213" s="286"/>
      <c r="W213" s="286"/>
      <c r="X213" s="286"/>
      <c r="Y213" s="286"/>
      <c r="Z213" s="331"/>
      <c r="AA213" s="334"/>
      <c r="AB213" s="252">
        <f t="shared" si="13"/>
        <v>326</v>
      </c>
      <c r="AC213" s="252">
        <f>ROUND(AVERAGE(150,162),0)</f>
        <v>156</v>
      </c>
      <c r="AD213" s="252">
        <f>ROUND(AVERAGE(156,184),0)</f>
        <v>170</v>
      </c>
      <c r="AE213" s="252"/>
      <c r="AF213" s="331"/>
      <c r="AG213" s="334"/>
      <c r="AH213" s="296"/>
      <c r="AI213" s="334"/>
      <c r="AJ213" s="286"/>
      <c r="AK213" s="286"/>
      <c r="AL213" s="286"/>
      <c r="AM213" s="286"/>
      <c r="AN213" s="342"/>
      <c r="AO213" s="240">
        <f t="shared" si="19"/>
        <v>4438.8665160318324</v>
      </c>
      <c r="AP213" s="239">
        <f t="shared" si="20"/>
        <v>2993.1334839681672</v>
      </c>
    </row>
    <row r="214" spans="1:42" s="205" customFormat="1" ht="18.95" customHeight="1">
      <c r="A214" s="277">
        <v>180201</v>
      </c>
      <c r="B214" s="494">
        <f>VLOOKUP(C214,'station changes (20-21)'!$A$3:$D$298,4,)</f>
        <v>180201</v>
      </c>
      <c r="C214" s="277">
        <v>180201</v>
      </c>
      <c r="D214" s="286"/>
      <c r="E214" s="286"/>
      <c r="F214" s="286"/>
      <c r="G214" s="296"/>
      <c r="H214" s="302">
        <v>12500</v>
      </c>
      <c r="I214" s="252">
        <v>14400</v>
      </c>
      <c r="J214" s="252">
        <v>17700</v>
      </c>
      <c r="K214" s="252">
        <v>17400</v>
      </c>
      <c r="L214" s="146">
        <v>18500</v>
      </c>
      <c r="M214" s="146">
        <v>18700</v>
      </c>
      <c r="N214" s="146">
        <v>18700</v>
      </c>
      <c r="O214" s="146">
        <v>17200</v>
      </c>
      <c r="P214" s="146">
        <v>16400</v>
      </c>
      <c r="Q214" s="146">
        <v>19400</v>
      </c>
      <c r="R214" s="146">
        <f t="shared" si="14"/>
        <v>17810</v>
      </c>
      <c r="S214" s="232">
        <f t="shared" si="17"/>
        <v>18196</v>
      </c>
      <c r="T214" s="233">
        <f t="shared" si="18"/>
        <v>5.0000000000000001E-3</v>
      </c>
      <c r="U214" s="322"/>
      <c r="V214" s="286"/>
      <c r="W214" s="286"/>
      <c r="X214" s="286"/>
      <c r="Y214" s="286"/>
      <c r="Z214" s="331"/>
      <c r="AA214" s="334"/>
      <c r="AB214" s="252">
        <f t="shared" si="13"/>
        <v>1633</v>
      </c>
      <c r="AC214" s="252">
        <f>ROUND(AVERAGE(695,689),0)</f>
        <v>692</v>
      </c>
      <c r="AD214" s="252">
        <f>ROUND(AVERAGE(900,981),0)</f>
        <v>941</v>
      </c>
      <c r="AE214" s="252"/>
      <c r="AF214" s="331"/>
      <c r="AG214" s="334"/>
      <c r="AH214" s="296"/>
      <c r="AI214" s="334"/>
      <c r="AJ214" s="286"/>
      <c r="AK214" s="286"/>
      <c r="AL214" s="286"/>
      <c r="AM214" s="286"/>
      <c r="AN214" s="342"/>
      <c r="AO214" s="240">
        <f t="shared" si="19"/>
        <v>19760.312137397807</v>
      </c>
      <c r="AP214" s="239">
        <f t="shared" si="20"/>
        <v>16043.687862602193</v>
      </c>
    </row>
    <row r="215" spans="1:42" s="162" customFormat="1" ht="18.95" customHeight="1">
      <c r="A215" s="277">
        <v>180202</v>
      </c>
      <c r="B215" s="494">
        <f>VLOOKUP(C215,'station changes (20-21)'!$A$3:$D$298,4,)</f>
        <v>180202</v>
      </c>
      <c r="C215" s="277">
        <v>180202</v>
      </c>
      <c r="D215" s="286"/>
      <c r="E215" s="286"/>
      <c r="F215" s="286"/>
      <c r="G215" s="296"/>
      <c r="H215" s="302">
        <v>7700</v>
      </c>
      <c r="I215" s="252">
        <v>7900</v>
      </c>
      <c r="J215" s="252">
        <v>8000</v>
      </c>
      <c r="K215" s="252">
        <v>8700</v>
      </c>
      <c r="L215" s="146"/>
      <c r="M215" s="146">
        <v>10900</v>
      </c>
      <c r="N215" s="146">
        <v>10900</v>
      </c>
      <c r="O215" s="146">
        <v>11100</v>
      </c>
      <c r="P215" s="146">
        <v>10500</v>
      </c>
      <c r="Q215" s="146">
        <v>10900</v>
      </c>
      <c r="R215" s="146">
        <f t="shared" si="14"/>
        <v>10740</v>
      </c>
      <c r="S215" s="232">
        <f t="shared" si="17"/>
        <v>10464</v>
      </c>
      <c r="T215" s="233">
        <f t="shared" si="18"/>
        <v>0</v>
      </c>
      <c r="U215" s="322"/>
      <c r="V215" s="286"/>
      <c r="W215" s="286"/>
      <c r="X215" s="286"/>
      <c r="Y215" s="286"/>
      <c r="Z215" s="331"/>
      <c r="AA215" s="334"/>
      <c r="AB215" s="252">
        <f t="shared" si="13"/>
        <v>1021</v>
      </c>
      <c r="AC215" s="252">
        <f>ROUND(R215*0.095*(0.53),0)</f>
        <v>541</v>
      </c>
      <c r="AD215" s="252">
        <f>ROUND(R215*0.095*(1-0.53),0)</f>
        <v>480</v>
      </c>
      <c r="AE215" s="252"/>
      <c r="AF215" s="331"/>
      <c r="AG215" s="334"/>
      <c r="AH215" s="296"/>
      <c r="AI215" s="334"/>
      <c r="AJ215" s="286"/>
      <c r="AK215" s="286"/>
      <c r="AL215" s="286"/>
      <c r="AM215" s="286"/>
      <c r="AN215" s="342"/>
      <c r="AO215" s="240">
        <f t="shared" si="19"/>
        <v>11177.719887910311</v>
      </c>
      <c r="AP215" s="239">
        <f t="shared" si="20"/>
        <v>10478.280112089689</v>
      </c>
    </row>
    <row r="216" spans="1:42" s="205" customFormat="1" ht="18.95" customHeight="1">
      <c r="A216" s="277">
        <v>180203</v>
      </c>
      <c r="B216" s="494">
        <f>VLOOKUP(C216,'station changes (20-21)'!$A$3:$D$298,4,)</f>
        <v>180203</v>
      </c>
      <c r="C216" s="277">
        <v>180203</v>
      </c>
      <c r="D216" s="286"/>
      <c r="E216" s="286"/>
      <c r="F216" s="286"/>
      <c r="G216" s="296"/>
      <c r="H216" s="302">
        <v>8700</v>
      </c>
      <c r="I216" s="252">
        <v>8800</v>
      </c>
      <c r="J216" s="252">
        <v>9200</v>
      </c>
      <c r="K216" s="252">
        <v>10200</v>
      </c>
      <c r="L216" s="146">
        <v>10200</v>
      </c>
      <c r="M216" s="146">
        <v>12200</v>
      </c>
      <c r="N216" s="146">
        <v>13000</v>
      </c>
      <c r="O216" s="146">
        <v>13200</v>
      </c>
      <c r="P216" s="146">
        <v>12200</v>
      </c>
      <c r="Q216" s="146">
        <v>12600</v>
      </c>
      <c r="R216" s="146">
        <f t="shared" si="14"/>
        <v>12640</v>
      </c>
      <c r="S216" s="232">
        <f t="shared" si="17"/>
        <v>11804</v>
      </c>
      <c r="T216" s="233">
        <f t="shared" si="18"/>
        <v>0</v>
      </c>
      <c r="U216" s="322"/>
      <c r="V216" s="286"/>
      <c r="W216" s="286"/>
      <c r="X216" s="286"/>
      <c r="Y216" s="286"/>
      <c r="Z216" s="331"/>
      <c r="AA216" s="334"/>
      <c r="AB216" s="252">
        <f t="shared" ref="AB216:AB246" si="23">AC216+AD216</f>
        <v>1200</v>
      </c>
      <c r="AC216" s="252">
        <f>ROUND(R216*0.095*(0.53),0)</f>
        <v>636</v>
      </c>
      <c r="AD216" s="252">
        <f>ROUND(R216*0.095*(1-0.53),0)</f>
        <v>564</v>
      </c>
      <c r="AE216" s="252"/>
      <c r="AF216" s="331"/>
      <c r="AG216" s="334"/>
      <c r="AH216" s="296"/>
      <c r="AI216" s="334"/>
      <c r="AJ216" s="286"/>
      <c r="AK216" s="286"/>
      <c r="AL216" s="286"/>
      <c r="AM216" s="286"/>
      <c r="AN216" s="342"/>
      <c r="AO216" s="240">
        <f t="shared" si="19"/>
        <v>13334.056103013574</v>
      </c>
      <c r="AP216" s="239">
        <f t="shared" si="20"/>
        <v>12121.943896986426</v>
      </c>
    </row>
    <row r="217" spans="1:42" s="162" customFormat="1" ht="18.95" customHeight="1">
      <c r="A217" s="285">
        <v>180204</v>
      </c>
      <c r="B217" s="497">
        <f>VLOOKUP(C217,'station changes (20-21)'!$A$3:$D$298,4,)</f>
        <v>180204</v>
      </c>
      <c r="C217" s="285">
        <v>180204</v>
      </c>
      <c r="D217" s="286"/>
      <c r="E217" s="286"/>
      <c r="F217" s="286"/>
      <c r="G217" s="296"/>
      <c r="H217" s="302">
        <v>5300</v>
      </c>
      <c r="I217" s="252">
        <v>5300</v>
      </c>
      <c r="J217" s="252">
        <v>5200</v>
      </c>
      <c r="K217" s="252">
        <v>5700</v>
      </c>
      <c r="L217" s="146">
        <v>6000</v>
      </c>
      <c r="M217" s="146">
        <v>6100</v>
      </c>
      <c r="N217" s="146">
        <v>6900</v>
      </c>
      <c r="O217" s="146">
        <v>6600</v>
      </c>
      <c r="P217" s="146">
        <v>6300</v>
      </c>
      <c r="Q217" s="146">
        <v>7100</v>
      </c>
      <c r="R217" s="146">
        <f t="shared" si="14"/>
        <v>7020</v>
      </c>
      <c r="S217" s="232">
        <f t="shared" si="17"/>
        <v>7302</v>
      </c>
      <c r="T217" s="233">
        <f t="shared" si="18"/>
        <v>7.4999999999999997E-3</v>
      </c>
      <c r="U217" s="322"/>
      <c r="V217" s="286"/>
      <c r="W217" s="286"/>
      <c r="X217" s="286"/>
      <c r="Y217" s="286"/>
      <c r="Z217" s="331"/>
      <c r="AA217" s="334"/>
      <c r="AB217" s="252">
        <f t="shared" si="23"/>
        <v>564</v>
      </c>
      <c r="AC217" s="252">
        <f>ROUND(AVERAGE(278,270),0)</f>
        <v>274</v>
      </c>
      <c r="AD217" s="252">
        <f>ROUND(AVERAGE(279,300),0)</f>
        <v>290</v>
      </c>
      <c r="AE217" s="252"/>
      <c r="AF217" s="331"/>
      <c r="AG217" s="334"/>
      <c r="AH217" s="296"/>
      <c r="AI217" s="334"/>
      <c r="AJ217" s="286"/>
      <c r="AK217" s="286"/>
      <c r="AL217" s="286"/>
      <c r="AM217" s="286"/>
      <c r="AN217" s="342"/>
      <c r="AO217" s="240">
        <f t="shared" si="19"/>
        <v>7301.4321211521374</v>
      </c>
      <c r="AP217" s="239">
        <f t="shared" si="20"/>
        <v>6266.5678788478626</v>
      </c>
    </row>
    <row r="218" spans="1:42" s="205" customFormat="1" ht="18.95" customHeight="1">
      <c r="A218" s="277">
        <v>180206</v>
      </c>
      <c r="B218" s="494">
        <f>VLOOKUP(C218,'station changes (20-21)'!$A$3:$D$298,4,)</f>
        <v>180206</v>
      </c>
      <c r="C218" s="277">
        <v>180206</v>
      </c>
      <c r="D218" s="286"/>
      <c r="E218" s="286"/>
      <c r="F218" s="286"/>
      <c r="G218" s="296"/>
      <c r="H218" s="302">
        <v>17500</v>
      </c>
      <c r="I218" s="252">
        <v>19600</v>
      </c>
      <c r="J218" s="252">
        <v>20500</v>
      </c>
      <c r="K218" s="252">
        <v>21500</v>
      </c>
      <c r="L218" s="146">
        <v>23500</v>
      </c>
      <c r="M218" s="146">
        <v>26000</v>
      </c>
      <c r="N218" s="146">
        <v>26500</v>
      </c>
      <c r="O218" s="146">
        <v>26500</v>
      </c>
      <c r="P218" s="146">
        <v>25500</v>
      </c>
      <c r="Q218" s="146">
        <v>26500</v>
      </c>
      <c r="R218" s="146">
        <f t="shared" si="14"/>
        <v>26200</v>
      </c>
      <c r="S218" s="232">
        <f t="shared" si="17"/>
        <v>25820</v>
      </c>
      <c r="T218" s="233">
        <f t="shared" si="18"/>
        <v>0</v>
      </c>
      <c r="U218" s="322"/>
      <c r="V218" s="286"/>
      <c r="W218" s="286"/>
      <c r="X218" s="286"/>
      <c r="Y218" s="286"/>
      <c r="Z218" s="331"/>
      <c r="AA218" s="334"/>
      <c r="AB218" s="252">
        <f t="shared" si="23"/>
        <v>2358</v>
      </c>
      <c r="AC218" s="252">
        <f>ROUND(R218*0.09*(0.53),0)</f>
        <v>1250</v>
      </c>
      <c r="AD218" s="252">
        <f>ROUND(R218*0.09*(1-0.53),0)</f>
        <v>1108</v>
      </c>
      <c r="AE218" s="252"/>
      <c r="AF218" s="331"/>
      <c r="AG218" s="334"/>
      <c r="AH218" s="296"/>
      <c r="AI218" s="334"/>
      <c r="AJ218" s="286"/>
      <c r="AK218" s="286"/>
      <c r="AL218" s="286"/>
      <c r="AM218" s="286"/>
      <c r="AN218" s="342"/>
      <c r="AO218" s="240">
        <f t="shared" si="19"/>
        <v>26918.675180038284</v>
      </c>
      <c r="AP218" s="239">
        <f t="shared" si="20"/>
        <v>25561.324819961716</v>
      </c>
    </row>
    <row r="219" spans="1:42" s="162" customFormat="1" ht="18.95" customHeight="1">
      <c r="A219" s="277">
        <v>180207</v>
      </c>
      <c r="B219" s="494">
        <f>VLOOKUP(C219,'station changes (20-21)'!$A$3:$D$298,4,)</f>
        <v>180207</v>
      </c>
      <c r="C219" s="277">
        <v>180207</v>
      </c>
      <c r="D219" s="286"/>
      <c r="E219" s="286"/>
      <c r="F219" s="286"/>
      <c r="G219" s="296"/>
      <c r="H219" s="302">
        <v>8800</v>
      </c>
      <c r="I219" s="252">
        <v>8400</v>
      </c>
      <c r="J219" s="252">
        <v>8400</v>
      </c>
      <c r="K219" s="252">
        <v>9000</v>
      </c>
      <c r="L219" s="146">
        <v>8800</v>
      </c>
      <c r="M219" s="146">
        <v>8300</v>
      </c>
      <c r="N219" s="146">
        <v>8300</v>
      </c>
      <c r="O219" s="146">
        <v>11000</v>
      </c>
      <c r="P219" s="146">
        <v>10500</v>
      </c>
      <c r="Q219" s="146">
        <v>9500</v>
      </c>
      <c r="R219" s="146">
        <f t="shared" si="14"/>
        <v>10900</v>
      </c>
      <c r="S219" s="232">
        <f t="shared" si="17"/>
        <v>12630</v>
      </c>
      <c r="T219" s="233">
        <f t="shared" si="18"/>
        <v>0.03</v>
      </c>
      <c r="U219" s="322"/>
      <c r="V219" s="286"/>
      <c r="W219" s="286"/>
      <c r="X219" s="286"/>
      <c r="Y219" s="286"/>
      <c r="Z219" s="331"/>
      <c r="AA219" s="334"/>
      <c r="AB219" s="252">
        <f t="shared" si="23"/>
        <v>898</v>
      </c>
      <c r="AC219" s="252">
        <f>ROUND(AVERAGE(413,443),0)</f>
        <v>428</v>
      </c>
      <c r="AD219" s="252">
        <f>ROUND(AVERAGE(480,459),0)</f>
        <v>470</v>
      </c>
      <c r="AE219" s="252"/>
      <c r="AF219" s="331"/>
      <c r="AG219" s="334"/>
      <c r="AH219" s="296"/>
      <c r="AI219" s="334"/>
      <c r="AJ219" s="286"/>
      <c r="AK219" s="286"/>
      <c r="AL219" s="286"/>
      <c r="AM219" s="286"/>
      <c r="AN219" s="342"/>
      <c r="AO219" s="240">
        <f t="shared" si="19"/>
        <v>11823.28348839998</v>
      </c>
      <c r="AP219" s="239">
        <f t="shared" si="20"/>
        <v>8256.7165116000197</v>
      </c>
    </row>
    <row r="220" spans="1:42" s="205" customFormat="1" ht="18.95" customHeight="1">
      <c r="A220" s="277">
        <v>180208</v>
      </c>
      <c r="B220" s="494">
        <f>VLOOKUP(C220,'station changes (20-21)'!$A$3:$D$298,4,)</f>
        <v>180208</v>
      </c>
      <c r="C220" s="277">
        <v>180208</v>
      </c>
      <c r="D220" s="286"/>
      <c r="E220" s="286"/>
      <c r="F220" s="286"/>
      <c r="G220" s="296"/>
      <c r="H220" s="302">
        <f>H184</f>
        <v>37500</v>
      </c>
      <c r="I220" s="252">
        <f>I184</f>
        <v>36000</v>
      </c>
      <c r="J220" s="252">
        <f>J184</f>
        <v>38500</v>
      </c>
      <c r="K220" s="252">
        <v>36500</v>
      </c>
      <c r="L220" s="146">
        <f>L184</f>
        <v>47500</v>
      </c>
      <c r="M220" s="146">
        <f>M184</f>
        <v>51000</v>
      </c>
      <c r="N220" s="146">
        <f>N184</f>
        <v>52000</v>
      </c>
      <c r="O220" s="146">
        <f>O184</f>
        <v>52500</v>
      </c>
      <c r="P220" s="146"/>
      <c r="Q220" s="146">
        <f>Q184</f>
        <v>52550</v>
      </c>
      <c r="R220" s="146">
        <f>_xlfn.FORECAST.LINEAR($R$5,$M220:$Q220,$M$5:$Q$5)</f>
        <v>53168.571428571362</v>
      </c>
      <c r="S220" s="232">
        <f t="shared" si="17"/>
        <v>54225.642857142782</v>
      </c>
      <c r="T220" s="233">
        <f t="shared" si="18"/>
        <v>5.0000000000000001E-3</v>
      </c>
      <c r="U220" s="322"/>
      <c r="V220" s="286"/>
      <c r="W220" s="286"/>
      <c r="X220" s="286"/>
      <c r="Y220" s="286"/>
      <c r="Z220" s="331"/>
      <c r="AA220" s="334"/>
      <c r="AB220" s="252">
        <f>AC220+AD220</f>
        <v>3914</v>
      </c>
      <c r="AC220" s="146">
        <f>AC184</f>
        <v>1870</v>
      </c>
      <c r="AD220" s="252">
        <f>AD184</f>
        <v>2044</v>
      </c>
      <c r="AE220" s="252"/>
      <c r="AF220" s="331"/>
      <c r="AG220" s="334"/>
      <c r="AH220" s="296"/>
      <c r="AI220" s="334"/>
      <c r="AJ220" s="286"/>
      <c r="AK220" s="286"/>
      <c r="AL220" s="286"/>
      <c r="AM220" s="286"/>
      <c r="AN220" s="342"/>
      <c r="AO220" s="240">
        <f t="shared" si="19"/>
        <v>53280.177950625533</v>
      </c>
      <c r="AP220" s="239">
        <f>AVERAGE(N220:R220)-_xlfn.STDEV.P(N220:R220)*1.75</f>
        <v>51829.107763660148</v>
      </c>
    </row>
    <row r="221" spans="1:42" s="162" customFormat="1" ht="18.95" customHeight="1">
      <c r="A221" s="277">
        <v>180209</v>
      </c>
      <c r="B221" s="494">
        <f>VLOOKUP(C221,'station changes (20-21)'!$A$3:$D$298,4,)</f>
        <v>180209</v>
      </c>
      <c r="C221" s="277">
        <v>180209</v>
      </c>
      <c r="D221" s="286"/>
      <c r="E221" s="286"/>
      <c r="F221" s="286"/>
      <c r="G221" s="296"/>
      <c r="H221" s="302">
        <v>35000</v>
      </c>
      <c r="I221" s="252">
        <v>35500</v>
      </c>
      <c r="J221" s="252">
        <v>37000</v>
      </c>
      <c r="K221" s="252">
        <v>38500</v>
      </c>
      <c r="L221" s="146">
        <v>38500</v>
      </c>
      <c r="M221" s="146">
        <v>39500</v>
      </c>
      <c r="N221" s="146">
        <v>39500</v>
      </c>
      <c r="O221" s="146">
        <v>39500</v>
      </c>
      <c r="P221" s="146">
        <v>37500</v>
      </c>
      <c r="Q221" s="146">
        <v>38000</v>
      </c>
      <c r="R221" s="146">
        <f t="shared" si="14"/>
        <v>37300</v>
      </c>
      <c r="S221" s="232">
        <f t="shared" si="17"/>
        <v>34230</v>
      </c>
      <c r="T221" s="233">
        <f t="shared" si="18"/>
        <v>0</v>
      </c>
      <c r="U221" s="322"/>
      <c r="V221" s="286"/>
      <c r="W221" s="286"/>
      <c r="X221" s="286"/>
      <c r="Y221" s="286"/>
      <c r="Z221" s="331"/>
      <c r="AA221" s="334"/>
      <c r="AB221" s="252">
        <f t="shared" si="23"/>
        <v>3058</v>
      </c>
      <c r="AC221" s="252">
        <f>ROUND(AVERAGE(1309,1293),0)</f>
        <v>1301</v>
      </c>
      <c r="AD221" s="252">
        <f>ROUND(AVERAGE(1795,1718),0)</f>
        <v>1757</v>
      </c>
      <c r="AE221" s="252"/>
      <c r="AF221" s="331"/>
      <c r="AG221" s="334"/>
      <c r="AH221" s="296"/>
      <c r="AI221" s="334"/>
      <c r="AJ221" s="286"/>
      <c r="AK221" s="286"/>
      <c r="AL221" s="286"/>
      <c r="AM221" s="286"/>
      <c r="AN221" s="342"/>
      <c r="AO221" s="240">
        <f t="shared" si="19"/>
        <v>40037.08079709953</v>
      </c>
      <c r="AP221" s="239">
        <f t="shared" si="20"/>
        <v>36682.91920290047</v>
      </c>
    </row>
    <row r="222" spans="1:42" s="205" customFormat="1" ht="18.95" customHeight="1">
      <c r="A222" s="277">
        <v>180210</v>
      </c>
      <c r="B222" s="494">
        <f>VLOOKUP(C222,'station changes (20-21)'!$A$3:$D$298,4,)</f>
        <v>180210</v>
      </c>
      <c r="C222" s="277">
        <v>180210</v>
      </c>
      <c r="D222" s="286"/>
      <c r="E222" s="286"/>
      <c r="F222" s="286"/>
      <c r="G222" s="296"/>
      <c r="H222" s="302">
        <v>17100</v>
      </c>
      <c r="I222" s="252">
        <v>18800</v>
      </c>
      <c r="J222" s="252">
        <v>20300</v>
      </c>
      <c r="K222" s="252">
        <v>20100</v>
      </c>
      <c r="L222" s="146">
        <v>21500</v>
      </c>
      <c r="M222" s="146">
        <v>23500</v>
      </c>
      <c r="N222" s="146">
        <v>23500</v>
      </c>
      <c r="O222" s="146">
        <v>32000</v>
      </c>
      <c r="P222" s="146">
        <v>30500</v>
      </c>
      <c r="Q222" s="146">
        <v>26500</v>
      </c>
      <c r="R222" s="146">
        <f t="shared" si="14"/>
        <v>31100</v>
      </c>
      <c r="S222" s="232">
        <f t="shared" si="17"/>
        <v>35510</v>
      </c>
      <c r="T222" s="233">
        <f t="shared" si="18"/>
        <v>2.75E-2</v>
      </c>
      <c r="U222" s="322"/>
      <c r="V222" s="286"/>
      <c r="W222" s="286"/>
      <c r="X222" s="286"/>
      <c r="Y222" s="286"/>
      <c r="Z222" s="331"/>
      <c r="AA222" s="334"/>
      <c r="AB222" s="252">
        <f t="shared" si="23"/>
        <v>2324</v>
      </c>
      <c r="AC222" s="252">
        <f>ROUND(AVERAGE(1317,1304),0)</f>
        <v>1311</v>
      </c>
      <c r="AD222" s="252">
        <f>ROUND(AVERAGE(1044,981),0)</f>
        <v>1013</v>
      </c>
      <c r="AE222" s="252"/>
      <c r="AF222" s="331"/>
      <c r="AG222" s="334"/>
      <c r="AH222" s="296"/>
      <c r="AI222" s="334"/>
      <c r="AJ222" s="286"/>
      <c r="AK222" s="286"/>
      <c r="AL222" s="286"/>
      <c r="AM222" s="286"/>
      <c r="AN222" s="342"/>
      <c r="AO222" s="240">
        <f t="shared" si="19"/>
        <v>34350.976824672609</v>
      </c>
      <c r="AP222" s="239">
        <f t="shared" si="20"/>
        <v>23089.023175327391</v>
      </c>
    </row>
    <row r="223" spans="1:42" s="162" customFormat="1" ht="18.95" customHeight="1">
      <c r="A223" s="277">
        <v>180358</v>
      </c>
      <c r="B223" s="494">
        <f>VLOOKUP(C223,'station changes (20-21)'!$A$3:$D$298,4,)</f>
        <v>180358</v>
      </c>
      <c r="C223" s="277">
        <v>180358</v>
      </c>
      <c r="D223" s="286"/>
      <c r="E223" s="286"/>
      <c r="F223" s="286"/>
      <c r="G223" s="296"/>
      <c r="H223" s="302">
        <v>37701</v>
      </c>
      <c r="I223" s="252">
        <v>38720</v>
      </c>
      <c r="J223" s="252">
        <v>38530</v>
      </c>
      <c r="K223" s="252">
        <v>40500</v>
      </c>
      <c r="L223" s="146">
        <v>52372</v>
      </c>
      <c r="M223" s="146">
        <v>49342</v>
      </c>
      <c r="N223" s="146">
        <v>50554</v>
      </c>
      <c r="O223" s="146">
        <v>52552</v>
      </c>
      <c r="P223" s="146">
        <v>48433</v>
      </c>
      <c r="Q223" s="146">
        <v>57296</v>
      </c>
      <c r="R223" s="146">
        <f t="shared" si="14"/>
        <v>55771.499999999534</v>
      </c>
      <c r="S223" s="232">
        <f t="shared" si="17"/>
        <v>63546.599999999162</v>
      </c>
      <c r="T223" s="233">
        <f t="shared" si="18"/>
        <v>2.75E-2</v>
      </c>
      <c r="U223" s="322"/>
      <c r="V223" s="286"/>
      <c r="W223" s="286"/>
      <c r="X223" s="286"/>
      <c r="Y223" s="286"/>
      <c r="Z223" s="331"/>
      <c r="AA223" s="334"/>
      <c r="AB223" s="252">
        <f t="shared" si="23"/>
        <v>5856</v>
      </c>
      <c r="AC223" s="252">
        <f>ROUND(R223*0.105*(0.537),0)</f>
        <v>3145</v>
      </c>
      <c r="AD223" s="252">
        <f>ROUND(R223*0.105*(1-0.537),0)</f>
        <v>2711</v>
      </c>
      <c r="AE223" s="252"/>
      <c r="AF223" s="331"/>
      <c r="AG223" s="334"/>
      <c r="AH223" s="296"/>
      <c r="AI223" s="334"/>
      <c r="AJ223" s="286"/>
      <c r="AK223" s="286"/>
      <c r="AL223" s="286"/>
      <c r="AM223" s="286"/>
      <c r="AN223" s="342"/>
      <c r="AO223" s="240">
        <f t="shared" si="19"/>
        <v>58626.781433673881</v>
      </c>
      <c r="AP223" s="239">
        <f t="shared" si="20"/>
        <v>47215.818566325936</v>
      </c>
    </row>
    <row r="224" spans="1:42" s="205" customFormat="1" ht="20.25" customHeight="1">
      <c r="A224" s="277">
        <v>181001</v>
      </c>
      <c r="B224" s="494">
        <f>VLOOKUP(C224,'station changes (20-21)'!$A$3:$D$298,4,)</f>
        <v>181001</v>
      </c>
      <c r="C224" s="277">
        <v>181001</v>
      </c>
      <c r="D224" s="286"/>
      <c r="E224" s="286"/>
      <c r="F224" s="286"/>
      <c r="G224" s="296"/>
      <c r="H224" s="302">
        <v>5700</v>
      </c>
      <c r="I224" s="252">
        <v>6200</v>
      </c>
      <c r="J224" s="252">
        <v>6000</v>
      </c>
      <c r="K224" s="252">
        <v>6200</v>
      </c>
      <c r="L224" s="146">
        <v>6600</v>
      </c>
      <c r="M224" s="146">
        <v>6700</v>
      </c>
      <c r="N224" s="146">
        <v>8000</v>
      </c>
      <c r="O224" s="146">
        <v>8100</v>
      </c>
      <c r="P224" s="146">
        <v>7000</v>
      </c>
      <c r="Q224" s="146">
        <v>7200</v>
      </c>
      <c r="R224" s="146">
        <f t="shared" si="14"/>
        <v>7400</v>
      </c>
      <c r="S224" s="232">
        <f t="shared" si="17"/>
        <v>6070</v>
      </c>
      <c r="T224" s="233">
        <f t="shared" si="18"/>
        <v>0</v>
      </c>
      <c r="U224" s="322"/>
      <c r="V224" s="286"/>
      <c r="W224" s="286"/>
      <c r="X224" s="286"/>
      <c r="Y224" s="286"/>
      <c r="Z224" s="331"/>
      <c r="AA224" s="334"/>
      <c r="AB224" s="252">
        <f t="shared" si="23"/>
        <v>703</v>
      </c>
      <c r="AC224" s="252">
        <f>ROUND(R224*0.095*(0.53),0)</f>
        <v>373</v>
      </c>
      <c r="AD224" s="252">
        <f>ROUND(R224*0.095*(1-0.53),0)</f>
        <v>330</v>
      </c>
      <c r="AE224" s="252"/>
      <c r="AF224" s="331"/>
      <c r="AG224" s="334"/>
      <c r="AH224" s="296"/>
      <c r="AI224" s="334"/>
      <c r="AJ224" s="286"/>
      <c r="AK224" s="286"/>
      <c r="AL224" s="286"/>
      <c r="AM224" s="286"/>
      <c r="AN224" s="342"/>
      <c r="AO224" s="240">
        <f t="shared" si="19"/>
        <v>8303.6098480245</v>
      </c>
      <c r="AP224" s="239">
        <f t="shared" si="20"/>
        <v>6776.3901519755</v>
      </c>
    </row>
    <row r="225" spans="1:58" s="162" customFormat="1" ht="18.95" customHeight="1">
      <c r="A225" s="277">
        <v>181003</v>
      </c>
      <c r="B225" s="494">
        <f>VLOOKUP(C225,'station changes (20-21)'!$A$3:$D$298,4,)</f>
        <v>181003</v>
      </c>
      <c r="C225" s="277">
        <v>181003</v>
      </c>
      <c r="D225" s="286"/>
      <c r="E225" s="286"/>
      <c r="F225" s="286"/>
      <c r="G225" s="296"/>
      <c r="H225" s="302">
        <v>4800</v>
      </c>
      <c r="I225" s="252">
        <v>5200</v>
      </c>
      <c r="J225" s="252">
        <v>4700</v>
      </c>
      <c r="K225" s="252">
        <v>5200</v>
      </c>
      <c r="L225" s="146">
        <v>5700</v>
      </c>
      <c r="M225" s="146">
        <v>5900</v>
      </c>
      <c r="N225" s="146">
        <v>5900</v>
      </c>
      <c r="O225" s="146">
        <v>6400</v>
      </c>
      <c r="P225" s="146">
        <v>6100</v>
      </c>
      <c r="Q225" s="146">
        <v>7300</v>
      </c>
      <c r="R225" s="146">
        <f t="shared" si="14"/>
        <v>7220</v>
      </c>
      <c r="S225" s="232">
        <f t="shared" si="17"/>
        <v>9062</v>
      </c>
      <c r="T225" s="233">
        <f t="shared" si="18"/>
        <v>4.7500000000000001E-2</v>
      </c>
      <c r="U225" s="322"/>
      <c r="V225" s="286"/>
      <c r="W225" s="286"/>
      <c r="X225" s="286"/>
      <c r="Y225" s="286"/>
      <c r="Z225" s="331"/>
      <c r="AA225" s="334"/>
      <c r="AB225" s="252">
        <f t="shared" si="23"/>
        <v>595</v>
      </c>
      <c r="AC225" s="252">
        <f>ROUND(AVERAGE(243,267),0)</f>
        <v>255</v>
      </c>
      <c r="AD225" s="252">
        <f>ROUND(AVERAGE(334,345),0)</f>
        <v>340</v>
      </c>
      <c r="AE225" s="252"/>
      <c r="AF225" s="331"/>
      <c r="AG225" s="334"/>
      <c r="AH225" s="296"/>
      <c r="AI225" s="334"/>
      <c r="AJ225" s="286"/>
      <c r="AK225" s="286"/>
      <c r="AL225" s="286"/>
      <c r="AM225" s="286"/>
      <c r="AN225" s="342"/>
      <c r="AO225" s="240">
        <f t="shared" si="19"/>
        <v>7590.2484782597185</v>
      </c>
      <c r="AP225" s="239">
        <f t="shared" si="20"/>
        <v>5577.7515217402815</v>
      </c>
    </row>
    <row r="226" spans="1:58" s="205" customFormat="1" ht="18.95" customHeight="1">
      <c r="A226" s="277">
        <v>185008</v>
      </c>
      <c r="B226" s="494">
        <f>VLOOKUP(C226,'station changes (20-21)'!$A$3:$D$298,4,)</f>
        <v>185008</v>
      </c>
      <c r="C226" s="277">
        <v>185008</v>
      </c>
      <c r="D226" s="286"/>
      <c r="E226" s="286"/>
      <c r="F226" s="286"/>
      <c r="G226" s="296"/>
      <c r="H226" s="302">
        <v>14000</v>
      </c>
      <c r="I226" s="252">
        <v>14700</v>
      </c>
      <c r="J226" s="252">
        <v>15100</v>
      </c>
      <c r="K226" s="252">
        <v>16100</v>
      </c>
      <c r="L226" s="146">
        <v>20500</v>
      </c>
      <c r="M226" s="146">
        <v>18900</v>
      </c>
      <c r="N226" s="146">
        <v>18900</v>
      </c>
      <c r="O226" s="146">
        <v>26000</v>
      </c>
      <c r="P226" s="146">
        <v>25000</v>
      </c>
      <c r="Q226" s="146">
        <v>28000</v>
      </c>
      <c r="R226" s="146">
        <f t="shared" si="14"/>
        <v>30650</v>
      </c>
      <c r="S226" s="232">
        <f t="shared" si="17"/>
        <v>43560</v>
      </c>
      <c r="T226" s="233">
        <f t="shared" si="18"/>
        <v>7.2499999999999995E-2</v>
      </c>
      <c r="U226" s="322"/>
      <c r="V226" s="286"/>
      <c r="W226" s="286"/>
      <c r="X226" s="286"/>
      <c r="Y226" s="286"/>
      <c r="Z226" s="331"/>
      <c r="AA226" s="334"/>
      <c r="AB226" s="252">
        <f t="shared" si="23"/>
        <v>2342</v>
      </c>
      <c r="AC226" s="252">
        <f>ROUND(AVERAGE(1227,1271),0)</f>
        <v>1249</v>
      </c>
      <c r="AD226" s="252">
        <f>ROUND(AVERAGE(1069,1116),0)</f>
        <v>1093</v>
      </c>
      <c r="AE226" s="252"/>
      <c r="AF226" s="331"/>
      <c r="AG226" s="334"/>
      <c r="AH226" s="296"/>
      <c r="AI226" s="334"/>
      <c r="AJ226" s="286"/>
      <c r="AK226" s="286"/>
      <c r="AL226" s="286"/>
      <c r="AM226" s="286"/>
      <c r="AN226" s="342"/>
      <c r="AO226" s="240">
        <f t="shared" si="19"/>
        <v>32560.171530699066</v>
      </c>
      <c r="AP226" s="239">
        <f t="shared" si="20"/>
        <v>18859.828469300934</v>
      </c>
    </row>
    <row r="227" spans="1:58" ht="18.95" customHeight="1">
      <c r="A227" s="277">
        <v>185016</v>
      </c>
      <c r="B227" s="494">
        <f>VLOOKUP(C227,'station changes (20-21)'!$A$3:$D$298,4,)</f>
        <v>185016</v>
      </c>
      <c r="C227" s="277">
        <v>185016</v>
      </c>
      <c r="D227" s="286"/>
      <c r="E227" s="286"/>
      <c r="F227" s="286"/>
      <c r="G227" s="296"/>
      <c r="H227" s="302">
        <v>20000</v>
      </c>
      <c r="I227" s="252">
        <v>19900</v>
      </c>
      <c r="J227" s="252">
        <v>17800</v>
      </c>
      <c r="K227" s="252">
        <v>18200</v>
      </c>
      <c r="L227" s="146">
        <v>21000</v>
      </c>
      <c r="M227" s="146">
        <v>22000</v>
      </c>
      <c r="N227" s="146">
        <v>24500</v>
      </c>
      <c r="O227" s="146">
        <v>24500</v>
      </c>
      <c r="P227" s="146">
        <v>22500</v>
      </c>
      <c r="Q227" s="146">
        <v>23500</v>
      </c>
      <c r="R227" s="146">
        <f t="shared" si="14"/>
        <v>23700</v>
      </c>
      <c r="S227" s="232">
        <f t="shared" si="17"/>
        <v>21920</v>
      </c>
      <c r="T227" s="233">
        <f t="shared" si="18"/>
        <v>0</v>
      </c>
      <c r="U227" s="322"/>
      <c r="V227" s="286"/>
      <c r="W227" s="286"/>
      <c r="X227" s="286"/>
      <c r="Y227" s="286"/>
      <c r="Z227" s="331"/>
      <c r="AA227" s="334"/>
      <c r="AB227" s="252">
        <f t="shared" si="23"/>
        <v>2133</v>
      </c>
      <c r="AC227" s="252">
        <f>ROUND(R227*0.09*(0.53),0)</f>
        <v>1130</v>
      </c>
      <c r="AD227" s="252">
        <f>ROUND(R227*0.09*(1-0.53),0)</f>
        <v>1003</v>
      </c>
      <c r="AE227" s="252"/>
      <c r="AF227" s="331"/>
      <c r="AG227" s="334"/>
      <c r="AH227" s="296"/>
      <c r="AI227" s="334"/>
      <c r="AJ227" s="286"/>
      <c r="AK227" s="286"/>
      <c r="AL227" s="286"/>
      <c r="AM227" s="286"/>
      <c r="AN227" s="342"/>
      <c r="AO227" s="240">
        <f t="shared" si="19"/>
        <v>25038.3065893694</v>
      </c>
      <c r="AP227" s="239">
        <f t="shared" si="20"/>
        <v>22441.6934106306</v>
      </c>
      <c r="AQ227" s="162"/>
      <c r="AR227" s="162"/>
      <c r="AS227" s="162"/>
      <c r="AT227" s="162"/>
      <c r="AU227" s="162"/>
      <c r="AV227" s="162"/>
      <c r="AW227" s="162"/>
      <c r="AX227" s="162"/>
      <c r="AY227" s="162"/>
      <c r="AZ227" s="162"/>
      <c r="BA227" s="162"/>
      <c r="BB227" s="162"/>
      <c r="BC227" s="162"/>
      <c r="BD227" s="162"/>
      <c r="BE227" s="162"/>
      <c r="BF227" s="162"/>
    </row>
    <row r="228" spans="1:58" s="205" customFormat="1" ht="18.95" customHeight="1">
      <c r="A228" s="277">
        <v>187003</v>
      </c>
      <c r="B228" s="494">
        <f>VLOOKUP(C228,'station changes (20-21)'!$A$3:$D$298,4,)</f>
        <v>187003</v>
      </c>
      <c r="C228" s="277">
        <v>187003</v>
      </c>
      <c r="D228" s="286"/>
      <c r="E228" s="286"/>
      <c r="F228" s="286"/>
      <c r="G228" s="296"/>
      <c r="H228" s="302">
        <v>7500</v>
      </c>
      <c r="I228" s="252">
        <v>7500</v>
      </c>
      <c r="J228" s="252">
        <v>9300</v>
      </c>
      <c r="K228" s="252">
        <v>9700</v>
      </c>
      <c r="L228" s="146">
        <v>10500</v>
      </c>
      <c r="M228" s="146">
        <v>8600</v>
      </c>
      <c r="N228" s="146">
        <v>8600</v>
      </c>
      <c r="O228" s="146">
        <v>8700</v>
      </c>
      <c r="P228" s="146">
        <v>10300</v>
      </c>
      <c r="Q228" s="146">
        <v>10600</v>
      </c>
      <c r="R228" s="146">
        <f t="shared" si="14"/>
        <v>11070</v>
      </c>
      <c r="S228" s="232">
        <f t="shared" si="17"/>
        <v>14642</v>
      </c>
      <c r="T228" s="233">
        <f t="shared" si="18"/>
        <v>5.7500000000000002E-2</v>
      </c>
      <c r="U228" s="322"/>
      <c r="V228" s="286"/>
      <c r="W228" s="286"/>
      <c r="X228" s="286"/>
      <c r="Y228" s="286"/>
      <c r="Z228" s="331"/>
      <c r="AA228" s="334"/>
      <c r="AB228" s="252">
        <f t="shared" si="23"/>
        <v>996</v>
      </c>
      <c r="AC228" s="252">
        <f>ROUND(R228*0.09*(0.53),0)</f>
        <v>528</v>
      </c>
      <c r="AD228" s="252">
        <f>ROUND(R228*0.09*(1-0.53),0)</f>
        <v>468</v>
      </c>
      <c r="AE228" s="252"/>
      <c r="AF228" s="331"/>
      <c r="AG228" s="334"/>
      <c r="AH228" s="296"/>
      <c r="AI228" s="334"/>
      <c r="AJ228" s="286"/>
      <c r="AK228" s="286"/>
      <c r="AL228" s="286"/>
      <c r="AM228" s="286"/>
      <c r="AN228" s="342"/>
      <c r="AO228" s="240">
        <f t="shared" si="19"/>
        <v>11628.040867623968</v>
      </c>
      <c r="AP228" s="239">
        <f t="shared" si="20"/>
        <v>8079.9591323760324</v>
      </c>
    </row>
    <row r="229" spans="1:58" s="205" customFormat="1" ht="18.95" customHeight="1">
      <c r="A229" s="277">
        <v>187006</v>
      </c>
      <c r="B229" s="494">
        <f>VLOOKUP(C229,'station changes (20-21)'!$A$3:$D$298,4,)</f>
        <v>187006</v>
      </c>
      <c r="C229" s="277">
        <v>187006</v>
      </c>
      <c r="D229" s="286"/>
      <c r="E229" s="286"/>
      <c r="F229" s="286"/>
      <c r="G229" s="296"/>
      <c r="H229" s="302"/>
      <c r="I229" s="252"/>
      <c r="J229" s="252"/>
      <c r="K229" s="252"/>
      <c r="L229" s="146">
        <v>8100</v>
      </c>
      <c r="M229" s="146">
        <v>6700</v>
      </c>
      <c r="N229" s="146">
        <v>6700</v>
      </c>
      <c r="O229" s="146">
        <v>6700</v>
      </c>
      <c r="P229" s="146">
        <v>6400</v>
      </c>
      <c r="Q229" s="146">
        <v>6600</v>
      </c>
      <c r="R229" s="146">
        <f t="shared" si="14"/>
        <v>6470</v>
      </c>
      <c r="S229" s="232">
        <f t="shared" si="17"/>
        <v>6182</v>
      </c>
      <c r="T229" s="233">
        <f t="shared" si="18"/>
        <v>0</v>
      </c>
      <c r="U229" s="322"/>
      <c r="V229" s="286"/>
      <c r="W229" s="286"/>
      <c r="X229" s="286"/>
      <c r="Y229" s="286"/>
      <c r="Z229" s="331"/>
      <c r="AA229" s="334"/>
      <c r="AB229" s="252">
        <f t="shared" si="23"/>
        <v>615</v>
      </c>
      <c r="AC229" s="252">
        <f t="shared" ref="AC229:AC234" si="24">ROUND(R229*0.095*(0.53),0)</f>
        <v>326</v>
      </c>
      <c r="AD229" s="252">
        <f t="shared" ref="AD229:AD234" si="25">ROUND(R229*0.095*(1-0.53),0)</f>
        <v>289</v>
      </c>
      <c r="AE229" s="252"/>
      <c r="AF229" s="331"/>
      <c r="AG229" s="334"/>
      <c r="AH229" s="296"/>
      <c r="AI229" s="334"/>
      <c r="AJ229" s="286"/>
      <c r="AK229" s="286"/>
      <c r="AL229" s="286"/>
      <c r="AM229" s="286"/>
      <c r="AN229" s="342"/>
      <c r="AO229" s="240">
        <f t="shared" si="19"/>
        <v>6786.2050894771373</v>
      </c>
      <c r="AP229" s="239">
        <f t="shared" si="20"/>
        <v>6361.7949105228627</v>
      </c>
    </row>
    <row r="230" spans="1:58" s="162" customFormat="1" ht="18.95" customHeight="1">
      <c r="A230" s="277">
        <v>188006</v>
      </c>
      <c r="B230" s="494">
        <f>VLOOKUP(C230,'station changes (20-21)'!$A$3:$D$298,4,)</f>
        <v>188006</v>
      </c>
      <c r="C230" s="277">
        <v>188006</v>
      </c>
      <c r="D230" s="286"/>
      <c r="E230" s="286"/>
      <c r="F230" s="286"/>
      <c r="G230" s="296"/>
      <c r="H230" s="302">
        <v>2150</v>
      </c>
      <c r="I230" s="252">
        <v>2150</v>
      </c>
      <c r="J230" s="252">
        <v>2150</v>
      </c>
      <c r="K230" s="252">
        <v>2300</v>
      </c>
      <c r="L230" s="146"/>
      <c r="M230" s="146">
        <v>2150</v>
      </c>
      <c r="N230" s="146">
        <v>2150</v>
      </c>
      <c r="O230" s="146">
        <v>2150</v>
      </c>
      <c r="P230" s="146">
        <v>1850</v>
      </c>
      <c r="Q230" s="146">
        <v>2800</v>
      </c>
      <c r="R230" s="146">
        <f t="shared" si="14"/>
        <v>2520</v>
      </c>
      <c r="S230" s="232">
        <f t="shared" si="17"/>
        <v>3267</v>
      </c>
      <c r="T230" s="233">
        <f t="shared" si="18"/>
        <v>5.2499999999999998E-2</v>
      </c>
      <c r="U230" s="322"/>
      <c r="V230" s="286"/>
      <c r="W230" s="286"/>
      <c r="X230" s="286"/>
      <c r="Y230" s="286"/>
      <c r="Z230" s="331"/>
      <c r="AA230" s="334"/>
      <c r="AB230" s="252">
        <f t="shared" si="23"/>
        <v>240</v>
      </c>
      <c r="AC230" s="252">
        <f t="shared" si="24"/>
        <v>127</v>
      </c>
      <c r="AD230" s="252">
        <f t="shared" si="25"/>
        <v>113</v>
      </c>
      <c r="AE230" s="252"/>
      <c r="AF230" s="331"/>
      <c r="AG230" s="334"/>
      <c r="AH230" s="296"/>
      <c r="AI230" s="334"/>
      <c r="AJ230" s="286"/>
      <c r="AK230" s="286"/>
      <c r="AL230" s="286"/>
      <c r="AM230" s="286"/>
      <c r="AN230" s="342"/>
      <c r="AO230" s="240">
        <f t="shared" si="19"/>
        <v>2872.1466077043087</v>
      </c>
      <c r="AP230" s="239">
        <f t="shared" si="20"/>
        <v>1715.8533922956913</v>
      </c>
    </row>
    <row r="231" spans="1:58" s="205" customFormat="1" ht="18.95" customHeight="1">
      <c r="A231" s="277">
        <v>188007</v>
      </c>
      <c r="B231" s="494">
        <f>VLOOKUP(C231,'station changes (20-21)'!$A$3:$D$298,4,)</f>
        <v>188007</v>
      </c>
      <c r="C231" s="277">
        <v>188007</v>
      </c>
      <c r="D231" s="286"/>
      <c r="E231" s="286"/>
      <c r="F231" s="286"/>
      <c r="G231" s="296"/>
      <c r="H231" s="302">
        <v>600</v>
      </c>
      <c r="I231" s="252">
        <v>600</v>
      </c>
      <c r="J231" s="252">
        <v>600</v>
      </c>
      <c r="K231" s="252">
        <v>600</v>
      </c>
      <c r="L231" s="139">
        <v>800</v>
      </c>
      <c r="M231" s="139">
        <v>850</v>
      </c>
      <c r="N231" s="139">
        <v>850</v>
      </c>
      <c r="O231" s="139">
        <v>850</v>
      </c>
      <c r="P231" s="139">
        <v>600</v>
      </c>
      <c r="Q231" s="139">
        <v>600</v>
      </c>
      <c r="R231" s="146">
        <f t="shared" si="14"/>
        <v>525</v>
      </c>
      <c r="S231" s="232">
        <f t="shared" si="17"/>
        <v>55</v>
      </c>
      <c r="T231" s="233">
        <f t="shared" si="18"/>
        <v>0</v>
      </c>
      <c r="U231" s="322"/>
      <c r="V231" s="286"/>
      <c r="W231" s="286"/>
      <c r="X231" s="286"/>
      <c r="Y231" s="286"/>
      <c r="Z231" s="331"/>
      <c r="AA231" s="334"/>
      <c r="AB231" s="252">
        <f t="shared" si="23"/>
        <v>49</v>
      </c>
      <c r="AC231" s="252">
        <f t="shared" si="24"/>
        <v>26</v>
      </c>
      <c r="AD231" s="252">
        <f t="shared" si="25"/>
        <v>23</v>
      </c>
      <c r="AE231" s="252"/>
      <c r="AF231" s="331"/>
      <c r="AG231" s="334"/>
      <c r="AH231" s="296"/>
      <c r="AI231" s="334"/>
      <c r="AJ231" s="286"/>
      <c r="AK231" s="286"/>
      <c r="AL231" s="286"/>
      <c r="AM231" s="286"/>
      <c r="AN231" s="342"/>
      <c r="AO231" s="240">
        <f t="shared" si="19"/>
        <v>925.58522398518164</v>
      </c>
      <c r="AP231" s="239">
        <f t="shared" si="20"/>
        <v>444.41477601481836</v>
      </c>
    </row>
    <row r="232" spans="1:58" s="162" customFormat="1" ht="18.95" customHeight="1">
      <c r="A232" s="277">
        <v>188011</v>
      </c>
      <c r="B232" s="494">
        <f>VLOOKUP(C232,'station changes (20-21)'!$A$3:$D$298,4,)</f>
        <v>188011</v>
      </c>
      <c r="C232" s="277">
        <v>188011</v>
      </c>
      <c r="D232" s="286"/>
      <c r="E232" s="286"/>
      <c r="F232" s="286"/>
      <c r="G232" s="296"/>
      <c r="H232" s="302">
        <v>700</v>
      </c>
      <c r="I232" s="252">
        <v>700</v>
      </c>
      <c r="J232" s="252">
        <v>700</v>
      </c>
      <c r="K232" s="252">
        <v>700</v>
      </c>
      <c r="L232" s="146">
        <v>800</v>
      </c>
      <c r="M232" s="146">
        <v>700</v>
      </c>
      <c r="N232" s="146">
        <v>700</v>
      </c>
      <c r="O232" s="146">
        <v>700</v>
      </c>
      <c r="P232" s="146">
        <v>800</v>
      </c>
      <c r="Q232" s="146">
        <v>800</v>
      </c>
      <c r="R232" s="146">
        <f t="shared" si="14"/>
        <v>830</v>
      </c>
      <c r="S232" s="232">
        <f t="shared" si="17"/>
        <v>1018</v>
      </c>
      <c r="T232" s="233">
        <f t="shared" si="18"/>
        <v>4.2500000000000003E-2</v>
      </c>
      <c r="U232" s="322"/>
      <c r="V232" s="286"/>
      <c r="W232" s="286"/>
      <c r="X232" s="286"/>
      <c r="Y232" s="286"/>
      <c r="Z232" s="331"/>
      <c r="AA232" s="334"/>
      <c r="AB232" s="252">
        <f t="shared" si="23"/>
        <v>79</v>
      </c>
      <c r="AC232" s="252">
        <f t="shared" si="24"/>
        <v>42</v>
      </c>
      <c r="AD232" s="252">
        <f t="shared" si="25"/>
        <v>37</v>
      </c>
      <c r="AE232" s="252"/>
      <c r="AF232" s="331"/>
      <c r="AG232" s="334"/>
      <c r="AH232" s="296"/>
      <c r="AI232" s="334"/>
      <c r="AJ232" s="286"/>
      <c r="AK232" s="286"/>
      <c r="AL232" s="286"/>
      <c r="AM232" s="286"/>
      <c r="AN232" s="342"/>
      <c r="AO232" s="240">
        <f t="shared" si="19"/>
        <v>862.23408959407266</v>
      </c>
      <c r="AP232" s="239">
        <f t="shared" si="20"/>
        <v>669.76591040592734</v>
      </c>
    </row>
    <row r="233" spans="1:58" s="204" customFormat="1" ht="18.95" customHeight="1">
      <c r="A233" s="277">
        <v>188014</v>
      </c>
      <c r="B233" s="494">
        <f>VLOOKUP(C233,'station changes (20-21)'!$A$3:$D$298,4,)</f>
        <v>188014</v>
      </c>
      <c r="C233" s="277">
        <v>188014</v>
      </c>
      <c r="D233" s="286"/>
      <c r="E233" s="286"/>
      <c r="F233" s="286"/>
      <c r="G233" s="296"/>
      <c r="H233" s="302">
        <v>1450</v>
      </c>
      <c r="I233" s="252">
        <v>1450</v>
      </c>
      <c r="J233" s="252">
        <v>1450</v>
      </c>
      <c r="K233" s="252">
        <v>1500</v>
      </c>
      <c r="L233" s="139">
        <v>5900</v>
      </c>
      <c r="M233" s="139">
        <v>7700</v>
      </c>
      <c r="N233" s="139">
        <v>7700</v>
      </c>
      <c r="O233" s="139">
        <v>7700</v>
      </c>
      <c r="P233" s="232">
        <v>8100</v>
      </c>
      <c r="Q233" s="232">
        <v>8300</v>
      </c>
      <c r="R233" s="146">
        <f t="shared" si="14"/>
        <v>8380</v>
      </c>
      <c r="S233" s="232">
        <f t="shared" si="17"/>
        <v>9408</v>
      </c>
      <c r="T233" s="233">
        <f t="shared" si="18"/>
        <v>2.2499999999999999E-2</v>
      </c>
      <c r="U233" s="322"/>
      <c r="V233" s="286"/>
      <c r="W233" s="286"/>
      <c r="X233" s="286"/>
      <c r="Y233" s="286"/>
      <c r="Z233" s="331"/>
      <c r="AA233" s="334"/>
      <c r="AB233" s="252">
        <f t="shared" si="23"/>
        <v>796</v>
      </c>
      <c r="AC233" s="252">
        <f t="shared" si="24"/>
        <v>422</v>
      </c>
      <c r="AD233" s="252">
        <f t="shared" si="25"/>
        <v>374</v>
      </c>
      <c r="AE233" s="252"/>
      <c r="AF233" s="331"/>
      <c r="AG233" s="334"/>
      <c r="AH233" s="296"/>
      <c r="AI233" s="334"/>
      <c r="AJ233" s="286"/>
      <c r="AK233" s="286"/>
      <c r="AL233" s="286"/>
      <c r="AM233" s="286"/>
      <c r="AN233" s="342"/>
      <c r="AO233" s="240">
        <f t="shared" si="19"/>
        <v>8541.940707988595</v>
      </c>
      <c r="AP233" s="239">
        <f t="shared" si="20"/>
        <v>7530.0592920114059</v>
      </c>
      <c r="AQ233" s="205"/>
      <c r="AR233" s="205"/>
      <c r="AS233" s="205"/>
      <c r="AT233" s="205"/>
      <c r="AU233" s="205"/>
      <c r="AV233" s="205"/>
      <c r="AW233" s="205"/>
      <c r="AX233" s="205"/>
      <c r="AY233" s="205"/>
      <c r="AZ233" s="205"/>
      <c r="BA233" s="205"/>
      <c r="BB233" s="205"/>
      <c r="BC233" s="205"/>
      <c r="BD233" s="205"/>
      <c r="BE233" s="205"/>
      <c r="BF233" s="205"/>
    </row>
    <row r="234" spans="1:58" ht="18.95" customHeight="1">
      <c r="A234" s="277">
        <v>188030</v>
      </c>
      <c r="B234" s="494">
        <f>VLOOKUP(C234,'station changes (20-21)'!$A$3:$D$298,4,)</f>
        <v>188030</v>
      </c>
      <c r="C234" s="277">
        <v>188030</v>
      </c>
      <c r="D234" s="286"/>
      <c r="E234" s="286"/>
      <c r="F234" s="286"/>
      <c r="G234" s="296"/>
      <c r="H234" s="302"/>
      <c r="I234" s="252"/>
      <c r="J234" s="252">
        <v>1650</v>
      </c>
      <c r="K234" s="252">
        <v>1750</v>
      </c>
      <c r="L234" s="139">
        <v>1850</v>
      </c>
      <c r="M234" s="139">
        <v>1950</v>
      </c>
      <c r="N234" s="139"/>
      <c r="O234" s="139">
        <v>4600</v>
      </c>
      <c r="P234" s="232">
        <v>4400</v>
      </c>
      <c r="Q234" s="232">
        <v>4600</v>
      </c>
      <c r="R234" s="146">
        <f t="shared" si="14"/>
        <v>5714.285714285681</v>
      </c>
      <c r="S234" s="232">
        <f t="shared" si="17"/>
        <v>7131.428571428638</v>
      </c>
      <c r="T234" s="233">
        <f t="shared" si="18"/>
        <v>4.4999999999999998E-2</v>
      </c>
      <c r="U234" s="322"/>
      <c r="V234" s="286"/>
      <c r="W234" s="286"/>
      <c r="X234" s="286"/>
      <c r="Y234" s="286"/>
      <c r="Z234" s="331"/>
      <c r="AA234" s="334"/>
      <c r="AB234" s="252">
        <f t="shared" si="23"/>
        <v>543</v>
      </c>
      <c r="AC234" s="252">
        <f t="shared" si="24"/>
        <v>288</v>
      </c>
      <c r="AD234" s="252">
        <f t="shared" si="25"/>
        <v>255</v>
      </c>
      <c r="AE234" s="252"/>
      <c r="AF234" s="331"/>
      <c r="AG234" s="334"/>
      <c r="AH234" s="296"/>
      <c r="AI234" s="334"/>
      <c r="AJ234" s="286"/>
      <c r="AK234" s="286"/>
      <c r="AL234" s="286"/>
      <c r="AM234" s="286"/>
      <c r="AN234" s="342"/>
      <c r="AO234" s="240">
        <f t="shared" si="19"/>
        <v>5734.7998765909879</v>
      </c>
      <c r="AP234" s="239">
        <f t="shared" si="20"/>
        <v>3922.3429805518526</v>
      </c>
      <c r="AQ234" s="162"/>
      <c r="AR234" s="162"/>
      <c r="AS234" s="162"/>
      <c r="AT234" s="162"/>
      <c r="AU234" s="162"/>
      <c r="AV234" s="162"/>
      <c r="AW234" s="162"/>
      <c r="AX234" s="162"/>
      <c r="AY234" s="162"/>
      <c r="AZ234" s="162"/>
      <c r="BA234" s="162"/>
      <c r="BB234" s="162"/>
      <c r="BC234" s="162"/>
      <c r="BD234" s="162"/>
      <c r="BE234" s="162"/>
      <c r="BF234" s="162"/>
    </row>
    <row r="235" spans="1:58" s="204" customFormat="1" ht="18.95" customHeight="1">
      <c r="A235" s="277">
        <v>188037</v>
      </c>
      <c r="B235" s="494">
        <f>VLOOKUP(C235,'station changes (20-21)'!$A$3:$D$298,4,)</f>
        <v>188037</v>
      </c>
      <c r="C235" s="277">
        <v>188037</v>
      </c>
      <c r="D235" s="286"/>
      <c r="E235" s="286"/>
      <c r="F235" s="286"/>
      <c r="G235" s="296"/>
      <c r="H235" s="302"/>
      <c r="I235" s="252"/>
      <c r="J235" s="252">
        <v>1400</v>
      </c>
      <c r="K235" s="252">
        <v>1500</v>
      </c>
      <c r="L235" s="146">
        <v>1600</v>
      </c>
      <c r="M235" s="146">
        <v>1700</v>
      </c>
      <c r="N235" s="146">
        <v>1350</v>
      </c>
      <c r="O235" s="146">
        <v>1350</v>
      </c>
      <c r="P235" s="146">
        <v>1250</v>
      </c>
      <c r="Q235" s="146">
        <v>1300</v>
      </c>
      <c r="R235" s="146">
        <f t="shared" si="14"/>
        <v>1120</v>
      </c>
      <c r="S235" s="232">
        <f t="shared" si="17"/>
        <v>917</v>
      </c>
      <c r="T235" s="233">
        <f t="shared" si="18"/>
        <v>0</v>
      </c>
      <c r="U235" s="322"/>
      <c r="V235" s="286"/>
      <c r="W235" s="286"/>
      <c r="X235" s="286"/>
      <c r="Y235" s="286"/>
      <c r="Z235" s="331"/>
      <c r="AA235" s="334"/>
      <c r="AB235" s="252">
        <f t="shared" si="23"/>
        <v>169</v>
      </c>
      <c r="AC235" s="252">
        <f>ROUND(AVERAGE(77,89),0)</f>
        <v>83</v>
      </c>
      <c r="AD235" s="252">
        <f>ROUND(AVERAGE(86,85),0)</f>
        <v>86</v>
      </c>
      <c r="AE235" s="252"/>
      <c r="AF235" s="331"/>
      <c r="AG235" s="334"/>
      <c r="AH235" s="296"/>
      <c r="AI235" s="334"/>
      <c r="AJ235" s="286"/>
      <c r="AK235" s="286"/>
      <c r="AL235" s="286"/>
      <c r="AM235" s="286"/>
      <c r="AN235" s="342"/>
      <c r="AO235" s="240">
        <f t="shared" si="19"/>
        <v>1423.5610243345504</v>
      </c>
      <c r="AP235" s="239">
        <f t="shared" si="20"/>
        <v>1124.4389756654496</v>
      </c>
      <c r="AQ235" s="205"/>
      <c r="AR235" s="205"/>
      <c r="AS235" s="205"/>
      <c r="AT235" s="205"/>
      <c r="AU235" s="205"/>
      <c r="AV235" s="205"/>
      <c r="AW235" s="205"/>
      <c r="AX235" s="205"/>
      <c r="AY235" s="205"/>
      <c r="AZ235" s="205"/>
      <c r="BA235" s="205"/>
      <c r="BB235" s="205"/>
      <c r="BC235" s="205"/>
      <c r="BD235" s="205"/>
      <c r="BE235" s="205"/>
      <c r="BF235" s="205"/>
    </row>
    <row r="236" spans="1:58" ht="18.95" customHeight="1">
      <c r="A236" s="277">
        <v>188040</v>
      </c>
      <c r="B236" s="494">
        <f>VLOOKUP(C236,'station changes (20-21)'!$A$3:$D$298,4,)</f>
        <v>188040</v>
      </c>
      <c r="C236" s="277">
        <v>188040</v>
      </c>
      <c r="D236" s="286"/>
      <c r="E236" s="286"/>
      <c r="F236" s="286"/>
      <c r="G236" s="296"/>
      <c r="H236" s="302"/>
      <c r="I236" s="252"/>
      <c r="J236" s="252">
        <v>2400</v>
      </c>
      <c r="K236" s="252">
        <v>2500</v>
      </c>
      <c r="L236" s="146">
        <v>2700</v>
      </c>
      <c r="M236" s="146">
        <v>2900</v>
      </c>
      <c r="N236" s="146">
        <v>2500</v>
      </c>
      <c r="O236" s="146">
        <v>2500</v>
      </c>
      <c r="P236" s="146">
        <v>2300</v>
      </c>
      <c r="Q236" s="146"/>
      <c r="R236" s="146">
        <f t="shared" si="14"/>
        <v>1920</v>
      </c>
      <c r="S236" s="232">
        <f t="shared" si="17"/>
        <v>1182.2857142857392</v>
      </c>
      <c r="T236" s="233">
        <f t="shared" si="18"/>
        <v>0</v>
      </c>
      <c r="U236" s="322"/>
      <c r="V236" s="286"/>
      <c r="W236" s="286"/>
      <c r="X236" s="286"/>
      <c r="Y236" s="286"/>
      <c r="Z236" s="331"/>
      <c r="AA236" s="334"/>
      <c r="AB236" s="252">
        <f t="shared" si="23"/>
        <v>313</v>
      </c>
      <c r="AC236" s="252">
        <f>ROUND(AVERAGE(164,164),0)</f>
        <v>164</v>
      </c>
      <c r="AD236" s="252">
        <f>ROUND(AVERAGE(142,155),0)</f>
        <v>149</v>
      </c>
      <c r="AE236" s="252"/>
      <c r="AF236" s="331"/>
      <c r="AG236" s="334"/>
      <c r="AH236" s="296"/>
      <c r="AI236" s="334"/>
      <c r="AJ236" s="286"/>
      <c r="AK236" s="286"/>
      <c r="AL236" s="286"/>
      <c r="AM236" s="286"/>
      <c r="AN236" s="342"/>
      <c r="AO236" s="240">
        <f t="shared" si="19"/>
        <v>2719.4028082675118</v>
      </c>
      <c r="AP236" s="239">
        <f t="shared" si="20"/>
        <v>1890.5971917324882</v>
      </c>
      <c r="AQ236" s="162"/>
      <c r="AR236" s="162"/>
      <c r="AS236" s="162"/>
      <c r="AT236" s="162"/>
      <c r="AU236" s="162"/>
      <c r="AV236" s="162"/>
      <c r="AW236" s="162"/>
      <c r="AX236" s="162"/>
      <c r="AY236" s="162"/>
      <c r="AZ236" s="162"/>
      <c r="BA236" s="162"/>
      <c r="BB236" s="162"/>
      <c r="BC236" s="162"/>
      <c r="BD236" s="162"/>
      <c r="BE236" s="162"/>
      <c r="BF236" s="162"/>
    </row>
    <row r="237" spans="1:58" s="204" customFormat="1" ht="18.95" customHeight="1">
      <c r="A237" s="277">
        <v>188048</v>
      </c>
      <c r="B237" s="494">
        <f>VLOOKUP(C237,'station changes (20-21)'!$A$3:$D$298,4,)</f>
        <v>188048</v>
      </c>
      <c r="C237" s="277">
        <v>188048</v>
      </c>
      <c r="D237" s="286"/>
      <c r="E237" s="286"/>
      <c r="F237" s="286"/>
      <c r="G237" s="296"/>
      <c r="H237" s="302"/>
      <c r="I237" s="252"/>
      <c r="J237" s="252">
        <v>10900</v>
      </c>
      <c r="K237" s="252">
        <v>11300</v>
      </c>
      <c r="L237" s="146">
        <v>12200</v>
      </c>
      <c r="M237" s="146">
        <v>13000</v>
      </c>
      <c r="N237" s="146">
        <v>8400</v>
      </c>
      <c r="O237" s="146">
        <v>8600</v>
      </c>
      <c r="P237" s="146">
        <v>8200</v>
      </c>
      <c r="Q237" s="146"/>
      <c r="R237" s="146">
        <f t="shared" si="14"/>
        <v>4580</v>
      </c>
      <c r="S237" s="232">
        <f t="shared" si="17"/>
        <v>157.71428571431898</v>
      </c>
      <c r="T237" s="233">
        <f t="shared" si="18"/>
        <v>0</v>
      </c>
      <c r="U237" s="322"/>
      <c r="V237" s="286"/>
      <c r="W237" s="286"/>
      <c r="X237" s="286"/>
      <c r="Y237" s="286"/>
      <c r="Z237" s="331"/>
      <c r="AA237" s="334"/>
      <c r="AB237" s="252">
        <f t="shared" si="23"/>
        <v>1259</v>
      </c>
      <c r="AC237" s="252">
        <f>ROUND(AVERAGE(618,614),0)</f>
        <v>616</v>
      </c>
      <c r="AD237" s="252">
        <f>ROUND(AVERAGE(644,642),0)</f>
        <v>643</v>
      </c>
      <c r="AE237" s="252"/>
      <c r="AF237" s="331"/>
      <c r="AG237" s="334"/>
      <c r="AH237" s="296"/>
      <c r="AI237" s="334"/>
      <c r="AJ237" s="286"/>
      <c r="AK237" s="286"/>
      <c r="AL237" s="286"/>
      <c r="AM237" s="286"/>
      <c r="AN237" s="342"/>
      <c r="AO237" s="240">
        <f t="shared" si="19"/>
        <v>10350.250365717213</v>
      </c>
      <c r="AP237" s="239">
        <f t="shared" si="20"/>
        <v>4539.7496342827872</v>
      </c>
      <c r="AQ237" s="205"/>
      <c r="AR237" s="205"/>
      <c r="AS237" s="205"/>
      <c r="AT237" s="205"/>
      <c r="AU237" s="205"/>
      <c r="AV237" s="205"/>
      <c r="AW237" s="205"/>
      <c r="AX237" s="205"/>
      <c r="AY237" s="205"/>
      <c r="AZ237" s="205"/>
      <c r="BA237" s="205"/>
      <c r="BB237" s="205"/>
      <c r="BC237" s="205"/>
      <c r="BD237" s="205"/>
      <c r="BE237" s="205"/>
      <c r="BF237" s="205"/>
    </row>
    <row r="238" spans="1:58" ht="18.95" customHeight="1">
      <c r="A238" s="277">
        <v>189920</v>
      </c>
      <c r="B238" s="494">
        <f>VLOOKUP(C238,'station changes (20-21)'!$A$3:$D$298,4,)</f>
        <v>189920</v>
      </c>
      <c r="C238" s="277">
        <v>189920</v>
      </c>
      <c r="D238" s="286"/>
      <c r="E238" s="286"/>
      <c r="F238" s="286"/>
      <c r="G238" s="296"/>
      <c r="H238" s="302">
        <v>39544</v>
      </c>
      <c r="I238" s="252">
        <v>40900</v>
      </c>
      <c r="J238" s="252">
        <v>42323</v>
      </c>
      <c r="K238" s="252">
        <v>44301</v>
      </c>
      <c r="L238" s="146">
        <v>46500</v>
      </c>
      <c r="M238" s="146">
        <v>49000</v>
      </c>
      <c r="N238" s="146">
        <v>53000</v>
      </c>
      <c r="O238" s="146">
        <v>53975</v>
      </c>
      <c r="P238" s="146">
        <v>48241</v>
      </c>
      <c r="Q238" s="146">
        <v>55429</v>
      </c>
      <c r="R238" s="146">
        <f t="shared" si="14"/>
        <v>54358.700000000186</v>
      </c>
      <c r="S238" s="232">
        <f t="shared" si="17"/>
        <v>55920.720000000321</v>
      </c>
      <c r="T238" s="233">
        <f t="shared" si="18"/>
        <v>5.0000000000000001E-3</v>
      </c>
      <c r="U238" s="322"/>
      <c r="V238" s="286"/>
      <c r="W238" s="286"/>
      <c r="X238" s="286"/>
      <c r="Y238" s="286"/>
      <c r="Z238" s="331"/>
      <c r="AA238" s="334"/>
      <c r="AB238" s="252">
        <f t="shared" si="23"/>
        <v>5708</v>
      </c>
      <c r="AC238" s="252">
        <f>ROUND(R238*0.105*(0.535),0)</f>
        <v>3054</v>
      </c>
      <c r="AD238" s="252">
        <f>ROUND(R238*0.105*(1-0.535),0)</f>
        <v>2654</v>
      </c>
      <c r="AE238" s="252"/>
      <c r="AF238" s="331"/>
      <c r="AG238" s="334"/>
      <c r="AH238" s="296"/>
      <c r="AI238" s="334"/>
      <c r="AJ238" s="286"/>
      <c r="AK238" s="286"/>
      <c r="AL238" s="286"/>
      <c r="AM238" s="286"/>
      <c r="AN238" s="342"/>
      <c r="AO238" s="240">
        <f t="shared" si="19"/>
        <v>57382.371670462569</v>
      </c>
      <c r="AP238" s="239">
        <f t="shared" si="20"/>
        <v>48619.108329537499</v>
      </c>
      <c r="AQ238" s="162"/>
      <c r="AR238" s="162"/>
      <c r="AS238" s="162"/>
      <c r="AT238" s="162"/>
      <c r="AU238" s="162"/>
      <c r="AV238" s="162"/>
      <c r="AW238" s="162"/>
      <c r="AX238" s="162"/>
      <c r="AY238" s="162"/>
      <c r="AZ238" s="162"/>
      <c r="BA238" s="162"/>
      <c r="BB238" s="162"/>
      <c r="BC238" s="162"/>
      <c r="BD238" s="162"/>
      <c r="BE238" s="162"/>
      <c r="BF238" s="162"/>
    </row>
    <row r="239" spans="1:58" s="204" customFormat="1" ht="18.95" customHeight="1">
      <c r="A239" s="277">
        <v>972200</v>
      </c>
      <c r="B239" s="496">
        <f>VLOOKUP(C239,'station changes (20-21)'!$A$3:$D$298,4,)</f>
        <v>972200</v>
      </c>
      <c r="C239" s="277">
        <v>972200</v>
      </c>
      <c r="D239" s="286"/>
      <c r="E239" s="286"/>
      <c r="F239" s="286"/>
      <c r="G239" s="296"/>
      <c r="H239" s="302">
        <v>36000</v>
      </c>
      <c r="I239" s="252">
        <v>35000</v>
      </c>
      <c r="J239" s="252">
        <v>36000</v>
      </c>
      <c r="K239" s="252">
        <v>40000</v>
      </c>
      <c r="L239" s="146">
        <v>44200</v>
      </c>
      <c r="M239" s="146">
        <v>47300</v>
      </c>
      <c r="N239" s="146">
        <v>49300</v>
      </c>
      <c r="O239" s="146">
        <v>49500</v>
      </c>
      <c r="P239" s="146">
        <v>44800</v>
      </c>
      <c r="Q239" s="146">
        <f t="shared" ref="Q239:Q250" si="26">_xlfn.FORECAST.LINEAR($Q$5,$L239:$P239,$L$5:$P$5)</f>
        <v>48040</v>
      </c>
      <c r="R239" s="146">
        <f t="shared" si="14"/>
        <v>46882</v>
      </c>
      <c r="S239" s="232">
        <f t="shared" si="17"/>
        <v>43297.199999999953</v>
      </c>
      <c r="T239" s="233">
        <f t="shared" si="18"/>
        <v>0</v>
      </c>
      <c r="U239" s="322"/>
      <c r="V239" s="286"/>
      <c r="W239" s="286"/>
      <c r="X239" s="286"/>
      <c r="Y239" s="286"/>
      <c r="Z239" s="331"/>
      <c r="AA239" s="334"/>
      <c r="AB239" s="252">
        <f t="shared" si="23"/>
        <v>4923</v>
      </c>
      <c r="AC239" s="252">
        <f>ROUND(R239*0.105*(0.53),0)</f>
        <v>2609</v>
      </c>
      <c r="AD239" s="252">
        <f>ROUND(R239*0.105*(1-0.53),0)</f>
        <v>2314</v>
      </c>
      <c r="AE239" s="252"/>
      <c r="AF239" s="331"/>
      <c r="AG239" s="334"/>
      <c r="AH239" s="296"/>
      <c r="AI239" s="334"/>
      <c r="AJ239" s="286"/>
      <c r="AK239" s="286"/>
      <c r="AL239" s="286"/>
      <c r="AM239" s="286"/>
      <c r="AN239" s="342"/>
      <c r="AO239" s="240">
        <f t="shared" si="19"/>
        <v>50734.94601680951</v>
      </c>
      <c r="AP239" s="239">
        <f t="shared" si="20"/>
        <v>44673.853983190493</v>
      </c>
      <c r="AQ239" s="205"/>
      <c r="AR239" s="205"/>
      <c r="AS239" s="205"/>
      <c r="AT239" s="205"/>
      <c r="AU239" s="205"/>
      <c r="AV239" s="205"/>
      <c r="AW239" s="205"/>
      <c r="AX239" s="205"/>
      <c r="AY239" s="205"/>
      <c r="AZ239" s="205"/>
      <c r="BA239" s="205"/>
      <c r="BB239" s="205"/>
      <c r="BC239" s="205"/>
      <c r="BD239" s="205"/>
      <c r="BE239" s="205"/>
      <c r="BF239" s="205"/>
    </row>
    <row r="240" spans="1:58" ht="18.95" customHeight="1" thickBot="1">
      <c r="A240" s="354">
        <v>972210</v>
      </c>
      <c r="B240" s="498">
        <f>VLOOKUP(C240,'station changes (20-21)'!$A$3:$D$298,4,)</f>
        <v>972210</v>
      </c>
      <c r="C240" s="354">
        <v>972210</v>
      </c>
      <c r="D240" s="290"/>
      <c r="E240" s="290"/>
      <c r="F240" s="290"/>
      <c r="G240" s="300"/>
      <c r="H240" s="306">
        <v>34000</v>
      </c>
      <c r="I240" s="308">
        <v>33000</v>
      </c>
      <c r="J240" s="308">
        <v>33000</v>
      </c>
      <c r="K240" s="308">
        <v>37000</v>
      </c>
      <c r="L240" s="313">
        <v>40400</v>
      </c>
      <c r="M240" s="313">
        <v>43500</v>
      </c>
      <c r="N240" s="313">
        <v>45300</v>
      </c>
      <c r="O240" s="313">
        <v>44700</v>
      </c>
      <c r="P240" s="313">
        <v>40400</v>
      </c>
      <c r="Q240" s="313">
        <v>44000</v>
      </c>
      <c r="R240" s="146">
        <f t="shared" si="14"/>
        <v>42410</v>
      </c>
      <c r="S240" s="475">
        <f t="shared" si="17"/>
        <v>38826</v>
      </c>
      <c r="T240" s="321">
        <f t="shared" si="18"/>
        <v>0</v>
      </c>
      <c r="U240" s="326"/>
      <c r="V240" s="290"/>
      <c r="W240" s="290"/>
      <c r="X240" s="290"/>
      <c r="Y240" s="290"/>
      <c r="Z240" s="332"/>
      <c r="AA240" s="335"/>
      <c r="AB240" s="308">
        <f t="shared" si="23"/>
        <v>4453</v>
      </c>
      <c r="AC240" s="308">
        <f>ROUND(R240*0.105*(0.596),0)</f>
        <v>2654</v>
      </c>
      <c r="AD240" s="308">
        <f>ROUND(R240*0.105*(1-0.596),0)</f>
        <v>1799</v>
      </c>
      <c r="AE240" s="308"/>
      <c r="AF240" s="332"/>
      <c r="AG240" s="335"/>
      <c r="AH240" s="300"/>
      <c r="AI240" s="335"/>
      <c r="AJ240" s="290"/>
      <c r="AK240" s="290"/>
      <c r="AL240" s="290"/>
      <c r="AM240" s="290"/>
      <c r="AN240" s="343"/>
      <c r="AO240" s="317">
        <f t="shared" si="19"/>
        <v>46456.372149564435</v>
      </c>
      <c r="AP240" s="345">
        <f t="shared" si="20"/>
        <v>40267.627850435565</v>
      </c>
      <c r="AQ240" s="162"/>
      <c r="AR240" s="162"/>
      <c r="AS240" s="162"/>
      <c r="AT240" s="162"/>
      <c r="AU240" s="162"/>
      <c r="AV240" s="162"/>
      <c r="AW240" s="162"/>
      <c r="AX240" s="162"/>
      <c r="AY240" s="162"/>
      <c r="AZ240" s="162"/>
      <c r="BA240" s="162"/>
      <c r="BB240" s="162"/>
      <c r="BC240" s="162"/>
      <c r="BD240" s="162"/>
      <c r="BE240" s="162"/>
      <c r="BF240" s="162"/>
    </row>
    <row r="241" spans="1:58" s="204" customFormat="1" ht="18.95" customHeight="1">
      <c r="A241" s="352" t="s">
        <v>546</v>
      </c>
      <c r="B241" s="352" t="str">
        <f>VLOOKUP(C241,'station changes (20-21)'!$A$3:$D$298,4,)</f>
        <v>180001 180042</v>
      </c>
      <c r="C241" s="352" t="s">
        <v>546</v>
      </c>
      <c r="D241" s="286"/>
      <c r="E241" s="286"/>
      <c r="F241" s="286"/>
      <c r="G241" s="296"/>
      <c r="H241" s="302">
        <f t="shared" ref="H241:O241" si="27">AVERAGE(H187,H198)</f>
        <v>4200</v>
      </c>
      <c r="I241" s="252">
        <f t="shared" si="27"/>
        <v>4500</v>
      </c>
      <c r="J241" s="252">
        <f t="shared" si="27"/>
        <v>4150</v>
      </c>
      <c r="K241" s="252">
        <f t="shared" si="27"/>
        <v>4400</v>
      </c>
      <c r="L241" s="146">
        <f t="shared" si="27"/>
        <v>4850</v>
      </c>
      <c r="M241" s="146">
        <f t="shared" si="27"/>
        <v>5250</v>
      </c>
      <c r="N241" s="146">
        <f t="shared" si="27"/>
        <v>5100</v>
      </c>
      <c r="O241" s="146">
        <f t="shared" si="27"/>
        <v>5100</v>
      </c>
      <c r="P241" s="146">
        <f>AVERAGE(P187,P198)</f>
        <v>4300</v>
      </c>
      <c r="Q241" s="146">
        <f>AVERAGE(Q187,Q198)</f>
        <v>4500</v>
      </c>
      <c r="R241" s="146">
        <f t="shared" ref="R241:R246" si="28">_xlfn.FORECAST.LINEAR($R$5,$M241:$Q241,$M$5:$Q$5)</f>
        <v>4160</v>
      </c>
      <c r="S241" s="232">
        <f t="shared" si="17"/>
        <v>2896</v>
      </c>
      <c r="T241" s="233">
        <f t="shared" si="18"/>
        <v>0</v>
      </c>
      <c r="U241" s="322"/>
      <c r="V241" s="286"/>
      <c r="W241" s="286"/>
      <c r="X241" s="286"/>
      <c r="Y241" s="286"/>
      <c r="Z241" s="331"/>
      <c r="AA241" s="334"/>
      <c r="AB241" s="252">
        <f t="shared" si="23"/>
        <v>395</v>
      </c>
      <c r="AC241" s="252">
        <f>AVERAGE(AC187,AC198)</f>
        <v>209.5</v>
      </c>
      <c r="AD241" s="252">
        <f>AVERAGE(AD187,AD198)</f>
        <v>185.5</v>
      </c>
      <c r="AE241" s="252"/>
      <c r="AF241" s="331"/>
      <c r="AG241" s="334"/>
      <c r="AH241" s="296"/>
      <c r="AI241" s="334"/>
      <c r="AJ241" s="286"/>
      <c r="AK241" s="286"/>
      <c r="AL241" s="286"/>
      <c r="AM241" s="286"/>
      <c r="AN241" s="342"/>
      <c r="AO241" s="240">
        <f t="shared" si="19"/>
        <v>5326.9417241754882</v>
      </c>
      <c r="AP241" s="239">
        <f t="shared" si="20"/>
        <v>3937.0582758245118</v>
      </c>
      <c r="AQ241" s="205"/>
      <c r="AR241" s="205"/>
      <c r="AS241" s="205"/>
      <c r="AT241" s="205"/>
      <c r="AU241" s="205"/>
      <c r="AV241" s="205"/>
      <c r="AW241" s="205"/>
      <c r="AX241" s="205"/>
      <c r="AY241" s="205"/>
      <c r="AZ241" s="205"/>
      <c r="BA241" s="205"/>
      <c r="BB241" s="205"/>
      <c r="BC241" s="205"/>
      <c r="BD241" s="205"/>
      <c r="BE241" s="205"/>
      <c r="BF241" s="205"/>
    </row>
    <row r="242" spans="1:58" ht="18.95" customHeight="1">
      <c r="A242" s="280" t="s">
        <v>172</v>
      </c>
      <c r="B242" s="280" t="str">
        <f>VLOOKUP(C242,'station changes (20-21)'!$A$3:$D$298,4,)</f>
        <v>180002: 180206</v>
      </c>
      <c r="C242" s="280" t="s">
        <v>172</v>
      </c>
      <c r="D242" s="286"/>
      <c r="E242" s="286"/>
      <c r="F242" s="286"/>
      <c r="G242" s="296"/>
      <c r="H242" s="302">
        <f t="shared" ref="H242:Q242" si="29">AVERAGE(H188,H218)</f>
        <v>16000</v>
      </c>
      <c r="I242" s="252">
        <f t="shared" si="29"/>
        <v>17900</v>
      </c>
      <c r="J242" s="252">
        <f t="shared" si="29"/>
        <v>18150</v>
      </c>
      <c r="K242" s="252">
        <f t="shared" si="29"/>
        <v>18850</v>
      </c>
      <c r="L242" s="146">
        <f t="shared" si="29"/>
        <v>22000</v>
      </c>
      <c r="M242" s="146">
        <f>AVERAGE(M188,M218)</f>
        <v>22700</v>
      </c>
      <c r="N242" s="146">
        <f t="shared" si="29"/>
        <v>26500</v>
      </c>
      <c r="O242" s="146">
        <f>AVERAGE(O188,O218)</f>
        <v>26500</v>
      </c>
      <c r="P242" s="146">
        <f t="shared" si="29"/>
        <v>25500</v>
      </c>
      <c r="Q242" s="146">
        <f t="shared" si="29"/>
        <v>24750</v>
      </c>
      <c r="R242" s="146">
        <f t="shared" si="28"/>
        <v>26120</v>
      </c>
      <c r="S242" s="232">
        <f t="shared" si="17"/>
        <v>24117</v>
      </c>
      <c r="T242" s="233">
        <f t="shared" si="18"/>
        <v>0</v>
      </c>
      <c r="U242" s="322"/>
      <c r="V242" s="286"/>
      <c r="W242" s="286"/>
      <c r="X242" s="286"/>
      <c r="Y242" s="286"/>
      <c r="Z242" s="331"/>
      <c r="AA242" s="334"/>
      <c r="AB242" s="252">
        <f t="shared" si="23"/>
        <v>2369.5</v>
      </c>
      <c r="AC242" s="252">
        <f>AVERAGE(AC188,AC218)</f>
        <v>1256</v>
      </c>
      <c r="AD242" s="252">
        <f>AVERAGE(AD188,AD218)</f>
        <v>1113.5</v>
      </c>
      <c r="AE242" s="252"/>
      <c r="AF242" s="331"/>
      <c r="AG242" s="334"/>
      <c r="AH242" s="296"/>
      <c r="AI242" s="334"/>
      <c r="AJ242" s="286"/>
      <c r="AK242" s="286"/>
      <c r="AL242" s="286"/>
      <c r="AM242" s="286"/>
      <c r="AN242" s="342"/>
      <c r="AO242" s="240">
        <f t="shared" si="19"/>
        <v>27047.288540811678</v>
      </c>
      <c r="AP242" s="239">
        <f t="shared" si="20"/>
        <v>24700.711459188322</v>
      </c>
      <c r="AQ242" s="162"/>
      <c r="AR242" s="162"/>
      <c r="AS242" s="162"/>
      <c r="AT242" s="162"/>
      <c r="AU242" s="162"/>
      <c r="AV242" s="162"/>
      <c r="AW242" s="162"/>
      <c r="AX242" s="162"/>
      <c r="AY242" s="162"/>
      <c r="AZ242" s="162"/>
      <c r="BA242" s="162"/>
      <c r="BB242" s="162"/>
      <c r="BC242" s="162"/>
      <c r="BD242" s="162"/>
      <c r="BE242" s="162"/>
      <c r="BF242" s="162"/>
    </row>
    <row r="243" spans="1:58" s="250" customFormat="1">
      <c r="A243" s="284" t="s">
        <v>149</v>
      </c>
      <c r="B243" s="284" t="str">
        <f>VLOOKUP(C243,'station changes (20-21)'!$A$3:$D$298,4,)</f>
        <v>180016: 180009</v>
      </c>
      <c r="C243" s="284" t="s">
        <v>149</v>
      </c>
      <c r="D243" s="348"/>
      <c r="E243" s="348"/>
      <c r="F243" s="348"/>
      <c r="G243" s="348"/>
      <c r="H243" s="349">
        <f t="shared" ref="H243:P243" si="30">AVERAGE(H191:H192)</f>
        <v>9150</v>
      </c>
      <c r="I243" s="349">
        <f t="shared" si="30"/>
        <v>9200</v>
      </c>
      <c r="J243" s="349">
        <f t="shared" si="30"/>
        <v>9000</v>
      </c>
      <c r="K243" s="252">
        <f t="shared" si="30"/>
        <v>9600</v>
      </c>
      <c r="L243" s="146">
        <f t="shared" si="30"/>
        <v>9850</v>
      </c>
      <c r="M243" s="146">
        <f t="shared" si="30"/>
        <v>9700</v>
      </c>
      <c r="N243" s="146">
        <f t="shared" si="30"/>
        <v>10700</v>
      </c>
      <c r="O243" s="146">
        <f t="shared" si="30"/>
        <v>11600</v>
      </c>
      <c r="P243" s="146">
        <f t="shared" si="30"/>
        <v>11050</v>
      </c>
      <c r="Q243" s="146">
        <f>AVERAGE(Q191:Q192)</f>
        <v>11450</v>
      </c>
      <c r="R243" s="146">
        <f t="shared" si="28"/>
        <v>12055</v>
      </c>
      <c r="S243" s="474">
        <f t="shared" si="17"/>
        <v>13163</v>
      </c>
      <c r="T243" s="350">
        <f t="shared" si="18"/>
        <v>1.7500000000000002E-2</v>
      </c>
      <c r="U243" s="350"/>
      <c r="V243" s="348"/>
      <c r="W243" s="348"/>
      <c r="X243" s="348"/>
      <c r="Y243" s="348"/>
      <c r="Z243" s="348"/>
      <c r="AA243" s="348"/>
      <c r="AB243" s="349">
        <f t="shared" si="23"/>
        <v>1121</v>
      </c>
      <c r="AC243" s="349">
        <f>AVERAGE(AC191:AC192)</f>
        <v>594</v>
      </c>
      <c r="AD243" s="349">
        <f>AVERAGE(AD191:AD192)</f>
        <v>527</v>
      </c>
      <c r="AE243" s="349"/>
      <c r="AF243" s="348"/>
      <c r="AG243" s="348"/>
      <c r="AH243" s="348"/>
      <c r="AI243" s="348"/>
      <c r="AJ243" s="348"/>
      <c r="AK243" s="348"/>
      <c r="AL243" s="348"/>
      <c r="AM243" s="348"/>
      <c r="AN243" s="348"/>
      <c r="AO243" s="255">
        <f t="shared" si="19"/>
        <v>12184.258722670713</v>
      </c>
      <c r="AP243" s="256">
        <f t="shared" si="20"/>
        <v>10557.741277329287</v>
      </c>
    </row>
    <row r="244" spans="1:58" s="250" customFormat="1">
      <c r="A244" s="259" t="s">
        <v>166</v>
      </c>
      <c r="B244" s="259" t="str">
        <f>VLOOKUP(C244,'station changes (20-21)'!$A$3:$D$298,4,)</f>
        <v>180041: 180077</v>
      </c>
      <c r="C244" s="259" t="s">
        <v>166</v>
      </c>
      <c r="H244" s="251">
        <f t="shared" ref="H244:Q244" si="31">AVERAGE(H197,H200)</f>
        <v>7550</v>
      </c>
      <c r="I244" s="251">
        <f t="shared" si="31"/>
        <v>7650</v>
      </c>
      <c r="J244" s="251">
        <f t="shared" si="31"/>
        <v>7500</v>
      </c>
      <c r="K244" s="252">
        <f t="shared" si="31"/>
        <v>7700</v>
      </c>
      <c r="L244" s="146">
        <f t="shared" si="31"/>
        <v>8600</v>
      </c>
      <c r="M244" s="146">
        <f t="shared" si="31"/>
        <v>9250</v>
      </c>
      <c r="N244" s="146">
        <f t="shared" si="31"/>
        <v>14200</v>
      </c>
      <c r="O244" s="146">
        <f t="shared" si="31"/>
        <v>12750</v>
      </c>
      <c r="P244" s="146">
        <f t="shared" si="31"/>
        <v>12150</v>
      </c>
      <c r="Q244" s="146">
        <f t="shared" si="31"/>
        <v>12450</v>
      </c>
      <c r="R244" s="146">
        <f>_xlfn.FORECAST.LINEAR($R$5,$M244:$Q244,$M$5:$Q$5)</f>
        <v>13465</v>
      </c>
      <c r="S244" s="232">
        <f t="shared" si="17"/>
        <v>11764</v>
      </c>
      <c r="T244" s="254">
        <f t="shared" si="18"/>
        <v>0</v>
      </c>
      <c r="U244" s="254"/>
      <c r="AB244" s="251">
        <f t="shared" si="23"/>
        <v>1311</v>
      </c>
      <c r="AC244" s="251">
        <f>AVERAGE(AC197,AC200)</f>
        <v>695</v>
      </c>
      <c r="AD244" s="251">
        <f>AVERAGE(AD197,AD200)</f>
        <v>616</v>
      </c>
      <c r="AE244" s="251"/>
      <c r="AO244" s="240">
        <f t="shared" si="19"/>
        <v>14299.342547323045</v>
      </c>
      <c r="AP244" s="239">
        <f t="shared" si="20"/>
        <v>11706.657452676955</v>
      </c>
    </row>
    <row r="245" spans="1:58" s="250" customFormat="1">
      <c r="A245" s="259" t="s">
        <v>168</v>
      </c>
      <c r="B245" s="259" t="str">
        <f>VLOOKUP(C245,'station changes (20-21)'!$A$3:$D$298,4,)</f>
        <v>180077: 180006</v>
      </c>
      <c r="C245" s="259" t="s">
        <v>168</v>
      </c>
      <c r="H245" s="251">
        <f t="shared" ref="H245:Q245" si="32">AVERAGE(H190,H200)</f>
        <v>11250</v>
      </c>
      <c r="I245" s="251">
        <f t="shared" si="32"/>
        <v>11650</v>
      </c>
      <c r="J245" s="251">
        <f t="shared" si="32"/>
        <v>11450</v>
      </c>
      <c r="K245" s="252">
        <f t="shared" si="32"/>
        <v>11800</v>
      </c>
      <c r="L245" s="146">
        <f t="shared" si="32"/>
        <v>13050</v>
      </c>
      <c r="M245" s="146">
        <f t="shared" si="32"/>
        <v>13950</v>
      </c>
      <c r="N245" s="146">
        <f t="shared" si="32"/>
        <v>17050</v>
      </c>
      <c r="O245" s="146">
        <f t="shared" si="32"/>
        <v>18500</v>
      </c>
      <c r="P245" s="146">
        <f t="shared" si="32"/>
        <v>17400</v>
      </c>
      <c r="Q245" s="146">
        <f t="shared" si="32"/>
        <v>17900</v>
      </c>
      <c r="R245" s="146">
        <f t="shared" si="28"/>
        <v>19435</v>
      </c>
      <c r="S245" s="232">
        <f t="shared" si="17"/>
        <v>20976</v>
      </c>
      <c r="T245" s="254">
        <f t="shared" si="18"/>
        <v>1.4999999999999999E-2</v>
      </c>
      <c r="U245" s="254"/>
      <c r="AB245" s="251">
        <f t="shared" si="23"/>
        <v>1796.5</v>
      </c>
      <c r="AC245" s="251">
        <f>AVERAGE(AC190,AC200)</f>
        <v>952</v>
      </c>
      <c r="AD245" s="251">
        <f>AVERAGE(AD190,AD200)</f>
        <v>844.5</v>
      </c>
      <c r="AE245" s="251"/>
      <c r="AO245" s="240">
        <f t="shared" si="19"/>
        <v>19534.787704645019</v>
      </c>
      <c r="AP245" s="239">
        <f t="shared" si="20"/>
        <v>16579.212295354981</v>
      </c>
    </row>
    <row r="246" spans="1:58" s="250" customFormat="1">
      <c r="A246" s="259" t="s">
        <v>140</v>
      </c>
      <c r="B246" s="259" t="str">
        <f>VLOOKUP(C246,'station changes (20-21)'!$A$3:$D$298,4,)</f>
        <v>180203: 180202</v>
      </c>
      <c r="C246" s="259" t="s">
        <v>140</v>
      </c>
      <c r="H246" s="251">
        <f t="shared" ref="H246:P246" si="33">AVERAGE(H215:H216)</f>
        <v>8200</v>
      </c>
      <c r="I246" s="251">
        <f t="shared" si="33"/>
        <v>8350</v>
      </c>
      <c r="J246" s="251">
        <f t="shared" si="33"/>
        <v>8600</v>
      </c>
      <c r="K246" s="252">
        <f t="shared" si="33"/>
        <v>9450</v>
      </c>
      <c r="L246" s="146">
        <f t="shared" si="33"/>
        <v>10200</v>
      </c>
      <c r="M246" s="146">
        <f t="shared" si="33"/>
        <v>11550</v>
      </c>
      <c r="N246" s="146">
        <f t="shared" si="33"/>
        <v>11950</v>
      </c>
      <c r="O246" s="146">
        <f t="shared" si="33"/>
        <v>12150</v>
      </c>
      <c r="P246" s="146">
        <f t="shared" si="33"/>
        <v>11350</v>
      </c>
      <c r="Q246" s="146">
        <f>AVERAGE(Q215:Q216)</f>
        <v>11750</v>
      </c>
      <c r="R246" s="146">
        <f t="shared" si="28"/>
        <v>11690</v>
      </c>
      <c r="S246" s="232">
        <f t="shared" si="17"/>
        <v>11134</v>
      </c>
      <c r="T246" s="254">
        <f t="shared" si="18"/>
        <v>0</v>
      </c>
      <c r="U246" s="254"/>
      <c r="AB246" s="251">
        <f t="shared" si="23"/>
        <v>1110.5</v>
      </c>
      <c r="AC246" s="251">
        <f>AVERAGE(AC215:AC216)</f>
        <v>588.5</v>
      </c>
      <c r="AD246" s="251">
        <f>AVERAGE(AD215:AD216)</f>
        <v>522</v>
      </c>
      <c r="AE246" s="251"/>
      <c r="AO246" s="240">
        <f t="shared" si="19"/>
        <v>12247.365529198725</v>
      </c>
      <c r="AP246" s="239">
        <f t="shared" si="20"/>
        <v>11308.634470801275</v>
      </c>
    </row>
    <row r="247" spans="1:58" s="250" customFormat="1">
      <c r="A247" s="279">
        <v>105</v>
      </c>
      <c r="B247" s="279" t="s">
        <v>836</v>
      </c>
      <c r="C247" s="279">
        <v>105</v>
      </c>
      <c r="D247" s="288" t="s">
        <v>346</v>
      </c>
      <c r="E247" s="288" t="s">
        <v>349</v>
      </c>
      <c r="F247" s="294">
        <v>43846</v>
      </c>
      <c r="G247" s="298" t="s">
        <v>267</v>
      </c>
      <c r="H247" s="304">
        <v>7437</v>
      </c>
      <c r="I247" s="304">
        <v>5776</v>
      </c>
      <c r="J247" s="304">
        <v>7167</v>
      </c>
      <c r="K247" s="16">
        <v>8246</v>
      </c>
      <c r="L247" s="202">
        <v>8877</v>
      </c>
      <c r="M247" s="202">
        <v>8206</v>
      </c>
      <c r="N247" s="202">
        <v>7881</v>
      </c>
      <c r="O247" s="202">
        <v>7230</v>
      </c>
      <c r="P247" s="201">
        <v>8216</v>
      </c>
      <c r="Q247" s="253">
        <f>_xlfn.FORECAST.LINEAR($Q$5,$L247:$P247,$L$5:$P$5)</f>
        <v>7392.5999999999767</v>
      </c>
      <c r="R247" s="146">
        <f t="shared" ref="R247:R254" si="34">_xlfn.FORECAST.LINEAR($R$5,$M247:$Q247,$M$5:$Q$5)</f>
        <v>7397.5799999999581</v>
      </c>
      <c r="S247" s="19">
        <f t="shared" si="17"/>
        <v>7060.4679999999062</v>
      </c>
      <c r="T247" s="319">
        <f t="shared" si="18"/>
        <v>0</v>
      </c>
      <c r="U247" s="324">
        <v>0.48958333333333298</v>
      </c>
      <c r="V247" s="304">
        <v>571</v>
      </c>
      <c r="W247" s="304">
        <v>349</v>
      </c>
      <c r="X247" s="304">
        <v>222</v>
      </c>
      <c r="Y247" s="329">
        <v>6.9498539435248294E-2</v>
      </c>
      <c r="Z247" s="329">
        <v>0.6112084063047285</v>
      </c>
      <c r="AA247" s="324">
        <v>0.69791666666666696</v>
      </c>
      <c r="AB247" s="304">
        <v>695</v>
      </c>
      <c r="AC247" s="304">
        <v>349</v>
      </c>
      <c r="AD247" s="304">
        <v>346</v>
      </c>
      <c r="AE247" s="329">
        <v>8.4591041869522876E-2</v>
      </c>
      <c r="AF247" s="329">
        <v>0.50215827338129493</v>
      </c>
      <c r="AG247" s="339">
        <v>5</v>
      </c>
      <c r="AH247" s="339">
        <v>45</v>
      </c>
      <c r="AI247" s="304" t="s">
        <v>268</v>
      </c>
      <c r="AJ247" s="304" t="s">
        <v>268</v>
      </c>
      <c r="AK247" s="304" t="s">
        <v>268</v>
      </c>
      <c r="AL247" s="304" t="s">
        <v>268</v>
      </c>
      <c r="AM247" s="304" t="s">
        <v>268</v>
      </c>
      <c r="AN247" s="304" t="s">
        <v>268</v>
      </c>
      <c r="AO247" s="131">
        <f t="shared" si="19"/>
        <v>8267.1693484261959</v>
      </c>
      <c r="AP247" s="128">
        <f t="shared" si="20"/>
        <v>6979.7026515737789</v>
      </c>
    </row>
    <row r="248" spans="1:58" s="250" customFormat="1">
      <c r="A248" s="278">
        <v>1100</v>
      </c>
      <c r="B248" s="278" t="s">
        <v>844</v>
      </c>
      <c r="C248" s="278">
        <v>1100</v>
      </c>
      <c r="D248" s="287" t="s">
        <v>24</v>
      </c>
      <c r="E248" s="287" t="s">
        <v>525</v>
      </c>
      <c r="F248" s="293" t="s">
        <v>243</v>
      </c>
      <c r="G248" s="297" t="s">
        <v>267</v>
      </c>
      <c r="H248" s="303">
        <v>1100</v>
      </c>
      <c r="I248" s="303">
        <v>1007</v>
      </c>
      <c r="J248" s="303">
        <v>1052</v>
      </c>
      <c r="K248" s="189">
        <v>1140</v>
      </c>
      <c r="L248" s="309">
        <v>1301</v>
      </c>
      <c r="M248" s="309">
        <f>M24</f>
        <v>9819</v>
      </c>
      <c r="N248" s="309">
        <f>N24</f>
        <v>10876</v>
      </c>
      <c r="O248" s="309">
        <f>O24</f>
        <v>12120</v>
      </c>
      <c r="P248" s="314">
        <f>P24</f>
        <v>11882</v>
      </c>
      <c r="Q248" s="253">
        <f t="shared" si="26"/>
        <v>16238.5</v>
      </c>
      <c r="R248" s="146">
        <f t="shared" si="34"/>
        <v>16340.600000000093</v>
      </c>
      <c r="S248" s="175">
        <f t="shared" si="17"/>
        <v>24024.810000000056</v>
      </c>
      <c r="T248" s="318">
        <f t="shared" si="18"/>
        <v>0.08</v>
      </c>
      <c r="U248" s="323" t="s">
        <v>243</v>
      </c>
      <c r="V248" s="303">
        <f>V24</f>
        <v>879</v>
      </c>
      <c r="W248" s="303">
        <f>W24</f>
        <v>424</v>
      </c>
      <c r="X248" s="303">
        <f>X24</f>
        <v>455</v>
      </c>
      <c r="Y248" s="328" t="s">
        <v>243</v>
      </c>
      <c r="Z248" s="328" t="s">
        <v>243</v>
      </c>
      <c r="AA248" s="323" t="s">
        <v>243</v>
      </c>
      <c r="AB248" s="303">
        <f>AB24</f>
        <v>1131</v>
      </c>
      <c r="AC248" s="303">
        <f>AC24</f>
        <v>406</v>
      </c>
      <c r="AD248" s="303">
        <f>AD24</f>
        <v>725</v>
      </c>
      <c r="AE248" s="328" t="s">
        <v>243</v>
      </c>
      <c r="AF248" s="328" t="s">
        <v>243</v>
      </c>
      <c r="AG248" s="338">
        <v>2</v>
      </c>
      <c r="AH248" s="338">
        <v>35</v>
      </c>
      <c r="AI248" s="303" t="s">
        <v>268</v>
      </c>
      <c r="AJ248" s="303" t="s">
        <v>268</v>
      </c>
      <c r="AK248" s="303" t="s">
        <v>268</v>
      </c>
      <c r="AL248" s="303" t="s">
        <v>268</v>
      </c>
      <c r="AM248" s="303" t="s">
        <v>268</v>
      </c>
      <c r="AN248" s="303" t="s">
        <v>268</v>
      </c>
      <c r="AO248" s="198">
        <f t="shared" si="19"/>
        <v>17556.223814257268</v>
      </c>
      <c r="AP248" s="197">
        <f t="shared" si="20"/>
        <v>9426.6161857427687</v>
      </c>
    </row>
    <row r="249" spans="1:58" s="250" customFormat="1">
      <c r="A249" s="281">
        <v>12</v>
      </c>
      <c r="B249" s="281" t="s">
        <v>830</v>
      </c>
      <c r="C249" s="281">
        <v>12</v>
      </c>
      <c r="D249" s="289" t="s">
        <v>274</v>
      </c>
      <c r="E249" s="289" t="s">
        <v>275</v>
      </c>
      <c r="F249" s="295" t="s">
        <v>243</v>
      </c>
      <c r="G249" s="299" t="s">
        <v>267</v>
      </c>
      <c r="H249" s="305">
        <v>6718</v>
      </c>
      <c r="I249" s="305">
        <v>7701</v>
      </c>
      <c r="J249" s="305">
        <v>10839</v>
      </c>
      <c r="K249" s="215">
        <v>10024</v>
      </c>
      <c r="L249" s="311">
        <f>ROUND(AVERAGE($H$228/$H$27,$I$228/$I$27,$J$228/$J$27,$K$228/$K$27)*L27,0)</f>
        <v>10648</v>
      </c>
      <c r="M249" s="311"/>
      <c r="N249" s="311">
        <f t="shared" ref="N249:P249" si="35">ROUND(AVERAGE($H$228/$H$27,$I$228/$I$27,$J$228/$J$27,$K$228/$K$27)*N27,0)</f>
        <v>10859</v>
      </c>
      <c r="O249" s="311">
        <f t="shared" si="35"/>
        <v>11969</v>
      </c>
      <c r="P249" s="311">
        <f t="shared" si="35"/>
        <v>12963</v>
      </c>
      <c r="Q249" s="253">
        <f t="shared" si="26"/>
        <v>13177.800000000047</v>
      </c>
      <c r="R249" s="146">
        <f t="shared" si="34"/>
        <v>14229.800000000047</v>
      </c>
      <c r="S249" s="217">
        <f t="shared" si="17"/>
        <v>18205</v>
      </c>
      <c r="T249" s="320">
        <f t="shared" si="18"/>
        <v>0.05</v>
      </c>
      <c r="U249" s="325" t="s">
        <v>243</v>
      </c>
      <c r="V249" s="305" t="s">
        <v>243</v>
      </c>
      <c r="W249" s="305" t="s">
        <v>243</v>
      </c>
      <c r="X249" s="305" t="s">
        <v>243</v>
      </c>
      <c r="Y249" s="330" t="s">
        <v>243</v>
      </c>
      <c r="Z249" s="330" t="s">
        <v>243</v>
      </c>
      <c r="AA249" s="325" t="s">
        <v>243</v>
      </c>
      <c r="AB249" s="305">
        <f>ROUND(AVERAGE($H$11/$H$14,$I$11/$I$14,$J$11/$J$14,$K$11/$K$14)*AB252,0)</f>
        <v>4937</v>
      </c>
      <c r="AC249" s="305">
        <f>ROUND(AVERAGE($H$11/$H$14,$I$11/$I$14,$J$11/$J$14,$K$11/$K$14)*AC252,0)</f>
        <v>2265</v>
      </c>
      <c r="AD249" s="305">
        <f>ROUND(AVERAGE($H$11/$H$14,$I$11/$I$14,$J$11/$J$14,$K$11/$K$14)*AD252,0)</f>
        <v>2671</v>
      </c>
      <c r="AE249" s="330" t="s">
        <v>243</v>
      </c>
      <c r="AF249" s="330" t="s">
        <v>243</v>
      </c>
      <c r="AG249" s="340">
        <v>2</v>
      </c>
      <c r="AH249" s="340">
        <v>35</v>
      </c>
      <c r="AI249" s="305" t="s">
        <v>268</v>
      </c>
      <c r="AJ249" s="305" t="s">
        <v>268</v>
      </c>
      <c r="AK249" s="305" t="s">
        <v>268</v>
      </c>
      <c r="AL249" s="305" t="s">
        <v>268</v>
      </c>
      <c r="AM249" s="305" t="s">
        <v>268</v>
      </c>
      <c r="AN249" s="305" t="s">
        <v>268</v>
      </c>
      <c r="AO249" s="225">
        <f t="shared" si="19"/>
        <v>14641.650165215609</v>
      </c>
      <c r="AP249" s="224">
        <f t="shared" si="20"/>
        <v>10637.789834784429</v>
      </c>
    </row>
    <row r="250" spans="1:58" s="250" customFormat="1">
      <c r="A250" s="279">
        <v>18</v>
      </c>
      <c r="B250" s="279" t="s">
        <v>831</v>
      </c>
      <c r="C250" s="279">
        <v>18</v>
      </c>
      <c r="D250" s="288" t="s">
        <v>281</v>
      </c>
      <c r="E250" s="288" t="s">
        <v>282</v>
      </c>
      <c r="F250" s="294">
        <v>43887</v>
      </c>
      <c r="G250" s="298" t="s">
        <v>267</v>
      </c>
      <c r="H250" s="304">
        <v>4488</v>
      </c>
      <c r="I250" s="304">
        <v>4680</v>
      </c>
      <c r="J250" s="304">
        <v>4670</v>
      </c>
      <c r="K250" s="16">
        <v>4898</v>
      </c>
      <c r="L250" s="202">
        <v>5067</v>
      </c>
      <c r="M250" s="202">
        <v>5166</v>
      </c>
      <c r="N250" s="202">
        <v>5674</v>
      </c>
      <c r="O250" s="202">
        <v>5961</v>
      </c>
      <c r="P250" s="201"/>
      <c r="Q250" s="253">
        <f t="shared" si="26"/>
        <v>6583.5</v>
      </c>
      <c r="R250" s="146">
        <f t="shared" si="34"/>
        <v>6963.0571428571129</v>
      </c>
      <c r="S250" s="19">
        <f t="shared" si="17"/>
        <v>8535.8192857141839</v>
      </c>
      <c r="T250" s="319">
        <f t="shared" si="18"/>
        <v>4.2500000000000003E-2</v>
      </c>
      <c r="U250" s="324">
        <v>0.35416666666666702</v>
      </c>
      <c r="V250" s="304">
        <v>355</v>
      </c>
      <c r="W250" s="304">
        <v>145</v>
      </c>
      <c r="X250" s="304">
        <v>210</v>
      </c>
      <c r="Y250" s="329">
        <v>6.6629129129129133E-2</v>
      </c>
      <c r="Z250" s="329">
        <v>0.59154929577464788</v>
      </c>
      <c r="AA250" s="324">
        <v>0.67708333333333304</v>
      </c>
      <c r="AB250" s="304">
        <v>487</v>
      </c>
      <c r="AC250" s="304">
        <v>297</v>
      </c>
      <c r="AD250" s="304">
        <v>190</v>
      </c>
      <c r="AE250" s="329">
        <v>9.1403903903903905E-2</v>
      </c>
      <c r="AF250" s="329">
        <v>0.60985626283367556</v>
      </c>
      <c r="AG250" s="339">
        <v>2</v>
      </c>
      <c r="AH250" s="339">
        <v>45</v>
      </c>
      <c r="AI250" s="304" t="s">
        <v>268</v>
      </c>
      <c r="AJ250" s="304" t="s">
        <v>268</v>
      </c>
      <c r="AK250" s="304" t="s">
        <v>268</v>
      </c>
      <c r="AL250" s="304" t="s">
        <v>268</v>
      </c>
      <c r="AM250" s="304" t="s">
        <v>268</v>
      </c>
      <c r="AN250" s="304" t="s">
        <v>268</v>
      </c>
      <c r="AO250" s="131">
        <f t="shared" si="19"/>
        <v>7182.0061042608568</v>
      </c>
      <c r="AP250" s="128">
        <f t="shared" si="20"/>
        <v>5408.7724671676997</v>
      </c>
    </row>
    <row r="251" spans="1:58" s="250" customFormat="1">
      <c r="A251" s="279">
        <v>198</v>
      </c>
      <c r="B251" s="279" t="s">
        <v>837</v>
      </c>
      <c r="C251" s="279">
        <v>198</v>
      </c>
      <c r="D251" s="288" t="s">
        <v>384</v>
      </c>
      <c r="E251" s="288" t="s">
        <v>385</v>
      </c>
      <c r="F251" s="294">
        <v>43845</v>
      </c>
      <c r="G251" s="298" t="s">
        <v>267</v>
      </c>
      <c r="H251" s="304">
        <v>4740</v>
      </c>
      <c r="I251" s="304">
        <v>5800</v>
      </c>
      <c r="J251" s="304">
        <v>4911</v>
      </c>
      <c r="K251" s="16">
        <v>3623</v>
      </c>
      <c r="L251" s="202">
        <v>4909</v>
      </c>
      <c r="M251" s="202">
        <v>5182</v>
      </c>
      <c r="N251" s="202">
        <v>5162</v>
      </c>
      <c r="O251" s="202">
        <v>5490</v>
      </c>
      <c r="P251" s="201">
        <v>5490</v>
      </c>
      <c r="Q251" s="253">
        <f t="shared" ref="Q251:Q261" si="36">_xlfn.FORECAST.LINEAR($Q$5,$L251:$P251,$L$5:$P$5)</f>
        <v>5687.5999999999767</v>
      </c>
      <c r="R251" s="146">
        <f t="shared" si="34"/>
        <v>5804.0800000000163</v>
      </c>
      <c r="S251" s="19">
        <f t="shared" si="17"/>
        <v>6563.9679999999935</v>
      </c>
      <c r="T251" s="319">
        <f t="shared" si="18"/>
        <v>2.5000000000000001E-2</v>
      </c>
      <c r="U251" s="324">
        <v>0.45833333333333298</v>
      </c>
      <c r="V251" s="304">
        <v>573</v>
      </c>
      <c r="W251" s="304">
        <v>295</v>
      </c>
      <c r="X251" s="304">
        <v>278</v>
      </c>
      <c r="Y251" s="329">
        <v>0.10437158469945355</v>
      </c>
      <c r="Z251" s="329">
        <v>0.51483420593368234</v>
      </c>
      <c r="AA251" s="324">
        <v>0.51041666666666696</v>
      </c>
      <c r="AB251" s="304">
        <v>532</v>
      </c>
      <c r="AC251" s="304">
        <v>258</v>
      </c>
      <c r="AD251" s="304">
        <v>274</v>
      </c>
      <c r="AE251" s="329">
        <v>9.6903460837887062E-2</v>
      </c>
      <c r="AF251" s="329">
        <v>0.51503759398496241</v>
      </c>
      <c r="AG251" s="339">
        <v>2</v>
      </c>
      <c r="AH251" s="339">
        <v>35</v>
      </c>
      <c r="AI251" s="304">
        <v>2234</v>
      </c>
      <c r="AJ251" s="304">
        <v>1102</v>
      </c>
      <c r="AK251" s="304">
        <v>1390</v>
      </c>
      <c r="AL251" s="304">
        <v>1532</v>
      </c>
      <c r="AM251" s="304">
        <v>1018</v>
      </c>
      <c r="AN251" s="304">
        <v>1968</v>
      </c>
      <c r="AO251" s="131">
        <f t="shared" si="19"/>
        <v>5908.9644748367136</v>
      </c>
      <c r="AP251" s="128">
        <f t="shared" si="20"/>
        <v>5144.5075251632843</v>
      </c>
    </row>
    <row r="252" spans="1:58" s="250" customFormat="1">
      <c r="A252" s="279">
        <v>25</v>
      </c>
      <c r="B252" s="279" t="s">
        <v>832</v>
      </c>
      <c r="C252" s="279">
        <v>25</v>
      </c>
      <c r="D252" s="288" t="s">
        <v>16</v>
      </c>
      <c r="E252" s="288" t="s">
        <v>286</v>
      </c>
      <c r="F252" s="294">
        <v>43844</v>
      </c>
      <c r="G252" s="298" t="s">
        <v>267</v>
      </c>
      <c r="H252" s="304">
        <v>19385</v>
      </c>
      <c r="I252" s="304">
        <v>17855</v>
      </c>
      <c r="J252" s="304">
        <v>20358</v>
      </c>
      <c r="K252" s="16">
        <v>21891</v>
      </c>
      <c r="L252" s="202">
        <v>20927</v>
      </c>
      <c r="M252" s="202">
        <v>23147</v>
      </c>
      <c r="N252" s="202">
        <v>21205</v>
      </c>
      <c r="O252" s="202">
        <v>21605</v>
      </c>
      <c r="P252" s="201">
        <v>20779</v>
      </c>
      <c r="Q252" s="253">
        <f t="shared" si="36"/>
        <v>20981.199999999953</v>
      </c>
      <c r="R252" s="146">
        <f t="shared" si="34"/>
        <v>20116.159999999916</v>
      </c>
      <c r="S252" s="19">
        <f t="shared" si="17"/>
        <v>18976.235999999917</v>
      </c>
      <c r="T252" s="319">
        <f t="shared" si="18"/>
        <v>0</v>
      </c>
      <c r="U252" s="324">
        <v>0.44791666666666702</v>
      </c>
      <c r="V252" s="304">
        <v>1656</v>
      </c>
      <c r="W252" s="304">
        <v>911</v>
      </c>
      <c r="X252" s="304">
        <v>745</v>
      </c>
      <c r="Y252" s="329">
        <v>7.9695846768371909E-2</v>
      </c>
      <c r="Z252" s="329">
        <v>0.5501207729468599</v>
      </c>
      <c r="AA252" s="324">
        <v>0.60416666666666696</v>
      </c>
      <c r="AB252" s="304">
        <v>1848</v>
      </c>
      <c r="AC252" s="304">
        <v>848</v>
      </c>
      <c r="AD252" s="304">
        <v>1000</v>
      </c>
      <c r="AE252" s="329">
        <v>8.8935944944415035E-2</v>
      </c>
      <c r="AF252" s="329">
        <v>0.54112554112554112</v>
      </c>
      <c r="AG252" s="339">
        <v>5</v>
      </c>
      <c r="AH252" s="339">
        <v>45</v>
      </c>
      <c r="AI252" s="304" t="s">
        <v>268</v>
      </c>
      <c r="AJ252" s="304" t="s">
        <v>268</v>
      </c>
      <c r="AK252" s="304" t="s">
        <v>268</v>
      </c>
      <c r="AL252" s="304" t="s">
        <v>268</v>
      </c>
      <c r="AM252" s="304" t="s">
        <v>268</v>
      </c>
      <c r="AN252" s="304" t="s">
        <v>268</v>
      </c>
      <c r="AO252" s="131">
        <f t="shared" si="19"/>
        <v>21801.262995383655</v>
      </c>
      <c r="AP252" s="128">
        <f t="shared" si="20"/>
        <v>20073.281004616296</v>
      </c>
    </row>
    <row r="253" spans="1:58" s="250" customFormat="1">
      <c r="A253" s="278">
        <v>270</v>
      </c>
      <c r="B253" s="278" t="s">
        <v>838</v>
      </c>
      <c r="C253" s="278">
        <v>270</v>
      </c>
      <c r="D253" s="287" t="s">
        <v>402</v>
      </c>
      <c r="E253" s="287" t="s">
        <v>406</v>
      </c>
      <c r="F253" s="293">
        <v>43844</v>
      </c>
      <c r="G253" s="297" t="s">
        <v>267</v>
      </c>
      <c r="H253" s="303">
        <v>2601</v>
      </c>
      <c r="I253" s="303">
        <v>3416</v>
      </c>
      <c r="J253" s="303">
        <v>3326</v>
      </c>
      <c r="K253" s="189">
        <v>2193</v>
      </c>
      <c r="L253" s="174">
        <v>3740</v>
      </c>
      <c r="M253" s="174">
        <v>4283</v>
      </c>
      <c r="N253" s="174" t="s">
        <v>243</v>
      </c>
      <c r="O253" s="174">
        <v>3452</v>
      </c>
      <c r="P253" s="191">
        <v>3458</v>
      </c>
      <c r="Q253" s="253">
        <f t="shared" si="36"/>
        <v>3314.75</v>
      </c>
      <c r="R253" s="146">
        <f t="shared" si="34"/>
        <v>2965.2285714285681</v>
      </c>
      <c r="S253" s="175">
        <f t="shared" si="17"/>
        <v>2255.1778571428731</v>
      </c>
      <c r="T253" s="318">
        <f t="shared" si="18"/>
        <v>0</v>
      </c>
      <c r="U253" s="323">
        <v>0.47916666666666702</v>
      </c>
      <c r="V253" s="303">
        <v>359</v>
      </c>
      <c r="W253" s="303">
        <v>183</v>
      </c>
      <c r="X253" s="303">
        <v>176</v>
      </c>
      <c r="Y253" s="328">
        <v>0.10381723539618276</v>
      </c>
      <c r="Z253" s="328">
        <v>0.50974930362116988</v>
      </c>
      <c r="AA253" s="323">
        <v>0.60416666666666696</v>
      </c>
      <c r="AB253" s="303">
        <v>328</v>
      </c>
      <c r="AC253" s="303">
        <v>144</v>
      </c>
      <c r="AD253" s="303">
        <v>184</v>
      </c>
      <c r="AE253" s="328">
        <v>9.4852515905147483E-2</v>
      </c>
      <c r="AF253" s="328">
        <v>0.56097560975609762</v>
      </c>
      <c r="AG253" s="338">
        <v>2</v>
      </c>
      <c r="AH253" s="338">
        <v>20</v>
      </c>
      <c r="AI253" s="303">
        <v>1332</v>
      </c>
      <c r="AJ253" s="303" t="s">
        <v>268</v>
      </c>
      <c r="AK253" s="303" t="s">
        <v>268</v>
      </c>
      <c r="AL253" s="303" t="s">
        <v>268</v>
      </c>
      <c r="AM253" s="303" t="s">
        <v>268</v>
      </c>
      <c r="AN253" s="303" t="s">
        <v>268</v>
      </c>
      <c r="AO253" s="198">
        <f t="shared" si="19"/>
        <v>3647.8579780820533</v>
      </c>
      <c r="AP253" s="197">
        <f t="shared" si="20"/>
        <v>2947.1313076322308</v>
      </c>
    </row>
    <row r="254" spans="1:58" s="250" customFormat="1">
      <c r="A254" s="279">
        <v>278</v>
      </c>
      <c r="B254" s="279" t="s">
        <v>839</v>
      </c>
      <c r="C254" s="279">
        <v>278</v>
      </c>
      <c r="D254" s="288" t="s">
        <v>53</v>
      </c>
      <c r="E254" s="288" t="s">
        <v>412</v>
      </c>
      <c r="F254" s="294">
        <v>43844</v>
      </c>
      <c r="G254" s="298" t="s">
        <v>267</v>
      </c>
      <c r="H254" s="304">
        <v>2164</v>
      </c>
      <c r="I254" s="304">
        <v>2034</v>
      </c>
      <c r="J254" s="304">
        <v>2663</v>
      </c>
      <c r="K254" s="16">
        <v>3039</v>
      </c>
      <c r="L254" s="202">
        <v>2990</v>
      </c>
      <c r="M254" s="202">
        <v>3484</v>
      </c>
      <c r="N254" s="202">
        <v>3261</v>
      </c>
      <c r="O254" s="202">
        <v>3299</v>
      </c>
      <c r="P254" s="201">
        <v>3455</v>
      </c>
      <c r="Q254" s="253">
        <f t="shared" si="36"/>
        <v>3521.2999999999884</v>
      </c>
      <c r="R254" s="146">
        <f t="shared" si="34"/>
        <v>3484.6399999999849</v>
      </c>
      <c r="S254" s="19">
        <f t="shared" si="17"/>
        <v>3872.8939999999711</v>
      </c>
      <c r="T254" s="319">
        <f t="shared" si="18"/>
        <v>2.2499999999999999E-2</v>
      </c>
      <c r="U254" s="324">
        <v>0.33333333333333298</v>
      </c>
      <c r="V254" s="304">
        <v>370</v>
      </c>
      <c r="W254" s="304">
        <v>97</v>
      </c>
      <c r="X254" s="304">
        <v>273</v>
      </c>
      <c r="Y254" s="329">
        <v>0.10709117221418235</v>
      </c>
      <c r="Z254" s="329">
        <v>0.73783783783783785</v>
      </c>
      <c r="AA254" s="324">
        <v>0.63541666666666696</v>
      </c>
      <c r="AB254" s="304">
        <v>342</v>
      </c>
      <c r="AC254" s="304">
        <v>154</v>
      </c>
      <c r="AD254" s="304">
        <v>188</v>
      </c>
      <c r="AE254" s="329">
        <v>9.898697539797395E-2</v>
      </c>
      <c r="AF254" s="329">
        <v>0.54970760233918126</v>
      </c>
      <c r="AG254" s="339">
        <v>4</v>
      </c>
      <c r="AH254" s="339">
        <v>35</v>
      </c>
      <c r="AI254" s="304" t="s">
        <v>268</v>
      </c>
      <c r="AJ254" s="304" t="s">
        <v>268</v>
      </c>
      <c r="AK254" s="304" t="s">
        <v>268</v>
      </c>
      <c r="AL254" s="304" t="s">
        <v>268</v>
      </c>
      <c r="AM254" s="304" t="s">
        <v>268</v>
      </c>
      <c r="AN254" s="304" t="s">
        <v>268</v>
      </c>
      <c r="AO254" s="131">
        <f t="shared" si="19"/>
        <v>3586.6198099016588</v>
      </c>
      <c r="AP254" s="128">
        <f t="shared" si="20"/>
        <v>3221.7561900983305</v>
      </c>
    </row>
    <row r="255" spans="1:58" s="250" customFormat="1">
      <c r="A255" s="279">
        <v>378</v>
      </c>
      <c r="B255" s="279" t="s">
        <v>840</v>
      </c>
      <c r="C255" s="279">
        <v>378</v>
      </c>
      <c r="D255" s="288" t="s">
        <v>64</v>
      </c>
      <c r="E255" s="288" t="s">
        <v>459</v>
      </c>
      <c r="F255" s="294">
        <v>43852</v>
      </c>
      <c r="G255" s="298" t="s">
        <v>267</v>
      </c>
      <c r="H255" s="304">
        <v>4534</v>
      </c>
      <c r="I255" s="304">
        <v>4226.1358024691363</v>
      </c>
      <c r="J255" s="304">
        <v>4899</v>
      </c>
      <c r="K255" s="16">
        <v>4861</v>
      </c>
      <c r="L255" s="202">
        <v>5069</v>
      </c>
      <c r="M255" s="202">
        <v>5725</v>
      </c>
      <c r="N255" s="202">
        <v>6441</v>
      </c>
      <c r="O255" s="202">
        <v>6371</v>
      </c>
      <c r="P255" s="201">
        <v>6260</v>
      </c>
      <c r="Q255" s="253">
        <f t="shared" si="36"/>
        <v>6881.5999999999767</v>
      </c>
      <c r="R255" s="146">
        <f>_xlfn.FORECAST.LINEAR($R$5,$M255:$Q255,$M$5:$Q$5)</f>
        <v>6975.3800000000047</v>
      </c>
      <c r="S255" s="19">
        <f t="shared" si="17"/>
        <v>7691.3479999999981</v>
      </c>
      <c r="T255" s="319">
        <f t="shared" si="18"/>
        <v>0.02</v>
      </c>
      <c r="U255" s="324">
        <v>0.3125</v>
      </c>
      <c r="V255" s="304">
        <v>428</v>
      </c>
      <c r="W255" s="304">
        <v>240</v>
      </c>
      <c r="X255" s="304">
        <v>188</v>
      </c>
      <c r="Y255" s="329">
        <v>6.8370607028753999E-2</v>
      </c>
      <c r="Z255" s="329">
        <v>0.56074766355140182</v>
      </c>
      <c r="AA255" s="324">
        <v>0.69791666666666696</v>
      </c>
      <c r="AB255" s="304">
        <v>521</v>
      </c>
      <c r="AC255" s="304">
        <v>188</v>
      </c>
      <c r="AD255" s="304">
        <v>333</v>
      </c>
      <c r="AE255" s="329">
        <v>8.3226837060702871E-2</v>
      </c>
      <c r="AF255" s="329">
        <v>0.63915547024952013</v>
      </c>
      <c r="AG255" s="339">
        <v>2</v>
      </c>
      <c r="AH255" s="339">
        <v>35</v>
      </c>
      <c r="AI255" s="304" t="s">
        <v>268</v>
      </c>
      <c r="AJ255" s="304" t="s">
        <v>268</v>
      </c>
      <c r="AK255" s="304" t="s">
        <v>268</v>
      </c>
      <c r="AL255" s="304" t="s">
        <v>268</v>
      </c>
      <c r="AM255" s="304" t="s">
        <v>268</v>
      </c>
      <c r="AN255" s="304" t="s">
        <v>268</v>
      </c>
      <c r="AO255" s="131">
        <f t="shared" si="19"/>
        <v>7088.4585965754668</v>
      </c>
      <c r="AP255" s="128">
        <f t="shared" si="20"/>
        <v>6083.1334034245265</v>
      </c>
    </row>
    <row r="256" spans="1:58" s="250" customFormat="1">
      <c r="A256" s="279">
        <v>491</v>
      </c>
      <c r="B256" s="279" t="s">
        <v>841</v>
      </c>
      <c r="C256" s="279">
        <v>491</v>
      </c>
      <c r="D256" s="288" t="s">
        <v>672</v>
      </c>
      <c r="E256" s="288" t="s">
        <v>520</v>
      </c>
      <c r="F256" s="294" t="s">
        <v>243</v>
      </c>
      <c r="G256" s="298" t="s">
        <v>267</v>
      </c>
      <c r="H256" s="304" t="s">
        <v>243</v>
      </c>
      <c r="I256" s="304">
        <v>2198</v>
      </c>
      <c r="J256" s="304">
        <v>2300</v>
      </c>
      <c r="K256" s="16">
        <v>2480</v>
      </c>
      <c r="L256" s="202" t="s">
        <v>243</v>
      </c>
      <c r="M256" s="202" t="s">
        <v>243</v>
      </c>
      <c r="N256" s="202" t="s">
        <v>243</v>
      </c>
      <c r="O256" s="202" t="s">
        <v>243</v>
      </c>
      <c r="P256" s="201" t="s">
        <v>243</v>
      </c>
      <c r="Q256" s="253" t="s">
        <v>243</v>
      </c>
      <c r="R256" s="478" t="s">
        <v>243</v>
      </c>
      <c r="S256" s="19" t="e">
        <f t="shared" si="17"/>
        <v>#DIV/0!</v>
      </c>
      <c r="T256" s="319" t="e">
        <f t="shared" si="18"/>
        <v>#DIV/0!</v>
      </c>
      <c r="U256" s="324" t="s">
        <v>243</v>
      </c>
      <c r="V256" s="304" t="s">
        <v>243</v>
      </c>
      <c r="W256" s="304" t="s">
        <v>243</v>
      </c>
      <c r="X256" s="304" t="s">
        <v>243</v>
      </c>
      <c r="Y256" s="329" t="s">
        <v>243</v>
      </c>
      <c r="Z256" s="329" t="s">
        <v>243</v>
      </c>
      <c r="AA256" s="324" t="s">
        <v>243</v>
      </c>
      <c r="AB256" s="304" t="s">
        <v>243</v>
      </c>
      <c r="AC256" s="304" t="s">
        <v>243</v>
      </c>
      <c r="AD256" s="304" t="s">
        <v>243</v>
      </c>
      <c r="AE256" s="329" t="s">
        <v>243</v>
      </c>
      <c r="AF256" s="329" t="s">
        <v>243</v>
      </c>
      <c r="AG256" s="339">
        <v>2</v>
      </c>
      <c r="AH256" s="339">
        <v>20</v>
      </c>
      <c r="AI256" s="304" t="s">
        <v>268</v>
      </c>
      <c r="AJ256" s="304" t="s">
        <v>268</v>
      </c>
      <c r="AK256" s="304" t="s">
        <v>268</v>
      </c>
      <c r="AL256" s="304" t="s">
        <v>268</v>
      </c>
      <c r="AM256" s="304" t="s">
        <v>268</v>
      </c>
      <c r="AN256" s="304" t="s">
        <v>268</v>
      </c>
      <c r="AO256" s="131" t="e">
        <f t="shared" si="19"/>
        <v>#DIV/0!</v>
      </c>
      <c r="AP256" s="128" t="e">
        <f t="shared" si="20"/>
        <v>#DIV/0!</v>
      </c>
    </row>
    <row r="257" spans="1:42" s="250" customFormat="1">
      <c r="A257" s="279">
        <v>493</v>
      </c>
      <c r="B257" s="279" t="s">
        <v>842</v>
      </c>
      <c r="C257" s="279">
        <v>493</v>
      </c>
      <c r="D257" s="288" t="s">
        <v>674</v>
      </c>
      <c r="E257" s="288" t="s">
        <v>522</v>
      </c>
      <c r="F257" s="294">
        <v>43879</v>
      </c>
      <c r="G257" s="298" t="s">
        <v>267</v>
      </c>
      <c r="H257" s="304" t="s">
        <v>243</v>
      </c>
      <c r="I257" s="304">
        <v>1014</v>
      </c>
      <c r="J257" s="304">
        <v>1539</v>
      </c>
      <c r="K257" s="16">
        <v>1056</v>
      </c>
      <c r="L257" s="202">
        <v>1000</v>
      </c>
      <c r="M257" s="202">
        <v>1288</v>
      </c>
      <c r="N257" s="202">
        <v>988</v>
      </c>
      <c r="O257" s="202">
        <v>1172</v>
      </c>
      <c r="P257" s="201">
        <v>1329</v>
      </c>
      <c r="Q257" s="253">
        <f t="shared" si="36"/>
        <v>1318</v>
      </c>
      <c r="R257" s="146">
        <f>_xlfn.FORECAST.LINEAR($R$5,$M257:$Q257,$M$5:$Q$5)</f>
        <v>1339.2999999999884</v>
      </c>
      <c r="S257" s="19">
        <f t="shared" si="17"/>
        <v>1823.2799999999988</v>
      </c>
      <c r="T257" s="319">
        <f t="shared" si="18"/>
        <v>6.25E-2</v>
      </c>
      <c r="U257" s="324">
        <v>0.46875</v>
      </c>
      <c r="V257" s="304">
        <v>132</v>
      </c>
      <c r="W257" s="304">
        <v>59</v>
      </c>
      <c r="X257" s="304">
        <v>73</v>
      </c>
      <c r="Y257" s="329">
        <v>9.9322799097065456E-2</v>
      </c>
      <c r="Z257" s="329">
        <v>0.55303030303030298</v>
      </c>
      <c r="AA257" s="324">
        <v>0.59375</v>
      </c>
      <c r="AB257" s="304">
        <v>128</v>
      </c>
      <c r="AC257" s="304">
        <v>59</v>
      </c>
      <c r="AD257" s="304">
        <v>69</v>
      </c>
      <c r="AE257" s="329">
        <v>9.6313017306245294E-2</v>
      </c>
      <c r="AF257" s="329">
        <v>0.5390625</v>
      </c>
      <c r="AG257" s="339">
        <v>2</v>
      </c>
      <c r="AH257" s="339">
        <v>20</v>
      </c>
      <c r="AI257" s="304" t="s">
        <v>268</v>
      </c>
      <c r="AJ257" s="304" t="s">
        <v>268</v>
      </c>
      <c r="AK257" s="304" t="s">
        <v>268</v>
      </c>
      <c r="AL257" s="304" t="s">
        <v>268</v>
      </c>
      <c r="AM257" s="304" t="s">
        <v>268</v>
      </c>
      <c r="AN257" s="304" t="s">
        <v>268</v>
      </c>
      <c r="AO257" s="131">
        <f t="shared" si="19"/>
        <v>1465.8878948053184</v>
      </c>
      <c r="AP257" s="128">
        <f t="shared" si="20"/>
        <v>992.63210519467702</v>
      </c>
    </row>
    <row r="258" spans="1:42" s="250" customFormat="1">
      <c r="A258" s="279">
        <v>52</v>
      </c>
      <c r="B258" s="279" t="s">
        <v>833</v>
      </c>
      <c r="C258" s="279">
        <v>52</v>
      </c>
      <c r="D258" s="288" t="s">
        <v>57</v>
      </c>
      <c r="E258" s="288" t="s">
        <v>299</v>
      </c>
      <c r="F258" s="294">
        <v>43869</v>
      </c>
      <c r="G258" s="298" t="s">
        <v>267</v>
      </c>
      <c r="H258" s="304">
        <v>2117</v>
      </c>
      <c r="I258" s="304">
        <v>2373</v>
      </c>
      <c r="J258" s="304">
        <v>2329</v>
      </c>
      <c r="K258" s="16">
        <v>2359</v>
      </c>
      <c r="L258" s="202">
        <v>2703</v>
      </c>
      <c r="M258" s="202">
        <v>5143</v>
      </c>
      <c r="N258" s="202">
        <v>9663</v>
      </c>
      <c r="O258" s="202">
        <v>9844</v>
      </c>
      <c r="P258" s="201">
        <v>10486</v>
      </c>
      <c r="Q258" s="253">
        <f t="shared" si="36"/>
        <v>13647.899999999907</v>
      </c>
      <c r="R258" s="146">
        <f t="shared" ref="R258:R261" si="37">_xlfn.FORECAST.LINEAR($R$5,$M258:$Q258,$M$5:$Q$5)</f>
        <v>15106.620000000112</v>
      </c>
      <c r="S258" s="19">
        <f t="shared" si="17"/>
        <v>22033.302000000142</v>
      </c>
      <c r="T258" s="319">
        <f t="shared" si="18"/>
        <v>7.7499999999999999E-2</v>
      </c>
      <c r="U258" s="324">
        <v>0.45833333333333298</v>
      </c>
      <c r="V258" s="304">
        <v>902</v>
      </c>
      <c r="W258" s="304">
        <v>418</v>
      </c>
      <c r="X258" s="304">
        <v>484</v>
      </c>
      <c r="Y258" s="329">
        <v>8.6019454510776278E-2</v>
      </c>
      <c r="Z258" s="329">
        <v>0.53658536585365857</v>
      </c>
      <c r="AA258" s="324">
        <v>0.64583333333333304</v>
      </c>
      <c r="AB258" s="304">
        <v>926</v>
      </c>
      <c r="AC258" s="304">
        <v>378</v>
      </c>
      <c r="AD258" s="304">
        <v>548</v>
      </c>
      <c r="AE258" s="329">
        <v>8.8308220484455469E-2</v>
      </c>
      <c r="AF258" s="329">
        <v>0.59179265658747304</v>
      </c>
      <c r="AG258" s="339">
        <v>2</v>
      </c>
      <c r="AH258" s="339">
        <v>55</v>
      </c>
      <c r="AI258" s="304" t="s">
        <v>268</v>
      </c>
      <c r="AJ258" s="304" t="s">
        <v>268</v>
      </c>
      <c r="AK258" s="304" t="s">
        <v>268</v>
      </c>
      <c r="AL258" s="304" t="s">
        <v>268</v>
      </c>
      <c r="AM258" s="304" t="s">
        <v>268</v>
      </c>
      <c r="AN258" s="304" t="s">
        <v>268</v>
      </c>
      <c r="AO258" s="131">
        <f t="shared" si="19"/>
        <v>15619.736677455749</v>
      </c>
      <c r="AP258" s="128">
        <f t="shared" si="20"/>
        <v>7879.2713225442594</v>
      </c>
    </row>
    <row r="259" spans="1:42" s="250" customFormat="1">
      <c r="A259" s="279">
        <v>76</v>
      </c>
      <c r="B259" s="279" t="s">
        <v>834</v>
      </c>
      <c r="C259" s="279">
        <v>76</v>
      </c>
      <c r="D259" s="288" t="s">
        <v>313</v>
      </c>
      <c r="E259" s="288" t="s">
        <v>315</v>
      </c>
      <c r="F259" s="294">
        <v>43853</v>
      </c>
      <c r="G259" s="298" t="s">
        <v>267</v>
      </c>
      <c r="H259" s="304">
        <v>2730</v>
      </c>
      <c r="I259" s="304">
        <v>2910</v>
      </c>
      <c r="J259" s="304">
        <v>2855</v>
      </c>
      <c r="K259" s="16">
        <v>3082</v>
      </c>
      <c r="L259" s="202">
        <v>3283</v>
      </c>
      <c r="M259" s="202">
        <v>3320</v>
      </c>
      <c r="N259" s="202">
        <v>3983</v>
      </c>
      <c r="O259" s="202">
        <v>4635</v>
      </c>
      <c r="P259" s="201">
        <v>5146</v>
      </c>
      <c r="Q259" s="253">
        <f t="shared" si="36"/>
        <v>5585.7000000000698</v>
      </c>
      <c r="R259" s="146">
        <f t="shared" si="37"/>
        <v>6242.2600000000093</v>
      </c>
      <c r="S259" s="19">
        <f t="shared" si="17"/>
        <v>8946.846000000136</v>
      </c>
      <c r="T259" s="319">
        <f t="shared" si="18"/>
        <v>7.4999999999999997E-2</v>
      </c>
      <c r="U259" s="324">
        <v>0.47916666666666702</v>
      </c>
      <c r="V259" s="304">
        <v>332</v>
      </c>
      <c r="W259" s="304">
        <v>153</v>
      </c>
      <c r="X259" s="304">
        <v>179</v>
      </c>
      <c r="Y259" s="329">
        <v>6.4516129032258063E-2</v>
      </c>
      <c r="Z259" s="329">
        <v>0.53915662650602414</v>
      </c>
      <c r="AA259" s="324">
        <v>0.70833333333333304</v>
      </c>
      <c r="AB259" s="304">
        <v>523</v>
      </c>
      <c r="AC259" s="304">
        <v>350</v>
      </c>
      <c r="AD259" s="304">
        <v>173</v>
      </c>
      <c r="AE259" s="329">
        <v>0.10163233579479207</v>
      </c>
      <c r="AF259" s="329">
        <v>0.6692160611854685</v>
      </c>
      <c r="AG259" s="339">
        <v>2</v>
      </c>
      <c r="AH259" s="339">
        <v>50</v>
      </c>
      <c r="AI259" s="304" t="s">
        <v>268</v>
      </c>
      <c r="AJ259" s="304" t="s">
        <v>268</v>
      </c>
      <c r="AK259" s="304" t="s">
        <v>268</v>
      </c>
      <c r="AL259" s="304" t="s">
        <v>268</v>
      </c>
      <c r="AM259" s="304" t="s">
        <v>268</v>
      </c>
      <c r="AN259" s="304" t="s">
        <v>268</v>
      </c>
      <c r="AO259" s="131">
        <f t="shared" si="19"/>
        <v>6475.0655624070023</v>
      </c>
      <c r="AP259" s="128">
        <f t="shared" si="20"/>
        <v>3761.7184375930306</v>
      </c>
    </row>
    <row r="260" spans="1:42" s="250" customFormat="1">
      <c r="A260" s="279">
        <v>800</v>
      </c>
      <c r="B260" s="279" t="s">
        <v>843</v>
      </c>
      <c r="C260" s="279">
        <v>800</v>
      </c>
      <c r="D260" s="288" t="s">
        <v>72</v>
      </c>
      <c r="E260" s="288" t="s">
        <v>524</v>
      </c>
      <c r="F260" s="294">
        <v>43865</v>
      </c>
      <c r="G260" s="298" t="s">
        <v>267</v>
      </c>
      <c r="H260" s="304">
        <v>4141</v>
      </c>
      <c r="I260" s="304">
        <v>4348.05</v>
      </c>
      <c r="J260" s="304">
        <v>5421</v>
      </c>
      <c r="K260" s="16">
        <v>6032</v>
      </c>
      <c r="L260" s="202">
        <v>5941</v>
      </c>
      <c r="M260" s="202">
        <v>6541</v>
      </c>
      <c r="N260" s="202">
        <v>6092</v>
      </c>
      <c r="O260" s="202">
        <v>6785</v>
      </c>
      <c r="P260" s="201">
        <v>7300</v>
      </c>
      <c r="Q260" s="253">
        <f t="shared" si="36"/>
        <v>7420.4000000000233</v>
      </c>
      <c r="R260" s="146">
        <f t="shared" si="37"/>
        <v>7717.7199999999721</v>
      </c>
      <c r="S260" s="19">
        <f t="shared" si="17"/>
        <v>9783.811999999918</v>
      </c>
      <c r="T260" s="319">
        <f t="shared" si="18"/>
        <v>4.7500000000000001E-2</v>
      </c>
      <c r="U260" s="324">
        <v>0.29166666666666702</v>
      </c>
      <c r="V260" s="304">
        <v>678</v>
      </c>
      <c r="W260" s="304">
        <v>467</v>
      </c>
      <c r="X260" s="304">
        <v>211</v>
      </c>
      <c r="Y260" s="329">
        <v>9.2876712328767125E-2</v>
      </c>
      <c r="Z260" s="329">
        <v>0.6887905604719764</v>
      </c>
      <c r="AA260" s="324">
        <v>0.69791666666666696</v>
      </c>
      <c r="AB260" s="304">
        <v>643</v>
      </c>
      <c r="AC260" s="304">
        <v>271</v>
      </c>
      <c r="AD260" s="304">
        <v>372</v>
      </c>
      <c r="AE260" s="329">
        <v>8.8082191780821911E-2</v>
      </c>
      <c r="AF260" s="329">
        <v>0.57853810264385697</v>
      </c>
      <c r="AG260" s="339">
        <v>2</v>
      </c>
      <c r="AH260" s="339">
        <v>35</v>
      </c>
      <c r="AI260" s="304" t="s">
        <v>268</v>
      </c>
      <c r="AJ260" s="304" t="s">
        <v>268</v>
      </c>
      <c r="AK260" s="304" t="s">
        <v>268</v>
      </c>
      <c r="AL260" s="304" t="s">
        <v>268</v>
      </c>
      <c r="AM260" s="304" t="s">
        <v>268</v>
      </c>
      <c r="AN260" s="304" t="s">
        <v>268</v>
      </c>
      <c r="AO260" s="131">
        <f t="shared" si="19"/>
        <v>8063.0344045738657</v>
      </c>
      <c r="AP260" s="128">
        <f t="shared" si="20"/>
        <v>6063.0135954261332</v>
      </c>
    </row>
    <row r="261" spans="1:42" s="250" customFormat="1">
      <c r="A261" s="279">
        <v>89</v>
      </c>
      <c r="B261" s="279" t="s">
        <v>835</v>
      </c>
      <c r="C261" s="279">
        <v>89</v>
      </c>
      <c r="D261" s="288" t="s">
        <v>85</v>
      </c>
      <c r="E261" s="288" t="s">
        <v>331</v>
      </c>
      <c r="F261" s="294">
        <v>43852</v>
      </c>
      <c r="G261" s="298" t="s">
        <v>267</v>
      </c>
      <c r="H261" s="304">
        <v>1580</v>
      </c>
      <c r="I261" s="304">
        <v>1727</v>
      </c>
      <c r="J261" s="304">
        <v>1538</v>
      </c>
      <c r="K261" s="16">
        <v>1832</v>
      </c>
      <c r="L261" s="202">
        <v>1871</v>
      </c>
      <c r="M261" s="202">
        <v>1827</v>
      </c>
      <c r="N261" s="202">
        <v>1804</v>
      </c>
      <c r="O261" s="202">
        <v>1871</v>
      </c>
      <c r="P261" s="201">
        <v>1799</v>
      </c>
      <c r="Q261" s="253">
        <f t="shared" si="36"/>
        <v>1804.4000000000015</v>
      </c>
      <c r="R261" s="146">
        <f t="shared" si="37"/>
        <v>1806.0200000000023</v>
      </c>
      <c r="S261" s="19">
        <f t="shared" si="17"/>
        <v>1773.0920000000042</v>
      </c>
      <c r="T261" s="319">
        <f t="shared" si="18"/>
        <v>0</v>
      </c>
      <c r="U261" s="324">
        <v>0.27083333333333298</v>
      </c>
      <c r="V261" s="304">
        <v>180</v>
      </c>
      <c r="W261" s="304">
        <v>100</v>
      </c>
      <c r="X261" s="304">
        <v>80</v>
      </c>
      <c r="Y261" s="329">
        <v>0.1000555864369094</v>
      </c>
      <c r="Z261" s="329">
        <v>0.55555555555555558</v>
      </c>
      <c r="AA261" s="324">
        <v>0.6875</v>
      </c>
      <c r="AB261" s="304">
        <v>163</v>
      </c>
      <c r="AC261" s="304">
        <v>80</v>
      </c>
      <c r="AD261" s="304">
        <v>83</v>
      </c>
      <c r="AE261" s="329">
        <v>9.0605892162312393E-2</v>
      </c>
      <c r="AF261" s="329">
        <v>0.50920245398773001</v>
      </c>
      <c r="AG261" s="339">
        <v>2</v>
      </c>
      <c r="AH261" s="339">
        <v>45</v>
      </c>
      <c r="AI261" s="304" t="s">
        <v>268</v>
      </c>
      <c r="AJ261" s="304" t="s">
        <v>268</v>
      </c>
      <c r="AK261" s="304" t="s">
        <v>268</v>
      </c>
      <c r="AL261" s="304" t="s">
        <v>268</v>
      </c>
      <c r="AM261" s="304" t="s">
        <v>268</v>
      </c>
      <c r="AN261" s="304" t="s">
        <v>268</v>
      </c>
      <c r="AO261" s="131">
        <f t="shared" si="19"/>
        <v>1864.4135175233246</v>
      </c>
      <c r="AP261" s="128">
        <f t="shared" si="20"/>
        <v>1769.3544824766768</v>
      </c>
    </row>
    <row r="262" spans="1:42" s="250" customFormat="1">
      <c r="A262" s="278">
        <v>7</v>
      </c>
      <c r="B262" s="278" t="str">
        <f>VLOOKUP(C262,'station changes (20-21)'!$A$3:$D$298,4,)</f>
        <v>NO COUNT</v>
      </c>
      <c r="C262" s="278">
        <v>7</v>
      </c>
      <c r="D262" s="287" t="s">
        <v>24</v>
      </c>
      <c r="E262" s="287" t="s">
        <v>266</v>
      </c>
      <c r="F262" s="293">
        <v>43860</v>
      </c>
      <c r="G262" s="297" t="s">
        <v>267</v>
      </c>
      <c r="H262" s="303" t="s">
        <v>243</v>
      </c>
      <c r="I262" s="303" t="s">
        <v>243</v>
      </c>
      <c r="J262" s="303" t="s">
        <v>243</v>
      </c>
      <c r="K262" s="189" t="s">
        <v>243</v>
      </c>
      <c r="L262" s="174" t="s">
        <v>243</v>
      </c>
      <c r="M262" s="174">
        <v>7279</v>
      </c>
      <c r="N262" s="174">
        <v>7215</v>
      </c>
      <c r="O262" s="174">
        <v>6664</v>
      </c>
      <c r="P262" s="191">
        <v>6513</v>
      </c>
      <c r="Q262" s="191"/>
      <c r="R262" s="479"/>
      <c r="S262" s="175">
        <f t="shared" si="17"/>
        <v>3989.3333333333721</v>
      </c>
      <c r="T262" s="318" t="e">
        <f t="shared" si="18"/>
        <v>#DIV/0!</v>
      </c>
      <c r="U262" s="323">
        <v>0.48958333333333298</v>
      </c>
      <c r="V262" s="303">
        <v>559</v>
      </c>
      <c r="W262" s="303">
        <v>279</v>
      </c>
      <c r="X262" s="303">
        <v>280</v>
      </c>
      <c r="Y262" s="328">
        <v>8.5828343313373259E-2</v>
      </c>
      <c r="Z262" s="328">
        <v>0.50089445438282643</v>
      </c>
      <c r="AA262" s="323">
        <v>0.65625</v>
      </c>
      <c r="AB262" s="303">
        <v>623</v>
      </c>
      <c r="AC262" s="303">
        <v>327</v>
      </c>
      <c r="AD262" s="303">
        <v>296</v>
      </c>
      <c r="AE262" s="328">
        <v>9.5654844157838176E-2</v>
      </c>
      <c r="AF262" s="328">
        <v>0.5248796147672552</v>
      </c>
      <c r="AG262" s="303">
        <v>4</v>
      </c>
      <c r="AH262" s="303">
        <v>25</v>
      </c>
      <c r="AI262" s="303" t="s">
        <v>268</v>
      </c>
      <c r="AJ262" s="303" t="s">
        <v>268</v>
      </c>
      <c r="AK262" s="303" t="s">
        <v>268</v>
      </c>
      <c r="AL262" s="303" t="s">
        <v>268</v>
      </c>
      <c r="AM262" s="303" t="s">
        <v>268</v>
      </c>
      <c r="AN262" s="303" t="s">
        <v>268</v>
      </c>
      <c r="AO262" s="198">
        <f t="shared" si="19"/>
        <v>7325.3083301108527</v>
      </c>
      <c r="AP262" s="197">
        <f t="shared" si="20"/>
        <v>6269.3583365558134</v>
      </c>
    </row>
    <row r="263" spans="1:42" s="250" customFormat="1">
      <c r="A263" s="279">
        <v>10</v>
      </c>
      <c r="B263" s="279" t="str">
        <f>VLOOKUP(C263,'station changes (20-21)'!$A$3:$D$298,4,)</f>
        <v>NO COUNT</v>
      </c>
      <c r="C263" s="279">
        <v>10</v>
      </c>
      <c r="D263" s="288" t="s">
        <v>666</v>
      </c>
      <c r="E263" s="288" t="s">
        <v>271</v>
      </c>
      <c r="F263" s="294">
        <v>43844</v>
      </c>
      <c r="G263" s="298" t="s">
        <v>267</v>
      </c>
      <c r="H263" s="304" t="s">
        <v>243</v>
      </c>
      <c r="I263" s="304" t="s">
        <v>243</v>
      </c>
      <c r="J263" s="304" t="s">
        <v>243</v>
      </c>
      <c r="K263" s="16" t="s">
        <v>243</v>
      </c>
      <c r="L263" s="202" t="s">
        <v>243</v>
      </c>
      <c r="M263" s="202">
        <v>19439</v>
      </c>
      <c r="N263" s="202">
        <v>18947</v>
      </c>
      <c r="O263" s="202">
        <v>20095</v>
      </c>
      <c r="P263" s="201">
        <v>18162</v>
      </c>
      <c r="Q263" s="201"/>
      <c r="R263" s="480"/>
      <c r="S263" s="19">
        <f t="shared" ref="S263:S304" si="38">_xlfn.FORECAST.LINEAR($S$5,$N263:$R263,$N$5:$R$5)</f>
        <v>15928</v>
      </c>
      <c r="T263" s="319" t="e">
        <f t="shared" ref="T263:T304" si="39">IF(S263&lt;R263,0,MROUND((S263/R263)^(1/5)-1,0.0025))</f>
        <v>#DIV/0!</v>
      </c>
      <c r="U263" s="324">
        <v>0.47916666666666702</v>
      </c>
      <c r="V263" s="304">
        <v>1711</v>
      </c>
      <c r="W263" s="304">
        <v>839</v>
      </c>
      <c r="X263" s="304">
        <v>872</v>
      </c>
      <c r="Y263" s="329">
        <v>9.4207686378152189E-2</v>
      </c>
      <c r="Z263" s="329">
        <v>0.50964348334307419</v>
      </c>
      <c r="AA263" s="324">
        <v>0.5</v>
      </c>
      <c r="AB263" s="304">
        <v>1729</v>
      </c>
      <c r="AC263" s="304">
        <v>878</v>
      </c>
      <c r="AD263" s="304">
        <v>851</v>
      </c>
      <c r="AE263" s="329">
        <v>9.519876665565466E-2</v>
      </c>
      <c r="AF263" s="329">
        <v>0.50780798149219197</v>
      </c>
      <c r="AG263" s="339">
        <v>4</v>
      </c>
      <c r="AH263" s="339">
        <v>35</v>
      </c>
      <c r="AI263" s="304" t="s">
        <v>268</v>
      </c>
      <c r="AJ263" s="304" t="s">
        <v>268</v>
      </c>
      <c r="AK263" s="304" t="s">
        <v>268</v>
      </c>
      <c r="AL263" s="304" t="s">
        <v>268</v>
      </c>
      <c r="AM263" s="304" t="s">
        <v>268</v>
      </c>
      <c r="AN263" s="304" t="s">
        <v>268</v>
      </c>
      <c r="AO263" s="131">
        <f t="shared" ref="AO263:AO326" si="40">AVERAGE(N263:R263)+_xlfn.STDEV.P(N263:R263)*1.75</f>
        <v>20457.095134131087</v>
      </c>
      <c r="AP263" s="128">
        <f t="shared" ref="AP263:AP326" si="41">AVERAGE(N263:R263)-_xlfn.STDEV.P(N263:R263)*1.75</f>
        <v>17678.904865868913</v>
      </c>
    </row>
    <row r="264" spans="1:42" s="250" customFormat="1">
      <c r="A264" s="279">
        <v>358</v>
      </c>
      <c r="B264" s="279" t="str">
        <f>VLOOKUP(C264,'station changes (20-21)'!$A$3:$D$298,4,)</f>
        <v>NO COUNT</v>
      </c>
      <c r="C264" s="279">
        <v>358</v>
      </c>
      <c r="D264" s="288" t="s">
        <v>27</v>
      </c>
      <c r="E264" s="288" t="s">
        <v>446</v>
      </c>
      <c r="F264" s="294" t="s">
        <v>243</v>
      </c>
      <c r="G264" s="298" t="s">
        <v>267</v>
      </c>
      <c r="H264" s="304">
        <v>11701</v>
      </c>
      <c r="I264" s="304">
        <v>12478</v>
      </c>
      <c r="J264" s="304">
        <v>15540</v>
      </c>
      <c r="K264" s="16">
        <v>15168</v>
      </c>
      <c r="L264" s="202" t="s">
        <v>243</v>
      </c>
      <c r="M264" s="202" t="s">
        <v>243</v>
      </c>
      <c r="N264" s="202" t="s">
        <v>243</v>
      </c>
      <c r="O264" s="202" t="s">
        <v>243</v>
      </c>
      <c r="P264" s="201" t="s">
        <v>243</v>
      </c>
      <c r="Q264" s="201"/>
      <c r="R264" s="480"/>
      <c r="S264" s="19" t="e">
        <f t="shared" si="38"/>
        <v>#DIV/0!</v>
      </c>
      <c r="T264" s="319" t="e">
        <f t="shared" si="39"/>
        <v>#DIV/0!</v>
      </c>
      <c r="U264" s="324" t="s">
        <v>243</v>
      </c>
      <c r="V264" s="304" t="s">
        <v>243</v>
      </c>
      <c r="W264" s="304" t="s">
        <v>243</v>
      </c>
      <c r="X264" s="304" t="s">
        <v>243</v>
      </c>
      <c r="Y264" s="329" t="s">
        <v>243</v>
      </c>
      <c r="Z264" s="329" t="s">
        <v>243</v>
      </c>
      <c r="AA264" s="324" t="s">
        <v>243</v>
      </c>
      <c r="AB264" s="304" t="s">
        <v>243</v>
      </c>
      <c r="AC264" s="304" t="s">
        <v>243</v>
      </c>
      <c r="AD264" s="304" t="s">
        <v>243</v>
      </c>
      <c r="AE264" s="329" t="s">
        <v>243</v>
      </c>
      <c r="AF264" s="329" t="s">
        <v>243</v>
      </c>
      <c r="AG264" s="339">
        <v>4</v>
      </c>
      <c r="AH264" s="339">
        <v>45</v>
      </c>
      <c r="AI264" s="304" t="s">
        <v>268</v>
      </c>
      <c r="AJ264" s="304" t="s">
        <v>268</v>
      </c>
      <c r="AK264" s="304" t="s">
        <v>268</v>
      </c>
      <c r="AL264" s="304" t="s">
        <v>268</v>
      </c>
      <c r="AM264" s="304" t="s">
        <v>268</v>
      </c>
      <c r="AN264" s="304" t="s">
        <v>268</v>
      </c>
      <c r="AO264" s="131" t="e">
        <f t="shared" si="40"/>
        <v>#DIV/0!</v>
      </c>
      <c r="AP264" s="128" t="e">
        <f t="shared" si="41"/>
        <v>#DIV/0!</v>
      </c>
    </row>
    <row r="265" spans="1:42" s="250" customFormat="1">
      <c r="A265" s="278">
        <v>376</v>
      </c>
      <c r="B265" s="278" t="str">
        <f>VLOOKUP(C265,'station changes (20-21)'!$A$3:$D$298,4,)</f>
        <v>NO COUNT</v>
      </c>
      <c r="C265" s="278">
        <v>376</v>
      </c>
      <c r="D265" s="287" t="s">
        <v>64</v>
      </c>
      <c r="E265" s="287" t="s">
        <v>458</v>
      </c>
      <c r="F265" s="293" t="s">
        <v>243</v>
      </c>
      <c r="G265" s="297" t="s">
        <v>267</v>
      </c>
      <c r="H265" s="303">
        <v>1843</v>
      </c>
      <c r="I265" s="303">
        <v>4541</v>
      </c>
      <c r="J265" s="303">
        <v>4861</v>
      </c>
      <c r="K265" s="189">
        <v>5056</v>
      </c>
      <c r="L265" s="174">
        <v>5372</v>
      </c>
      <c r="M265" s="174">
        <v>5965</v>
      </c>
      <c r="N265" s="174" t="s">
        <v>243</v>
      </c>
      <c r="O265" s="174" t="s">
        <v>243</v>
      </c>
      <c r="P265" s="191" t="s">
        <v>243</v>
      </c>
      <c r="Q265" s="191"/>
      <c r="R265" s="479"/>
      <c r="S265" s="175" t="e">
        <f t="shared" si="38"/>
        <v>#DIV/0!</v>
      </c>
      <c r="T265" s="318" t="e">
        <f t="shared" si="39"/>
        <v>#DIV/0!</v>
      </c>
      <c r="U265" s="323" t="s">
        <v>243</v>
      </c>
      <c r="V265" s="303" t="s">
        <v>243</v>
      </c>
      <c r="W265" s="303" t="s">
        <v>243</v>
      </c>
      <c r="X265" s="303" t="s">
        <v>243</v>
      </c>
      <c r="Y265" s="328" t="s">
        <v>243</v>
      </c>
      <c r="Z265" s="328" t="s">
        <v>243</v>
      </c>
      <c r="AA265" s="323" t="s">
        <v>243</v>
      </c>
      <c r="AB265" s="303" t="s">
        <v>243</v>
      </c>
      <c r="AC265" s="303" t="s">
        <v>243</v>
      </c>
      <c r="AD265" s="303" t="s">
        <v>243</v>
      </c>
      <c r="AE265" s="328" t="s">
        <v>243</v>
      </c>
      <c r="AF265" s="328" t="s">
        <v>243</v>
      </c>
      <c r="AG265" s="338">
        <v>2</v>
      </c>
      <c r="AH265" s="338">
        <v>35</v>
      </c>
      <c r="AI265" s="303" t="s">
        <v>268</v>
      </c>
      <c r="AJ265" s="303" t="s">
        <v>268</v>
      </c>
      <c r="AK265" s="303" t="s">
        <v>268</v>
      </c>
      <c r="AL265" s="303" t="s">
        <v>268</v>
      </c>
      <c r="AM265" s="303" t="s">
        <v>268</v>
      </c>
      <c r="AN265" s="303" t="s">
        <v>268</v>
      </c>
      <c r="AO265" s="198" t="e">
        <f t="shared" si="40"/>
        <v>#DIV/0!</v>
      </c>
      <c r="AP265" s="197" t="e">
        <f t="shared" si="41"/>
        <v>#DIV/0!</v>
      </c>
    </row>
    <row r="266" spans="1:42" s="250" customFormat="1">
      <c r="A266" s="279">
        <v>16</v>
      </c>
      <c r="B266" s="279" t="str">
        <f>VLOOKUP(C266,'station changes (20-21)'!$A$3:$D$298,4,)</f>
        <v>STATE</v>
      </c>
      <c r="C266" s="279">
        <v>16</v>
      </c>
      <c r="D266" s="288" t="s">
        <v>274</v>
      </c>
      <c r="E266" s="288" t="s">
        <v>279</v>
      </c>
      <c r="F266" s="294" t="s">
        <v>243</v>
      </c>
      <c r="G266" s="298" t="s">
        <v>267</v>
      </c>
      <c r="H266" s="304">
        <v>7379</v>
      </c>
      <c r="I266" s="304">
        <v>8043</v>
      </c>
      <c r="J266" s="304">
        <v>10713</v>
      </c>
      <c r="K266" s="16">
        <v>10750</v>
      </c>
      <c r="L266" s="310">
        <f>ROUND(AVERAGE($H$15/$H$16,$I$15/$I$16,$J$15/$J$16,$K$15/$K$16)*L267,0)</f>
        <v>23329</v>
      </c>
      <c r="M266" s="310">
        <f>ROUND(AVERAGE($H$15/$H$16,$I$15/$I$16,$J$15/$J$16,$K$15/$K$16)*M267,0)</f>
        <v>23768</v>
      </c>
      <c r="N266" s="310">
        <f>ROUND(AVERAGE($H$15/$H$16,$I$15/$I$16,$J$15/$J$16,$K$15/$K$16)*N267,0)</f>
        <v>23646</v>
      </c>
      <c r="O266" s="310">
        <f>ROUND(AVERAGE($H$15/$H$16,$I$15/$I$16,$J$15/$J$16,$K$15/$K$16)*O267,0)</f>
        <v>27573</v>
      </c>
      <c r="P266" s="201">
        <f>_xlfn.FORECAST.LINEAR($P$5,$K266:$O266,$K$5:$O$5)</f>
        <v>32002.099999999627</v>
      </c>
      <c r="Q266" s="201"/>
      <c r="R266" s="480"/>
      <c r="S266" s="19">
        <f t="shared" si="38"/>
        <v>61164.766666665673</v>
      </c>
      <c r="T266" s="319" t="e">
        <f t="shared" si="39"/>
        <v>#DIV/0!</v>
      </c>
      <c r="U266" s="324" t="s">
        <v>243</v>
      </c>
      <c r="V266" s="304" t="s">
        <v>243</v>
      </c>
      <c r="W266" s="304" t="s">
        <v>243</v>
      </c>
      <c r="X266" s="304" t="s">
        <v>243</v>
      </c>
      <c r="Y266" s="329" t="s">
        <v>243</v>
      </c>
      <c r="Z266" s="329" t="s">
        <v>243</v>
      </c>
      <c r="AA266" s="324" t="s">
        <v>243</v>
      </c>
      <c r="AB266" s="304" t="s">
        <v>243</v>
      </c>
      <c r="AC266" s="304" t="s">
        <v>243</v>
      </c>
      <c r="AD266" s="304" t="s">
        <v>243</v>
      </c>
      <c r="AE266" s="329" t="s">
        <v>243</v>
      </c>
      <c r="AF266" s="329" t="s">
        <v>243</v>
      </c>
      <c r="AG266" s="339">
        <v>2</v>
      </c>
      <c r="AH266" s="339">
        <v>45</v>
      </c>
      <c r="AI266" s="304" t="s">
        <v>268</v>
      </c>
      <c r="AJ266" s="304" t="s">
        <v>268</v>
      </c>
      <c r="AK266" s="304" t="s">
        <v>268</v>
      </c>
      <c r="AL266" s="304" t="s">
        <v>268</v>
      </c>
      <c r="AM266" s="304" t="s">
        <v>268</v>
      </c>
      <c r="AN266" s="304" t="s">
        <v>268</v>
      </c>
      <c r="AO266" s="131">
        <f t="shared" si="40"/>
        <v>33713.84420862668</v>
      </c>
      <c r="AP266" s="128">
        <f t="shared" si="41"/>
        <v>21766.889124706402</v>
      </c>
    </row>
    <row r="267" spans="1:42" s="250" customFormat="1">
      <c r="A267" s="279">
        <v>56</v>
      </c>
      <c r="B267" s="279" t="str">
        <f>VLOOKUP(C267,'station changes (20-21)'!$A$3:$D$298,4,)</f>
        <v>STATE</v>
      </c>
      <c r="C267" s="279">
        <v>56</v>
      </c>
      <c r="D267" s="288" t="s">
        <v>117</v>
      </c>
      <c r="E267" s="288" t="s">
        <v>303</v>
      </c>
      <c r="F267" s="294" t="s">
        <v>243</v>
      </c>
      <c r="G267" s="298" t="s">
        <v>267</v>
      </c>
      <c r="H267" s="304">
        <v>5870</v>
      </c>
      <c r="I267" s="304">
        <v>6545</v>
      </c>
      <c r="J267" s="304">
        <v>6044</v>
      </c>
      <c r="K267" s="16">
        <v>6515</v>
      </c>
      <c r="L267" s="202">
        <v>7597</v>
      </c>
      <c r="M267" s="202">
        <v>7740</v>
      </c>
      <c r="N267" s="202">
        <v>7700</v>
      </c>
      <c r="O267" s="202">
        <v>8979</v>
      </c>
      <c r="P267" s="201">
        <f>_xlfn.FORECAST.LINEAR($P$5,$K267:$O267,$K$5:$O$5)</f>
        <v>9215.4999999998836</v>
      </c>
      <c r="Q267" s="201"/>
      <c r="R267" s="480"/>
      <c r="S267" s="19">
        <f t="shared" si="38"/>
        <v>14693.499999999534</v>
      </c>
      <c r="T267" s="319" t="e">
        <f t="shared" si="39"/>
        <v>#DIV/0!</v>
      </c>
      <c r="U267" s="324" t="s">
        <v>243</v>
      </c>
      <c r="V267" s="304" t="s">
        <v>243</v>
      </c>
      <c r="W267" s="304" t="s">
        <v>243</v>
      </c>
      <c r="X267" s="304" t="s">
        <v>243</v>
      </c>
      <c r="Y267" s="329" t="s">
        <v>243</v>
      </c>
      <c r="Z267" s="329" t="s">
        <v>243</v>
      </c>
      <c r="AA267" s="324" t="s">
        <v>243</v>
      </c>
      <c r="AB267" s="304" t="s">
        <v>243</v>
      </c>
      <c r="AC267" s="304" t="s">
        <v>243</v>
      </c>
      <c r="AD267" s="304" t="s">
        <v>243</v>
      </c>
      <c r="AE267" s="329" t="s">
        <v>243</v>
      </c>
      <c r="AF267" s="329" t="s">
        <v>243</v>
      </c>
      <c r="AG267" s="339">
        <v>2</v>
      </c>
      <c r="AH267" s="339">
        <v>55</v>
      </c>
      <c r="AI267" s="304" t="s">
        <v>268</v>
      </c>
      <c r="AJ267" s="304" t="s">
        <v>268</v>
      </c>
      <c r="AK267" s="304" t="s">
        <v>268</v>
      </c>
      <c r="AL267" s="304" t="s">
        <v>268</v>
      </c>
      <c r="AM267" s="304" t="s">
        <v>268</v>
      </c>
      <c r="AN267" s="304" t="s">
        <v>268</v>
      </c>
      <c r="AO267" s="131">
        <f t="shared" si="40"/>
        <v>9796.4903477782282</v>
      </c>
      <c r="AP267" s="128">
        <f t="shared" si="41"/>
        <v>7466.5096522216945</v>
      </c>
    </row>
    <row r="268" spans="1:42" s="250" customFormat="1">
      <c r="A268" s="278">
        <v>81</v>
      </c>
      <c r="B268" s="278" t="str">
        <f>VLOOKUP(C268,'station changes (20-21)'!$A$3:$D$298,4,)</f>
        <v>STATE</v>
      </c>
      <c r="C268" s="278">
        <v>81</v>
      </c>
      <c r="D268" s="287" t="s">
        <v>317</v>
      </c>
      <c r="E268" s="287" t="s">
        <v>321</v>
      </c>
      <c r="F268" s="293">
        <v>43879</v>
      </c>
      <c r="G268" s="297" t="s">
        <v>267</v>
      </c>
      <c r="H268" s="303">
        <v>9310</v>
      </c>
      <c r="I268" s="303">
        <v>8596</v>
      </c>
      <c r="J268" s="303">
        <v>8600</v>
      </c>
      <c r="K268" s="189">
        <v>9174</v>
      </c>
      <c r="L268" s="174">
        <v>10104</v>
      </c>
      <c r="M268" s="174">
        <v>10026</v>
      </c>
      <c r="N268" s="174">
        <v>8853</v>
      </c>
      <c r="O268" s="174">
        <v>7145</v>
      </c>
      <c r="P268" s="191">
        <v>9292</v>
      </c>
      <c r="Q268" s="191"/>
      <c r="R268" s="479"/>
      <c r="S268" s="175">
        <f t="shared" si="38"/>
        <v>10186</v>
      </c>
      <c r="T268" s="318" t="e">
        <f t="shared" si="39"/>
        <v>#DIV/0!</v>
      </c>
      <c r="U268" s="323">
        <v>0.33333333333333298</v>
      </c>
      <c r="V268" s="303">
        <v>819</v>
      </c>
      <c r="W268" s="303">
        <v>435</v>
      </c>
      <c r="X268" s="303">
        <v>384</v>
      </c>
      <c r="Y268" s="328">
        <v>8.8140335772707704E-2</v>
      </c>
      <c r="Z268" s="328">
        <v>0.53113553113553114</v>
      </c>
      <c r="AA268" s="323">
        <v>0.625</v>
      </c>
      <c r="AB268" s="303">
        <v>899</v>
      </c>
      <c r="AC268" s="303">
        <v>373</v>
      </c>
      <c r="AD268" s="303">
        <v>526</v>
      </c>
      <c r="AE268" s="328">
        <v>9.6749892380542407E-2</v>
      </c>
      <c r="AF268" s="328">
        <v>0.58509454949944384</v>
      </c>
      <c r="AG268" s="338">
        <v>5</v>
      </c>
      <c r="AH268" s="338">
        <v>35</v>
      </c>
      <c r="AI268" s="303" t="s">
        <v>268</v>
      </c>
      <c r="AJ268" s="303" t="s">
        <v>268</v>
      </c>
      <c r="AK268" s="303" t="s">
        <v>268</v>
      </c>
      <c r="AL268" s="303" t="s">
        <v>268</v>
      </c>
      <c r="AM268" s="303" t="s">
        <v>268</v>
      </c>
      <c r="AN268" s="303" t="s">
        <v>268</v>
      </c>
      <c r="AO268" s="198">
        <f t="shared" si="40"/>
        <v>10050.742512451212</v>
      </c>
      <c r="AP268" s="197">
        <f t="shared" si="41"/>
        <v>6809.257487548788</v>
      </c>
    </row>
    <row r="269" spans="1:42" s="250" customFormat="1">
      <c r="A269" s="279">
        <v>300</v>
      </c>
      <c r="B269" s="279" t="str">
        <f>VLOOKUP(C269,'station changes (20-21)'!$A$3:$D$298,4,)</f>
        <v>STATE</v>
      </c>
      <c r="C269" s="279">
        <v>300</v>
      </c>
      <c r="D269" s="288" t="s">
        <v>421</v>
      </c>
      <c r="E269" s="288" t="s">
        <v>422</v>
      </c>
      <c r="F269" s="294" t="s">
        <v>243</v>
      </c>
      <c r="G269" s="298" t="s">
        <v>267</v>
      </c>
      <c r="H269" s="304">
        <v>10253</v>
      </c>
      <c r="I269" s="304">
        <v>10323</v>
      </c>
      <c r="J269" s="304">
        <v>10921</v>
      </c>
      <c r="K269" s="16">
        <v>11965</v>
      </c>
      <c r="L269" s="310">
        <f>L391</f>
        <v>0</v>
      </c>
      <c r="M269" s="310">
        <f>M391</f>
        <v>0</v>
      </c>
      <c r="N269" s="310">
        <f>N391</f>
        <v>0</v>
      </c>
      <c r="O269" s="310">
        <f>O391</f>
        <v>0</v>
      </c>
      <c r="P269" s="315">
        <f>P391</f>
        <v>0</v>
      </c>
      <c r="Q269" s="315"/>
      <c r="R269" s="481"/>
      <c r="S269" s="19">
        <f t="shared" si="38"/>
        <v>0</v>
      </c>
      <c r="T269" s="319" t="e">
        <f t="shared" si="39"/>
        <v>#DIV/0!</v>
      </c>
      <c r="U269" s="324" t="s">
        <v>243</v>
      </c>
      <c r="V269" s="304" t="s">
        <v>243</v>
      </c>
      <c r="W269" s="304" t="s">
        <v>243</v>
      </c>
      <c r="X269" s="304" t="s">
        <v>243</v>
      </c>
      <c r="Y269" s="329" t="s">
        <v>243</v>
      </c>
      <c r="Z269" s="329" t="s">
        <v>243</v>
      </c>
      <c r="AA269" s="324" t="s">
        <v>243</v>
      </c>
      <c r="AB269" s="304" t="s">
        <v>243</v>
      </c>
      <c r="AC269" s="304" t="s">
        <v>243</v>
      </c>
      <c r="AD269" s="304" t="s">
        <v>243</v>
      </c>
      <c r="AE269" s="329" t="s">
        <v>243</v>
      </c>
      <c r="AF269" s="329" t="s">
        <v>243</v>
      </c>
      <c r="AG269" s="339">
        <v>2</v>
      </c>
      <c r="AH269" s="339">
        <v>55</v>
      </c>
      <c r="AI269" s="304" t="s">
        <v>268</v>
      </c>
      <c r="AJ269" s="304" t="s">
        <v>268</v>
      </c>
      <c r="AK269" s="304" t="s">
        <v>268</v>
      </c>
      <c r="AL269" s="304" t="s">
        <v>268</v>
      </c>
      <c r="AM269" s="304" t="s">
        <v>268</v>
      </c>
      <c r="AN269" s="304" t="s">
        <v>268</v>
      </c>
      <c r="AO269" s="131">
        <f t="shared" si="40"/>
        <v>0</v>
      </c>
      <c r="AP269" s="128">
        <f t="shared" si="41"/>
        <v>0</v>
      </c>
    </row>
    <row r="270" spans="1:42" s="250" customFormat="1">
      <c r="A270" s="278">
        <v>360</v>
      </c>
      <c r="B270" s="278" t="str">
        <f>VLOOKUP(C270,'station changes (20-21)'!$A$3:$D$298,4,)</f>
        <v>STATE</v>
      </c>
      <c r="C270" s="278">
        <v>360</v>
      </c>
      <c r="D270" s="287" t="s">
        <v>421</v>
      </c>
      <c r="E270" s="287" t="s">
        <v>447</v>
      </c>
      <c r="F270" s="293" t="s">
        <v>243</v>
      </c>
      <c r="G270" s="297" t="s">
        <v>267</v>
      </c>
      <c r="H270" s="303">
        <v>21622</v>
      </c>
      <c r="I270" s="303">
        <v>18577</v>
      </c>
      <c r="J270" s="303">
        <v>19103</v>
      </c>
      <c r="K270" s="189">
        <v>21347</v>
      </c>
      <c r="L270" s="309">
        <f>L366</f>
        <v>0</v>
      </c>
      <c r="M270" s="309">
        <f>M366</f>
        <v>0</v>
      </c>
      <c r="N270" s="309">
        <f>N366</f>
        <v>0</v>
      </c>
      <c r="O270" s="309">
        <f>O366</f>
        <v>0</v>
      </c>
      <c r="P270" s="314">
        <f>P366</f>
        <v>0</v>
      </c>
      <c r="Q270" s="314"/>
      <c r="R270" s="482"/>
      <c r="S270" s="175">
        <f t="shared" si="38"/>
        <v>0</v>
      </c>
      <c r="T270" s="318" t="e">
        <f t="shared" si="39"/>
        <v>#DIV/0!</v>
      </c>
      <c r="U270" s="323" t="s">
        <v>243</v>
      </c>
      <c r="V270" s="303" t="s">
        <v>243</v>
      </c>
      <c r="W270" s="303" t="s">
        <v>243</v>
      </c>
      <c r="X270" s="303" t="s">
        <v>243</v>
      </c>
      <c r="Y270" s="328" t="s">
        <v>243</v>
      </c>
      <c r="Z270" s="328" t="s">
        <v>243</v>
      </c>
      <c r="AA270" s="323" t="s">
        <v>243</v>
      </c>
      <c r="AB270" s="303" t="s">
        <v>243</v>
      </c>
      <c r="AC270" s="303" t="s">
        <v>243</v>
      </c>
      <c r="AD270" s="303" t="s">
        <v>243</v>
      </c>
      <c r="AE270" s="328" t="s">
        <v>243</v>
      </c>
      <c r="AF270" s="328" t="s">
        <v>243</v>
      </c>
      <c r="AG270" s="338">
        <v>4</v>
      </c>
      <c r="AH270" s="338">
        <v>35</v>
      </c>
      <c r="AI270" s="303" t="s">
        <v>268</v>
      </c>
      <c r="AJ270" s="303" t="s">
        <v>268</v>
      </c>
      <c r="AK270" s="303" t="s">
        <v>268</v>
      </c>
      <c r="AL270" s="303" t="s">
        <v>268</v>
      </c>
      <c r="AM270" s="303" t="s">
        <v>268</v>
      </c>
      <c r="AN270" s="303" t="s">
        <v>268</v>
      </c>
      <c r="AO270" s="198">
        <f t="shared" si="40"/>
        <v>0</v>
      </c>
      <c r="AP270" s="197">
        <f t="shared" si="41"/>
        <v>0</v>
      </c>
    </row>
    <row r="271" spans="1:42" s="246" customFormat="1">
      <c r="A271" s="278">
        <v>392</v>
      </c>
      <c r="B271" s="278" t="str">
        <f>VLOOKUP(C271,'station changes (20-21)'!$A$3:$D$298,4,)</f>
        <v>STATE</v>
      </c>
      <c r="C271" s="278">
        <v>392</v>
      </c>
      <c r="D271" s="287" t="s">
        <v>23</v>
      </c>
      <c r="E271" s="287" t="s">
        <v>465</v>
      </c>
      <c r="F271" s="293" t="s">
        <v>243</v>
      </c>
      <c r="G271" s="297" t="s">
        <v>267</v>
      </c>
      <c r="H271" s="303">
        <v>9582</v>
      </c>
      <c r="I271" s="303">
        <v>6822</v>
      </c>
      <c r="J271" s="303">
        <v>9687</v>
      </c>
      <c r="K271" s="189">
        <v>11499</v>
      </c>
      <c r="L271" s="309">
        <v>9550</v>
      </c>
      <c r="M271" s="309">
        <f>M402</f>
        <v>0</v>
      </c>
      <c r="N271" s="309">
        <f>N402</f>
        <v>0</v>
      </c>
      <c r="O271" s="309">
        <f>O402</f>
        <v>0</v>
      </c>
      <c r="P271" s="314">
        <f>P402</f>
        <v>0</v>
      </c>
      <c r="Q271" s="314"/>
      <c r="R271" s="482"/>
      <c r="S271" s="175">
        <f t="shared" si="38"/>
        <v>0</v>
      </c>
      <c r="T271" s="318" t="e">
        <f t="shared" si="39"/>
        <v>#DIV/0!</v>
      </c>
      <c r="U271" s="323" t="s">
        <v>243</v>
      </c>
      <c r="V271" s="303" t="s">
        <v>243</v>
      </c>
      <c r="W271" s="303" t="s">
        <v>243</v>
      </c>
      <c r="X271" s="303" t="s">
        <v>243</v>
      </c>
      <c r="Y271" s="328" t="s">
        <v>243</v>
      </c>
      <c r="Z271" s="328" t="s">
        <v>243</v>
      </c>
      <c r="AA271" s="323" t="s">
        <v>243</v>
      </c>
      <c r="AB271" s="303" t="s">
        <v>243</v>
      </c>
      <c r="AC271" s="303" t="s">
        <v>243</v>
      </c>
      <c r="AD271" s="303" t="s">
        <v>243</v>
      </c>
      <c r="AE271" s="328" t="s">
        <v>243</v>
      </c>
      <c r="AF271" s="328" t="s">
        <v>243</v>
      </c>
      <c r="AG271" s="338">
        <v>4</v>
      </c>
      <c r="AH271" s="338">
        <v>60</v>
      </c>
      <c r="AI271" s="303" t="s">
        <v>268</v>
      </c>
      <c r="AJ271" s="303" t="s">
        <v>268</v>
      </c>
      <c r="AK271" s="303" t="s">
        <v>268</v>
      </c>
      <c r="AL271" s="303" t="s">
        <v>268</v>
      </c>
      <c r="AM271" s="303" t="s">
        <v>268</v>
      </c>
      <c r="AN271" s="303" t="s">
        <v>268</v>
      </c>
      <c r="AO271" s="198">
        <f t="shared" si="40"/>
        <v>0</v>
      </c>
      <c r="AP271" s="197">
        <f t="shared" si="41"/>
        <v>0</v>
      </c>
    </row>
    <row r="272" spans="1:42" s="250" customFormat="1">
      <c r="A272" s="279">
        <v>394</v>
      </c>
      <c r="B272" s="279" t="str">
        <f>VLOOKUP(C272,'station changes (20-21)'!$A$3:$D$298,4,)</f>
        <v>STATE</v>
      </c>
      <c r="C272" s="279">
        <v>394</v>
      </c>
      <c r="D272" s="288" t="s">
        <v>23</v>
      </c>
      <c r="E272" s="288" t="s">
        <v>466</v>
      </c>
      <c r="F272" s="294" t="s">
        <v>243</v>
      </c>
      <c r="G272" s="298" t="s">
        <v>267</v>
      </c>
      <c r="H272" s="304">
        <v>9297</v>
      </c>
      <c r="I272" s="304">
        <v>7872</v>
      </c>
      <c r="J272" s="304">
        <v>8888</v>
      </c>
      <c r="K272" s="16">
        <v>11017</v>
      </c>
      <c r="L272" s="310">
        <v>8900</v>
      </c>
      <c r="M272" s="310">
        <f>M372</f>
        <v>0</v>
      </c>
      <c r="N272" s="310">
        <f>N372</f>
        <v>0</v>
      </c>
      <c r="O272" s="310">
        <f>O372</f>
        <v>0</v>
      </c>
      <c r="P272" s="315">
        <f>P372</f>
        <v>0</v>
      </c>
      <c r="Q272" s="315"/>
      <c r="R272" s="481"/>
      <c r="S272" s="19">
        <f t="shared" si="38"/>
        <v>0</v>
      </c>
      <c r="T272" s="319" t="e">
        <f t="shared" si="39"/>
        <v>#DIV/0!</v>
      </c>
      <c r="U272" s="324" t="s">
        <v>243</v>
      </c>
      <c r="V272" s="304" t="s">
        <v>243</v>
      </c>
      <c r="W272" s="304" t="s">
        <v>243</v>
      </c>
      <c r="X272" s="304" t="s">
        <v>243</v>
      </c>
      <c r="Y272" s="329" t="s">
        <v>243</v>
      </c>
      <c r="Z272" s="329" t="s">
        <v>243</v>
      </c>
      <c r="AA272" s="324" t="s">
        <v>243</v>
      </c>
      <c r="AB272" s="304" t="s">
        <v>243</v>
      </c>
      <c r="AC272" s="304" t="s">
        <v>243</v>
      </c>
      <c r="AD272" s="304" t="s">
        <v>243</v>
      </c>
      <c r="AE272" s="329" t="s">
        <v>243</v>
      </c>
      <c r="AF272" s="329" t="s">
        <v>243</v>
      </c>
      <c r="AG272" s="339">
        <v>5</v>
      </c>
      <c r="AH272" s="339">
        <v>60</v>
      </c>
      <c r="AI272" s="304" t="s">
        <v>268</v>
      </c>
      <c r="AJ272" s="304" t="s">
        <v>268</v>
      </c>
      <c r="AK272" s="304" t="s">
        <v>268</v>
      </c>
      <c r="AL272" s="304" t="s">
        <v>268</v>
      </c>
      <c r="AM272" s="304" t="s">
        <v>268</v>
      </c>
      <c r="AN272" s="304" t="s">
        <v>268</v>
      </c>
      <c r="AO272" s="131">
        <f t="shared" si="40"/>
        <v>0</v>
      </c>
      <c r="AP272" s="128">
        <f t="shared" si="41"/>
        <v>0</v>
      </c>
    </row>
    <row r="273" spans="1:42" s="250" customFormat="1">
      <c r="A273" s="278">
        <v>396</v>
      </c>
      <c r="B273" s="278" t="str">
        <f>VLOOKUP(C273,'station changes (20-21)'!$A$3:$D$298,4,)</f>
        <v>STATE</v>
      </c>
      <c r="C273" s="278">
        <v>396</v>
      </c>
      <c r="D273" s="287" t="s">
        <v>23</v>
      </c>
      <c r="E273" s="287" t="s">
        <v>467</v>
      </c>
      <c r="F273" s="293" t="s">
        <v>243</v>
      </c>
      <c r="G273" s="297" t="s">
        <v>267</v>
      </c>
      <c r="H273" s="303">
        <v>17306</v>
      </c>
      <c r="I273" s="303">
        <v>16253</v>
      </c>
      <c r="J273" s="303">
        <v>17000</v>
      </c>
      <c r="K273" s="189">
        <v>19976</v>
      </c>
      <c r="L273" s="309">
        <v>16700</v>
      </c>
      <c r="M273" s="309">
        <f>M362</f>
        <v>0</v>
      </c>
      <c r="N273" s="309">
        <f>N362</f>
        <v>0</v>
      </c>
      <c r="O273" s="309">
        <f>O362</f>
        <v>0</v>
      </c>
      <c r="P273" s="314">
        <f>P362</f>
        <v>0</v>
      </c>
      <c r="Q273" s="314"/>
      <c r="R273" s="482"/>
      <c r="S273" s="175">
        <f t="shared" si="38"/>
        <v>0</v>
      </c>
      <c r="T273" s="318" t="e">
        <f t="shared" si="39"/>
        <v>#DIV/0!</v>
      </c>
      <c r="U273" s="323" t="s">
        <v>243</v>
      </c>
      <c r="V273" s="303" t="s">
        <v>243</v>
      </c>
      <c r="W273" s="303" t="s">
        <v>243</v>
      </c>
      <c r="X273" s="303" t="s">
        <v>243</v>
      </c>
      <c r="Y273" s="328" t="s">
        <v>243</v>
      </c>
      <c r="Z273" s="328" t="s">
        <v>243</v>
      </c>
      <c r="AA273" s="323" t="s">
        <v>243</v>
      </c>
      <c r="AB273" s="303" t="s">
        <v>243</v>
      </c>
      <c r="AC273" s="303" t="s">
        <v>243</v>
      </c>
      <c r="AD273" s="303" t="s">
        <v>243</v>
      </c>
      <c r="AE273" s="328" t="s">
        <v>243</v>
      </c>
      <c r="AF273" s="328" t="s">
        <v>243</v>
      </c>
      <c r="AG273" s="338">
        <v>5</v>
      </c>
      <c r="AH273" s="338">
        <v>45</v>
      </c>
      <c r="AI273" s="303" t="s">
        <v>268</v>
      </c>
      <c r="AJ273" s="303" t="s">
        <v>268</v>
      </c>
      <c r="AK273" s="303" t="s">
        <v>268</v>
      </c>
      <c r="AL273" s="303" t="s">
        <v>268</v>
      </c>
      <c r="AM273" s="303" t="s">
        <v>268</v>
      </c>
      <c r="AN273" s="303" t="s">
        <v>268</v>
      </c>
      <c r="AO273" s="198">
        <f t="shared" si="40"/>
        <v>0</v>
      </c>
      <c r="AP273" s="197">
        <f t="shared" si="41"/>
        <v>0</v>
      </c>
    </row>
    <row r="274" spans="1:42" s="250" customFormat="1">
      <c r="A274" s="279">
        <v>398</v>
      </c>
      <c r="B274" s="279" t="str">
        <f>VLOOKUP(C274,'station changes (20-21)'!$A$3:$D$298,4,)</f>
        <v>STATE</v>
      </c>
      <c r="C274" s="279">
        <v>398</v>
      </c>
      <c r="D274" s="288" t="s">
        <v>23</v>
      </c>
      <c r="E274" s="288" t="s">
        <v>468</v>
      </c>
      <c r="F274" s="294" t="s">
        <v>243</v>
      </c>
      <c r="G274" s="298" t="s">
        <v>267</v>
      </c>
      <c r="H274" s="304">
        <v>14081</v>
      </c>
      <c r="I274" s="304" t="s">
        <v>469</v>
      </c>
      <c r="J274" s="304">
        <v>15102</v>
      </c>
      <c r="K274" s="16">
        <v>17746</v>
      </c>
      <c r="L274" s="310">
        <f>L371</f>
        <v>0</v>
      </c>
      <c r="M274" s="310">
        <f>M371</f>
        <v>0</v>
      </c>
      <c r="N274" s="310">
        <f>N371</f>
        <v>0</v>
      </c>
      <c r="O274" s="310">
        <f>O371</f>
        <v>0</v>
      </c>
      <c r="P274" s="315">
        <f>P371</f>
        <v>0</v>
      </c>
      <c r="Q274" s="315"/>
      <c r="R274" s="481"/>
      <c r="S274" s="19">
        <f t="shared" si="38"/>
        <v>0</v>
      </c>
      <c r="T274" s="319" t="e">
        <f t="shared" si="39"/>
        <v>#DIV/0!</v>
      </c>
      <c r="U274" s="324" t="s">
        <v>243</v>
      </c>
      <c r="V274" s="304" t="s">
        <v>243</v>
      </c>
      <c r="W274" s="304" t="s">
        <v>243</v>
      </c>
      <c r="X274" s="304" t="s">
        <v>243</v>
      </c>
      <c r="Y274" s="329" t="s">
        <v>243</v>
      </c>
      <c r="Z274" s="329" t="s">
        <v>243</v>
      </c>
      <c r="AA274" s="324" t="s">
        <v>243</v>
      </c>
      <c r="AB274" s="304" t="s">
        <v>243</v>
      </c>
      <c r="AC274" s="304" t="s">
        <v>243</v>
      </c>
      <c r="AD274" s="304" t="s">
        <v>243</v>
      </c>
      <c r="AE274" s="329" t="s">
        <v>243</v>
      </c>
      <c r="AF274" s="329" t="s">
        <v>243</v>
      </c>
      <c r="AG274" s="339">
        <v>4</v>
      </c>
      <c r="AH274" s="339">
        <v>45</v>
      </c>
      <c r="AI274" s="304" t="s">
        <v>268</v>
      </c>
      <c r="AJ274" s="304" t="s">
        <v>268</v>
      </c>
      <c r="AK274" s="304" t="s">
        <v>268</v>
      </c>
      <c r="AL274" s="304" t="s">
        <v>268</v>
      </c>
      <c r="AM274" s="304" t="s">
        <v>268</v>
      </c>
      <c r="AN274" s="304" t="s">
        <v>268</v>
      </c>
      <c r="AO274" s="131">
        <f t="shared" si="40"/>
        <v>0</v>
      </c>
      <c r="AP274" s="128">
        <f t="shared" si="41"/>
        <v>0</v>
      </c>
    </row>
    <row r="275" spans="1:42" s="250" customFormat="1">
      <c r="A275" s="278">
        <v>400</v>
      </c>
      <c r="B275" s="278" t="str">
        <f>VLOOKUP(C275,'station changes (20-21)'!$A$3:$D$298,4,)</f>
        <v>STATE</v>
      </c>
      <c r="C275" s="278">
        <v>400</v>
      </c>
      <c r="D275" s="287" t="s">
        <v>421</v>
      </c>
      <c r="E275" s="287" t="s">
        <v>470</v>
      </c>
      <c r="F275" s="293" t="s">
        <v>243</v>
      </c>
      <c r="G275" s="297" t="s">
        <v>267</v>
      </c>
      <c r="H275" s="303">
        <v>18507</v>
      </c>
      <c r="I275" s="303">
        <v>18727.2333</v>
      </c>
      <c r="J275" s="303">
        <v>18174</v>
      </c>
      <c r="K275" s="189">
        <v>20396</v>
      </c>
      <c r="L275" s="174">
        <f>L383</f>
        <v>0</v>
      </c>
      <c r="M275" s="174">
        <f>M383</f>
        <v>0</v>
      </c>
      <c r="N275" s="174">
        <f>N383</f>
        <v>0</v>
      </c>
      <c r="O275" s="174">
        <f>O383</f>
        <v>0</v>
      </c>
      <c r="P275" s="191">
        <f>P383</f>
        <v>0</v>
      </c>
      <c r="Q275" s="191"/>
      <c r="R275" s="479"/>
      <c r="S275" s="175">
        <f t="shared" si="38"/>
        <v>0</v>
      </c>
      <c r="T275" s="318" t="e">
        <f t="shared" si="39"/>
        <v>#DIV/0!</v>
      </c>
      <c r="U275" s="323" t="s">
        <v>243</v>
      </c>
      <c r="V275" s="303" t="s">
        <v>243</v>
      </c>
      <c r="W275" s="303" t="s">
        <v>243</v>
      </c>
      <c r="X275" s="303" t="s">
        <v>243</v>
      </c>
      <c r="Y275" s="328" t="s">
        <v>243</v>
      </c>
      <c r="Z275" s="328" t="s">
        <v>243</v>
      </c>
      <c r="AA275" s="323" t="s">
        <v>243</v>
      </c>
      <c r="AB275" s="303" t="s">
        <v>243</v>
      </c>
      <c r="AC275" s="303" t="s">
        <v>243</v>
      </c>
      <c r="AD275" s="303" t="s">
        <v>243</v>
      </c>
      <c r="AE275" s="328" t="s">
        <v>243</v>
      </c>
      <c r="AF275" s="328" t="s">
        <v>243</v>
      </c>
      <c r="AG275" s="338">
        <v>4</v>
      </c>
      <c r="AH275" s="338">
        <v>40</v>
      </c>
      <c r="AI275" s="303" t="s">
        <v>268</v>
      </c>
      <c r="AJ275" s="303" t="s">
        <v>268</v>
      </c>
      <c r="AK275" s="303" t="s">
        <v>268</v>
      </c>
      <c r="AL275" s="303" t="s">
        <v>268</v>
      </c>
      <c r="AM275" s="303" t="s">
        <v>268</v>
      </c>
      <c r="AN275" s="303" t="s">
        <v>268</v>
      </c>
      <c r="AO275" s="198">
        <f t="shared" si="40"/>
        <v>0</v>
      </c>
      <c r="AP275" s="197">
        <f t="shared" si="41"/>
        <v>0</v>
      </c>
    </row>
    <row r="276" spans="1:42" s="250" customFormat="1">
      <c r="A276" s="279">
        <v>402</v>
      </c>
      <c r="B276" s="279" t="str">
        <f>VLOOKUP(C276,'station changes (20-21)'!$A$3:$D$298,4,)</f>
        <v>STATE</v>
      </c>
      <c r="C276" s="279">
        <v>402</v>
      </c>
      <c r="D276" s="288" t="s">
        <v>81</v>
      </c>
      <c r="E276" s="288" t="s">
        <v>471</v>
      </c>
      <c r="F276" s="294" t="s">
        <v>243</v>
      </c>
      <c r="G276" s="298" t="s">
        <v>267</v>
      </c>
      <c r="H276" s="304">
        <v>8006</v>
      </c>
      <c r="I276" s="304">
        <v>7415</v>
      </c>
      <c r="J276" s="304">
        <v>8340</v>
      </c>
      <c r="K276" s="161">
        <v>7854</v>
      </c>
      <c r="L276" s="310">
        <f>L356</f>
        <v>0</v>
      </c>
      <c r="M276" s="310">
        <f>M356</f>
        <v>0</v>
      </c>
      <c r="N276" s="310">
        <f>N356</f>
        <v>0</v>
      </c>
      <c r="O276" s="310">
        <f>O356</f>
        <v>0</v>
      </c>
      <c r="P276" s="315">
        <f>P356</f>
        <v>0</v>
      </c>
      <c r="Q276" s="315"/>
      <c r="R276" s="481"/>
      <c r="S276" s="19">
        <f t="shared" si="38"/>
        <v>0</v>
      </c>
      <c r="T276" s="319" t="e">
        <f t="shared" si="39"/>
        <v>#DIV/0!</v>
      </c>
      <c r="U276" s="324" t="s">
        <v>243</v>
      </c>
      <c r="V276" s="304" t="s">
        <v>243</v>
      </c>
      <c r="W276" s="304" t="s">
        <v>243</v>
      </c>
      <c r="X276" s="304" t="s">
        <v>243</v>
      </c>
      <c r="Y276" s="329" t="s">
        <v>243</v>
      </c>
      <c r="Z276" s="329" t="s">
        <v>243</v>
      </c>
      <c r="AA276" s="324" t="s">
        <v>243</v>
      </c>
      <c r="AB276" s="304" t="s">
        <v>243</v>
      </c>
      <c r="AC276" s="304" t="s">
        <v>243</v>
      </c>
      <c r="AD276" s="304" t="s">
        <v>243</v>
      </c>
      <c r="AE276" s="329" t="s">
        <v>243</v>
      </c>
      <c r="AF276" s="329" t="s">
        <v>243</v>
      </c>
      <c r="AG276" s="339">
        <v>2</v>
      </c>
      <c r="AH276" s="339">
        <v>35</v>
      </c>
      <c r="AI276" s="304" t="s">
        <v>268</v>
      </c>
      <c r="AJ276" s="304" t="s">
        <v>268</v>
      </c>
      <c r="AK276" s="304" t="s">
        <v>268</v>
      </c>
      <c r="AL276" s="304" t="s">
        <v>268</v>
      </c>
      <c r="AM276" s="304" t="s">
        <v>268</v>
      </c>
      <c r="AN276" s="304" t="s">
        <v>268</v>
      </c>
      <c r="AO276" s="131">
        <f t="shared" si="40"/>
        <v>0</v>
      </c>
      <c r="AP276" s="128">
        <f t="shared" si="41"/>
        <v>0</v>
      </c>
    </row>
    <row r="277" spans="1:42" s="250" customFormat="1">
      <c r="A277" s="278">
        <v>404</v>
      </c>
      <c r="B277" s="278" t="str">
        <f>VLOOKUP(C277,'station changes (20-21)'!$A$3:$D$298,4,)</f>
        <v>STATE</v>
      </c>
      <c r="C277" s="278">
        <v>404</v>
      </c>
      <c r="D277" s="287" t="s">
        <v>81</v>
      </c>
      <c r="E277" s="287" t="s">
        <v>472</v>
      </c>
      <c r="F277" s="293" t="s">
        <v>243</v>
      </c>
      <c r="G277" s="297" t="s">
        <v>267</v>
      </c>
      <c r="H277" s="303">
        <v>8942</v>
      </c>
      <c r="I277" s="303">
        <v>7911</v>
      </c>
      <c r="J277" s="303">
        <v>10212</v>
      </c>
      <c r="K277" s="190">
        <v>10385</v>
      </c>
      <c r="L277" s="309">
        <f>L356</f>
        <v>0</v>
      </c>
      <c r="M277" s="309">
        <f>M356</f>
        <v>0</v>
      </c>
      <c r="N277" s="309">
        <f>N356</f>
        <v>0</v>
      </c>
      <c r="O277" s="309">
        <f>O356</f>
        <v>0</v>
      </c>
      <c r="P277" s="314">
        <f>P356</f>
        <v>0</v>
      </c>
      <c r="Q277" s="314"/>
      <c r="R277" s="482"/>
      <c r="S277" s="175">
        <f t="shared" si="38"/>
        <v>0</v>
      </c>
      <c r="T277" s="318" t="e">
        <f t="shared" si="39"/>
        <v>#DIV/0!</v>
      </c>
      <c r="U277" s="323" t="s">
        <v>243</v>
      </c>
      <c r="V277" s="303" t="s">
        <v>243</v>
      </c>
      <c r="W277" s="303" t="s">
        <v>243</v>
      </c>
      <c r="X277" s="303" t="s">
        <v>243</v>
      </c>
      <c r="Y277" s="328" t="s">
        <v>243</v>
      </c>
      <c r="Z277" s="328" t="s">
        <v>243</v>
      </c>
      <c r="AA277" s="323" t="s">
        <v>243</v>
      </c>
      <c r="AB277" s="303" t="s">
        <v>243</v>
      </c>
      <c r="AC277" s="303" t="s">
        <v>243</v>
      </c>
      <c r="AD277" s="303" t="s">
        <v>243</v>
      </c>
      <c r="AE277" s="328" t="s">
        <v>243</v>
      </c>
      <c r="AF277" s="328" t="s">
        <v>243</v>
      </c>
      <c r="AG277" s="338">
        <v>2</v>
      </c>
      <c r="AH277" s="338">
        <v>35</v>
      </c>
      <c r="AI277" s="303" t="s">
        <v>268</v>
      </c>
      <c r="AJ277" s="303" t="s">
        <v>268</v>
      </c>
      <c r="AK277" s="303" t="s">
        <v>268</v>
      </c>
      <c r="AL277" s="303" t="s">
        <v>268</v>
      </c>
      <c r="AM277" s="303" t="s">
        <v>268</v>
      </c>
      <c r="AN277" s="303" t="s">
        <v>268</v>
      </c>
      <c r="AO277" s="198">
        <f t="shared" si="40"/>
        <v>0</v>
      </c>
      <c r="AP277" s="197">
        <f t="shared" si="41"/>
        <v>0</v>
      </c>
    </row>
    <row r="278" spans="1:42" s="250" customFormat="1">
      <c r="A278" s="279">
        <v>406</v>
      </c>
      <c r="B278" s="279" t="str">
        <f>VLOOKUP(C278,'station changes (20-21)'!$A$3:$D$298,4,)</f>
        <v>STATE</v>
      </c>
      <c r="C278" s="279">
        <v>406</v>
      </c>
      <c r="D278" s="288" t="s">
        <v>81</v>
      </c>
      <c r="E278" s="288" t="s">
        <v>473</v>
      </c>
      <c r="F278" s="294" t="s">
        <v>243</v>
      </c>
      <c r="G278" s="298" t="s">
        <v>267</v>
      </c>
      <c r="H278" s="304">
        <v>8091</v>
      </c>
      <c r="I278" s="304">
        <v>7534</v>
      </c>
      <c r="J278" s="304">
        <v>8761</v>
      </c>
      <c r="K278" s="161">
        <v>10506</v>
      </c>
      <c r="L278" s="202">
        <f>L381</f>
        <v>0</v>
      </c>
      <c r="M278" s="202">
        <f>M381</f>
        <v>0</v>
      </c>
      <c r="N278" s="202">
        <f>N381</f>
        <v>0</v>
      </c>
      <c r="O278" s="202">
        <f>O381</f>
        <v>0</v>
      </c>
      <c r="P278" s="201">
        <f>P381</f>
        <v>0</v>
      </c>
      <c r="Q278" s="201"/>
      <c r="R278" s="480"/>
      <c r="S278" s="19">
        <f t="shared" si="38"/>
        <v>0</v>
      </c>
      <c r="T278" s="319" t="e">
        <f t="shared" si="39"/>
        <v>#DIV/0!</v>
      </c>
      <c r="U278" s="324" t="s">
        <v>243</v>
      </c>
      <c r="V278" s="304" t="s">
        <v>243</v>
      </c>
      <c r="W278" s="304" t="s">
        <v>243</v>
      </c>
      <c r="X278" s="304" t="s">
        <v>243</v>
      </c>
      <c r="Y278" s="329" t="s">
        <v>243</v>
      </c>
      <c r="Z278" s="329" t="s">
        <v>243</v>
      </c>
      <c r="AA278" s="324" t="s">
        <v>243</v>
      </c>
      <c r="AB278" s="304" t="s">
        <v>243</v>
      </c>
      <c r="AC278" s="304" t="s">
        <v>243</v>
      </c>
      <c r="AD278" s="304" t="s">
        <v>243</v>
      </c>
      <c r="AE278" s="329" t="s">
        <v>243</v>
      </c>
      <c r="AF278" s="329" t="s">
        <v>243</v>
      </c>
      <c r="AG278" s="339">
        <v>2</v>
      </c>
      <c r="AH278" s="339">
        <v>35</v>
      </c>
      <c r="AI278" s="304" t="s">
        <v>268</v>
      </c>
      <c r="AJ278" s="304" t="s">
        <v>268</v>
      </c>
      <c r="AK278" s="304" t="s">
        <v>268</v>
      </c>
      <c r="AL278" s="304" t="s">
        <v>268</v>
      </c>
      <c r="AM278" s="304" t="s">
        <v>268</v>
      </c>
      <c r="AN278" s="304" t="s">
        <v>268</v>
      </c>
      <c r="AO278" s="131">
        <f t="shared" si="40"/>
        <v>0</v>
      </c>
      <c r="AP278" s="128">
        <f t="shared" si="41"/>
        <v>0</v>
      </c>
    </row>
    <row r="279" spans="1:42" s="250" customFormat="1">
      <c r="A279" s="278">
        <v>408</v>
      </c>
      <c r="B279" s="278" t="str">
        <f>VLOOKUP(C279,'station changes (20-21)'!$A$3:$D$298,4,)</f>
        <v>STATE</v>
      </c>
      <c r="C279" s="278">
        <v>408</v>
      </c>
      <c r="D279" s="287" t="s">
        <v>81</v>
      </c>
      <c r="E279" s="287" t="s">
        <v>474</v>
      </c>
      <c r="F279" s="293" t="s">
        <v>243</v>
      </c>
      <c r="G279" s="297" t="s">
        <v>267</v>
      </c>
      <c r="H279" s="303">
        <v>4377</v>
      </c>
      <c r="I279" s="303">
        <v>4343.2970999999998</v>
      </c>
      <c r="J279" s="303">
        <v>5374</v>
      </c>
      <c r="K279" s="189">
        <v>5181</v>
      </c>
      <c r="L279" s="174">
        <f>L360</f>
        <v>0</v>
      </c>
      <c r="M279" s="174">
        <f>M360</f>
        <v>0</v>
      </c>
      <c r="N279" s="174">
        <f>N360</f>
        <v>0</v>
      </c>
      <c r="O279" s="174">
        <f>O360</f>
        <v>0</v>
      </c>
      <c r="P279" s="191">
        <f>P360</f>
        <v>0</v>
      </c>
      <c r="Q279" s="191"/>
      <c r="R279" s="479"/>
      <c r="S279" s="175">
        <f t="shared" si="38"/>
        <v>0</v>
      </c>
      <c r="T279" s="318" t="e">
        <f t="shared" si="39"/>
        <v>#DIV/0!</v>
      </c>
      <c r="U279" s="323" t="s">
        <v>243</v>
      </c>
      <c r="V279" s="303" t="s">
        <v>243</v>
      </c>
      <c r="W279" s="303" t="s">
        <v>243</v>
      </c>
      <c r="X279" s="303" t="s">
        <v>243</v>
      </c>
      <c r="Y279" s="328" t="s">
        <v>243</v>
      </c>
      <c r="Z279" s="328" t="s">
        <v>243</v>
      </c>
      <c r="AA279" s="323" t="s">
        <v>243</v>
      </c>
      <c r="AB279" s="303" t="s">
        <v>243</v>
      </c>
      <c r="AC279" s="303" t="s">
        <v>243</v>
      </c>
      <c r="AD279" s="303" t="s">
        <v>243</v>
      </c>
      <c r="AE279" s="328" t="s">
        <v>243</v>
      </c>
      <c r="AF279" s="328" t="s">
        <v>243</v>
      </c>
      <c r="AG279" s="338">
        <v>2</v>
      </c>
      <c r="AH279" s="338">
        <v>55</v>
      </c>
      <c r="AI279" s="303" t="s">
        <v>268</v>
      </c>
      <c r="AJ279" s="303" t="s">
        <v>268</v>
      </c>
      <c r="AK279" s="303" t="s">
        <v>268</v>
      </c>
      <c r="AL279" s="303" t="s">
        <v>268</v>
      </c>
      <c r="AM279" s="303" t="s">
        <v>268</v>
      </c>
      <c r="AN279" s="303" t="s">
        <v>268</v>
      </c>
      <c r="AO279" s="198">
        <f t="shared" si="40"/>
        <v>0</v>
      </c>
      <c r="AP279" s="197">
        <f t="shared" si="41"/>
        <v>0</v>
      </c>
    </row>
    <row r="280" spans="1:42" s="250" customFormat="1">
      <c r="A280" s="278">
        <v>412</v>
      </c>
      <c r="B280" s="278" t="str">
        <f>VLOOKUP(C280,'station changes (20-21)'!$A$3:$D$298,4,)</f>
        <v>STATE</v>
      </c>
      <c r="C280" s="278">
        <v>412</v>
      </c>
      <c r="D280" s="287" t="s">
        <v>146</v>
      </c>
      <c r="E280" s="287" t="s">
        <v>476</v>
      </c>
      <c r="F280" s="293" t="s">
        <v>243</v>
      </c>
      <c r="G280" s="297" t="s">
        <v>267</v>
      </c>
      <c r="H280" s="303">
        <v>13589</v>
      </c>
      <c r="I280" s="303">
        <v>12311</v>
      </c>
      <c r="J280" s="303">
        <v>14175</v>
      </c>
      <c r="K280" s="189">
        <v>13805</v>
      </c>
      <c r="L280" s="309">
        <f>L398</f>
        <v>0</v>
      </c>
      <c r="M280" s="309">
        <f>M398</f>
        <v>0</v>
      </c>
      <c r="N280" s="309">
        <f>N398</f>
        <v>0</v>
      </c>
      <c r="O280" s="309">
        <f>O398</f>
        <v>0</v>
      </c>
      <c r="P280" s="314">
        <f>P398</f>
        <v>0</v>
      </c>
      <c r="Q280" s="314"/>
      <c r="R280" s="482"/>
      <c r="S280" s="175">
        <f t="shared" si="38"/>
        <v>0</v>
      </c>
      <c r="T280" s="318" t="e">
        <f t="shared" si="39"/>
        <v>#DIV/0!</v>
      </c>
      <c r="U280" s="323" t="s">
        <v>243</v>
      </c>
      <c r="V280" s="303" t="s">
        <v>243</v>
      </c>
      <c r="W280" s="303" t="s">
        <v>243</v>
      </c>
      <c r="X280" s="303" t="s">
        <v>243</v>
      </c>
      <c r="Y280" s="328" t="s">
        <v>243</v>
      </c>
      <c r="Z280" s="328" t="s">
        <v>243</v>
      </c>
      <c r="AA280" s="323" t="s">
        <v>243</v>
      </c>
      <c r="AB280" s="303" t="s">
        <v>243</v>
      </c>
      <c r="AC280" s="303" t="s">
        <v>243</v>
      </c>
      <c r="AD280" s="303" t="s">
        <v>243</v>
      </c>
      <c r="AE280" s="328" t="s">
        <v>243</v>
      </c>
      <c r="AF280" s="328" t="s">
        <v>243</v>
      </c>
      <c r="AG280" s="338">
        <v>2</v>
      </c>
      <c r="AH280" s="338">
        <v>40</v>
      </c>
      <c r="AI280" s="303" t="s">
        <v>268</v>
      </c>
      <c r="AJ280" s="303" t="s">
        <v>268</v>
      </c>
      <c r="AK280" s="303" t="s">
        <v>268</v>
      </c>
      <c r="AL280" s="303" t="s">
        <v>268</v>
      </c>
      <c r="AM280" s="303" t="s">
        <v>268</v>
      </c>
      <c r="AN280" s="303" t="s">
        <v>268</v>
      </c>
      <c r="AO280" s="198">
        <f t="shared" si="40"/>
        <v>0</v>
      </c>
      <c r="AP280" s="197">
        <f t="shared" si="41"/>
        <v>0</v>
      </c>
    </row>
    <row r="281" spans="1:42" s="250" customFormat="1">
      <c r="A281" s="279">
        <v>418</v>
      </c>
      <c r="B281" s="279" t="str">
        <f>VLOOKUP(C281,'station changes (20-21)'!$A$3:$D$298,4,)</f>
        <v>STATE</v>
      </c>
      <c r="C281" s="279">
        <v>418</v>
      </c>
      <c r="D281" s="288" t="s">
        <v>36</v>
      </c>
      <c r="E281" s="288" t="s">
        <v>479</v>
      </c>
      <c r="F281" s="294" t="s">
        <v>243</v>
      </c>
      <c r="G281" s="298" t="s">
        <v>267</v>
      </c>
      <c r="H281" s="304">
        <v>38295</v>
      </c>
      <c r="I281" s="304">
        <v>38337.124499999998</v>
      </c>
      <c r="J281" s="304">
        <v>40806</v>
      </c>
      <c r="K281" s="16">
        <v>38360</v>
      </c>
      <c r="L281" s="202">
        <f t="shared" ref="L281:P282" si="42">L375</f>
        <v>0</v>
      </c>
      <c r="M281" s="202">
        <f t="shared" si="42"/>
        <v>0</v>
      </c>
      <c r="N281" s="202">
        <f t="shared" si="42"/>
        <v>0</v>
      </c>
      <c r="O281" s="202">
        <f t="shared" si="42"/>
        <v>0</v>
      </c>
      <c r="P281" s="201">
        <f t="shared" si="42"/>
        <v>0</v>
      </c>
      <c r="Q281" s="201"/>
      <c r="R281" s="480"/>
      <c r="S281" s="19">
        <f t="shared" si="38"/>
        <v>0</v>
      </c>
      <c r="T281" s="319" t="e">
        <f t="shared" si="39"/>
        <v>#DIV/0!</v>
      </c>
      <c r="U281" s="324" t="s">
        <v>243</v>
      </c>
      <c r="V281" s="304" t="s">
        <v>243</v>
      </c>
      <c r="W281" s="304" t="s">
        <v>243</v>
      </c>
      <c r="X281" s="304" t="s">
        <v>243</v>
      </c>
      <c r="Y281" s="329" t="s">
        <v>243</v>
      </c>
      <c r="Z281" s="329" t="s">
        <v>243</v>
      </c>
      <c r="AA281" s="324" t="s">
        <v>243</v>
      </c>
      <c r="AB281" s="304" t="s">
        <v>243</v>
      </c>
      <c r="AC281" s="304" t="s">
        <v>243</v>
      </c>
      <c r="AD281" s="304" t="s">
        <v>243</v>
      </c>
      <c r="AE281" s="329" t="s">
        <v>243</v>
      </c>
      <c r="AF281" s="329" t="s">
        <v>243</v>
      </c>
      <c r="AG281" s="339">
        <v>6</v>
      </c>
      <c r="AH281" s="339">
        <v>45</v>
      </c>
      <c r="AI281" s="304" t="s">
        <v>268</v>
      </c>
      <c r="AJ281" s="304" t="s">
        <v>268</v>
      </c>
      <c r="AK281" s="304" t="s">
        <v>268</v>
      </c>
      <c r="AL281" s="304" t="s">
        <v>268</v>
      </c>
      <c r="AM281" s="304" t="s">
        <v>268</v>
      </c>
      <c r="AN281" s="304" t="s">
        <v>268</v>
      </c>
      <c r="AO281" s="131">
        <f t="shared" si="40"/>
        <v>0</v>
      </c>
      <c r="AP281" s="128">
        <f t="shared" si="41"/>
        <v>0</v>
      </c>
    </row>
    <row r="282" spans="1:42" s="250" customFormat="1">
      <c r="A282" s="278">
        <v>420</v>
      </c>
      <c r="B282" s="278" t="str">
        <f>VLOOKUP(C282,'station changes (20-21)'!$A$3:$D$298,4,)</f>
        <v>STATE</v>
      </c>
      <c r="C282" s="278">
        <v>420</v>
      </c>
      <c r="D282" s="287" t="s">
        <v>421</v>
      </c>
      <c r="E282" s="287" t="s">
        <v>480</v>
      </c>
      <c r="F282" s="293" t="s">
        <v>243</v>
      </c>
      <c r="G282" s="297" t="s">
        <v>267</v>
      </c>
      <c r="H282" s="303">
        <v>21993</v>
      </c>
      <c r="I282" s="303">
        <v>19185</v>
      </c>
      <c r="J282" s="303">
        <v>24424</v>
      </c>
      <c r="K282" s="189">
        <v>27614</v>
      </c>
      <c r="L282" s="174">
        <f t="shared" si="42"/>
        <v>0</v>
      </c>
      <c r="M282" s="174">
        <f t="shared" si="42"/>
        <v>0</v>
      </c>
      <c r="N282" s="174">
        <f t="shared" si="42"/>
        <v>0</v>
      </c>
      <c r="O282" s="174">
        <f t="shared" si="42"/>
        <v>0</v>
      </c>
      <c r="P282" s="191">
        <f t="shared" si="42"/>
        <v>0</v>
      </c>
      <c r="Q282" s="191"/>
      <c r="R282" s="479"/>
      <c r="S282" s="175">
        <f t="shared" si="38"/>
        <v>0</v>
      </c>
      <c r="T282" s="318" t="e">
        <f t="shared" si="39"/>
        <v>#DIV/0!</v>
      </c>
      <c r="U282" s="323" t="s">
        <v>243</v>
      </c>
      <c r="V282" s="303" t="s">
        <v>243</v>
      </c>
      <c r="W282" s="303" t="s">
        <v>243</v>
      </c>
      <c r="X282" s="303" t="s">
        <v>243</v>
      </c>
      <c r="Y282" s="328" t="s">
        <v>243</v>
      </c>
      <c r="Z282" s="328" t="s">
        <v>243</v>
      </c>
      <c r="AA282" s="323" t="s">
        <v>243</v>
      </c>
      <c r="AB282" s="303" t="s">
        <v>243</v>
      </c>
      <c r="AC282" s="303" t="s">
        <v>243</v>
      </c>
      <c r="AD282" s="303" t="s">
        <v>243</v>
      </c>
      <c r="AE282" s="328" t="s">
        <v>243</v>
      </c>
      <c r="AF282" s="328" t="s">
        <v>243</v>
      </c>
      <c r="AG282" s="338">
        <v>4</v>
      </c>
      <c r="AH282" s="338">
        <v>45</v>
      </c>
      <c r="AI282" s="303" t="s">
        <v>268</v>
      </c>
      <c r="AJ282" s="303" t="s">
        <v>268</v>
      </c>
      <c r="AK282" s="303" t="s">
        <v>268</v>
      </c>
      <c r="AL282" s="303" t="s">
        <v>268</v>
      </c>
      <c r="AM282" s="303" t="s">
        <v>268</v>
      </c>
      <c r="AN282" s="303" t="s">
        <v>268</v>
      </c>
      <c r="AO282" s="198">
        <f t="shared" si="40"/>
        <v>0</v>
      </c>
      <c r="AP282" s="197">
        <f t="shared" si="41"/>
        <v>0</v>
      </c>
    </row>
    <row r="283" spans="1:42" s="250" customFormat="1">
      <c r="A283" s="279">
        <v>422</v>
      </c>
      <c r="B283" s="279" t="str">
        <f>VLOOKUP(C283,'station changes (20-21)'!$A$3:$D$298,4,)</f>
        <v>STATE</v>
      </c>
      <c r="C283" s="279">
        <v>422</v>
      </c>
      <c r="D283" s="288" t="s">
        <v>162</v>
      </c>
      <c r="E283" s="288" t="s">
        <v>481</v>
      </c>
      <c r="F283" s="294" t="s">
        <v>243</v>
      </c>
      <c r="G283" s="298" t="s">
        <v>267</v>
      </c>
      <c r="H283" s="304">
        <v>9038</v>
      </c>
      <c r="I283" s="304">
        <v>9995</v>
      </c>
      <c r="J283" s="304">
        <v>10338</v>
      </c>
      <c r="K283" s="16">
        <v>9337</v>
      </c>
      <c r="L283" s="202">
        <f>L361</f>
        <v>0</v>
      </c>
      <c r="M283" s="202">
        <f>M361</f>
        <v>0</v>
      </c>
      <c r="N283" s="202">
        <f>N361</f>
        <v>0</v>
      </c>
      <c r="O283" s="202">
        <f>O361</f>
        <v>0</v>
      </c>
      <c r="P283" s="201">
        <f>P361</f>
        <v>0</v>
      </c>
      <c r="Q283" s="201"/>
      <c r="R283" s="480"/>
      <c r="S283" s="19">
        <f t="shared" si="38"/>
        <v>0</v>
      </c>
      <c r="T283" s="319" t="e">
        <f t="shared" si="39"/>
        <v>#DIV/0!</v>
      </c>
      <c r="U283" s="324" t="s">
        <v>243</v>
      </c>
      <c r="V283" s="304" t="s">
        <v>243</v>
      </c>
      <c r="W283" s="304" t="s">
        <v>243</v>
      </c>
      <c r="X283" s="304" t="s">
        <v>243</v>
      </c>
      <c r="Y283" s="329" t="s">
        <v>243</v>
      </c>
      <c r="Z283" s="329" t="s">
        <v>243</v>
      </c>
      <c r="AA283" s="324" t="s">
        <v>243</v>
      </c>
      <c r="AB283" s="304" t="s">
        <v>243</v>
      </c>
      <c r="AC283" s="304" t="s">
        <v>243</v>
      </c>
      <c r="AD283" s="304" t="s">
        <v>243</v>
      </c>
      <c r="AE283" s="329" t="s">
        <v>243</v>
      </c>
      <c r="AF283" s="329" t="s">
        <v>243</v>
      </c>
      <c r="AG283" s="339">
        <v>4</v>
      </c>
      <c r="AH283" s="339">
        <v>45</v>
      </c>
      <c r="AI283" s="304" t="s">
        <v>268</v>
      </c>
      <c r="AJ283" s="304" t="s">
        <v>268</v>
      </c>
      <c r="AK283" s="304" t="s">
        <v>268</v>
      </c>
      <c r="AL283" s="304" t="s">
        <v>268</v>
      </c>
      <c r="AM283" s="304" t="s">
        <v>268</v>
      </c>
      <c r="AN283" s="304" t="s">
        <v>268</v>
      </c>
      <c r="AO283" s="131">
        <f t="shared" si="40"/>
        <v>0</v>
      </c>
      <c r="AP283" s="128">
        <f t="shared" si="41"/>
        <v>0</v>
      </c>
    </row>
    <row r="284" spans="1:42" s="250" customFormat="1">
      <c r="A284" s="278">
        <v>424</v>
      </c>
      <c r="B284" s="278" t="str">
        <f>VLOOKUP(C284,'station changes (20-21)'!$A$3:$D$298,4,)</f>
        <v>STATE</v>
      </c>
      <c r="C284" s="278">
        <v>424</v>
      </c>
      <c r="D284" s="287" t="s">
        <v>164</v>
      </c>
      <c r="E284" s="287" t="s">
        <v>482</v>
      </c>
      <c r="F284" s="293" t="s">
        <v>243</v>
      </c>
      <c r="G284" s="297" t="s">
        <v>267</v>
      </c>
      <c r="H284" s="303">
        <v>7198</v>
      </c>
      <c r="I284" s="303">
        <v>6811</v>
      </c>
      <c r="J284" s="303">
        <v>6487</v>
      </c>
      <c r="K284" s="189">
        <v>6745</v>
      </c>
      <c r="L284" s="174">
        <f>L361</f>
        <v>0</v>
      </c>
      <c r="M284" s="174">
        <f>M361</f>
        <v>0</v>
      </c>
      <c r="N284" s="174">
        <f>N361</f>
        <v>0</v>
      </c>
      <c r="O284" s="174">
        <f>O361</f>
        <v>0</v>
      </c>
      <c r="P284" s="191">
        <f>P361</f>
        <v>0</v>
      </c>
      <c r="Q284" s="191"/>
      <c r="R284" s="479"/>
      <c r="S284" s="175">
        <f t="shared" si="38"/>
        <v>0</v>
      </c>
      <c r="T284" s="318" t="e">
        <f t="shared" si="39"/>
        <v>#DIV/0!</v>
      </c>
      <c r="U284" s="323" t="s">
        <v>243</v>
      </c>
      <c r="V284" s="303" t="s">
        <v>243</v>
      </c>
      <c r="W284" s="303" t="s">
        <v>243</v>
      </c>
      <c r="X284" s="303" t="s">
        <v>243</v>
      </c>
      <c r="Y284" s="328" t="s">
        <v>243</v>
      </c>
      <c r="Z284" s="328" t="s">
        <v>243</v>
      </c>
      <c r="AA284" s="323" t="s">
        <v>243</v>
      </c>
      <c r="AB284" s="303" t="s">
        <v>243</v>
      </c>
      <c r="AC284" s="303" t="s">
        <v>243</v>
      </c>
      <c r="AD284" s="303" t="s">
        <v>243</v>
      </c>
      <c r="AE284" s="328" t="s">
        <v>243</v>
      </c>
      <c r="AF284" s="328" t="s">
        <v>243</v>
      </c>
      <c r="AG284" s="338">
        <v>2</v>
      </c>
      <c r="AH284" s="338">
        <v>30</v>
      </c>
      <c r="AI284" s="303" t="s">
        <v>268</v>
      </c>
      <c r="AJ284" s="303" t="s">
        <v>268</v>
      </c>
      <c r="AK284" s="303" t="s">
        <v>268</v>
      </c>
      <c r="AL284" s="303" t="s">
        <v>268</v>
      </c>
      <c r="AM284" s="303" t="s">
        <v>268</v>
      </c>
      <c r="AN284" s="303" t="s">
        <v>268</v>
      </c>
      <c r="AO284" s="198">
        <f t="shared" si="40"/>
        <v>0</v>
      </c>
      <c r="AP284" s="197">
        <f t="shared" si="41"/>
        <v>0</v>
      </c>
    </row>
    <row r="285" spans="1:42" s="250" customFormat="1">
      <c r="A285" s="279">
        <v>426</v>
      </c>
      <c r="B285" s="279" t="str">
        <f>VLOOKUP(C285,'station changes (20-21)'!$A$3:$D$298,4,)</f>
        <v>STATE</v>
      </c>
      <c r="C285" s="279">
        <v>426</v>
      </c>
      <c r="D285" s="288" t="s">
        <v>164</v>
      </c>
      <c r="E285" s="288" t="s">
        <v>483</v>
      </c>
      <c r="F285" s="294" t="s">
        <v>243</v>
      </c>
      <c r="G285" s="298" t="s">
        <v>267</v>
      </c>
      <c r="H285" s="304">
        <v>4946</v>
      </c>
      <c r="I285" s="304">
        <v>5408</v>
      </c>
      <c r="J285" s="304">
        <v>5004</v>
      </c>
      <c r="K285" s="16">
        <v>5182</v>
      </c>
      <c r="L285" s="202">
        <f>L352</f>
        <v>0</v>
      </c>
      <c r="M285" s="202">
        <f>M352</f>
        <v>0</v>
      </c>
      <c r="N285" s="202">
        <f>N352</f>
        <v>0</v>
      </c>
      <c r="O285" s="202">
        <f>O352</f>
        <v>0</v>
      </c>
      <c r="P285" s="201">
        <f>P352</f>
        <v>0</v>
      </c>
      <c r="Q285" s="201"/>
      <c r="R285" s="480"/>
      <c r="S285" s="19">
        <f t="shared" si="38"/>
        <v>0</v>
      </c>
      <c r="T285" s="319" t="e">
        <f t="shared" si="39"/>
        <v>#DIV/0!</v>
      </c>
      <c r="U285" s="324" t="s">
        <v>243</v>
      </c>
      <c r="V285" s="304" t="s">
        <v>243</v>
      </c>
      <c r="W285" s="304" t="s">
        <v>243</v>
      </c>
      <c r="X285" s="304" t="s">
        <v>243</v>
      </c>
      <c r="Y285" s="329" t="s">
        <v>243</v>
      </c>
      <c r="Z285" s="329" t="s">
        <v>243</v>
      </c>
      <c r="AA285" s="324" t="s">
        <v>243</v>
      </c>
      <c r="AB285" s="304" t="s">
        <v>243</v>
      </c>
      <c r="AC285" s="304" t="s">
        <v>243</v>
      </c>
      <c r="AD285" s="304" t="s">
        <v>243</v>
      </c>
      <c r="AE285" s="329" t="s">
        <v>243</v>
      </c>
      <c r="AF285" s="329" t="s">
        <v>243</v>
      </c>
      <c r="AG285" s="339">
        <v>2</v>
      </c>
      <c r="AH285" s="339">
        <v>30</v>
      </c>
      <c r="AI285" s="304" t="s">
        <v>268</v>
      </c>
      <c r="AJ285" s="304" t="s">
        <v>268</v>
      </c>
      <c r="AK285" s="304" t="s">
        <v>268</v>
      </c>
      <c r="AL285" s="304" t="s">
        <v>268</v>
      </c>
      <c r="AM285" s="304" t="s">
        <v>268</v>
      </c>
      <c r="AN285" s="304" t="s">
        <v>268</v>
      </c>
      <c r="AO285" s="131">
        <f t="shared" si="40"/>
        <v>0</v>
      </c>
      <c r="AP285" s="128">
        <f t="shared" si="41"/>
        <v>0</v>
      </c>
    </row>
    <row r="286" spans="1:42" s="250" customFormat="1">
      <c r="A286" s="278">
        <v>428</v>
      </c>
      <c r="B286" s="278" t="str">
        <f>VLOOKUP(C286,'station changes (20-21)'!$A$3:$D$298,4,)</f>
        <v>STATE</v>
      </c>
      <c r="C286" s="278">
        <v>428</v>
      </c>
      <c r="D286" s="287" t="s">
        <v>40</v>
      </c>
      <c r="E286" s="287" t="s">
        <v>484</v>
      </c>
      <c r="F286" s="293" t="s">
        <v>243</v>
      </c>
      <c r="G286" s="297" t="s">
        <v>267</v>
      </c>
      <c r="H286" s="303">
        <v>5027</v>
      </c>
      <c r="I286" s="303">
        <v>4901.3249999999998</v>
      </c>
      <c r="J286" s="303">
        <v>4857</v>
      </c>
      <c r="K286" s="189">
        <v>5618</v>
      </c>
      <c r="L286" s="174">
        <f>L394</f>
        <v>0</v>
      </c>
      <c r="M286" s="174">
        <f>M394</f>
        <v>0</v>
      </c>
      <c r="N286" s="174">
        <f>N394</f>
        <v>0</v>
      </c>
      <c r="O286" s="174">
        <f>O394</f>
        <v>0</v>
      </c>
      <c r="P286" s="191">
        <f>P394</f>
        <v>0</v>
      </c>
      <c r="Q286" s="191"/>
      <c r="R286" s="479"/>
      <c r="S286" s="175">
        <f t="shared" si="38"/>
        <v>0</v>
      </c>
      <c r="T286" s="318" t="e">
        <f t="shared" si="39"/>
        <v>#DIV/0!</v>
      </c>
      <c r="U286" s="323" t="s">
        <v>243</v>
      </c>
      <c r="V286" s="303" t="s">
        <v>243</v>
      </c>
      <c r="W286" s="303" t="s">
        <v>243</v>
      </c>
      <c r="X286" s="303" t="s">
        <v>243</v>
      </c>
      <c r="Y286" s="328" t="s">
        <v>243</v>
      </c>
      <c r="Z286" s="328" t="s">
        <v>243</v>
      </c>
      <c r="AA286" s="323" t="s">
        <v>243</v>
      </c>
      <c r="AB286" s="303" t="s">
        <v>243</v>
      </c>
      <c r="AC286" s="303" t="s">
        <v>243</v>
      </c>
      <c r="AD286" s="303" t="s">
        <v>243</v>
      </c>
      <c r="AE286" s="328" t="s">
        <v>243</v>
      </c>
      <c r="AF286" s="328" t="s">
        <v>243</v>
      </c>
      <c r="AG286" s="338">
        <v>2</v>
      </c>
      <c r="AH286" s="338">
        <v>55</v>
      </c>
      <c r="AI286" s="303" t="s">
        <v>268</v>
      </c>
      <c r="AJ286" s="303" t="s">
        <v>268</v>
      </c>
      <c r="AK286" s="303" t="s">
        <v>268</v>
      </c>
      <c r="AL286" s="303" t="s">
        <v>268</v>
      </c>
      <c r="AM286" s="303" t="s">
        <v>268</v>
      </c>
      <c r="AN286" s="303" t="s">
        <v>268</v>
      </c>
      <c r="AO286" s="198">
        <f t="shared" si="40"/>
        <v>0</v>
      </c>
      <c r="AP286" s="197">
        <f t="shared" si="41"/>
        <v>0</v>
      </c>
    </row>
    <row r="287" spans="1:42" s="250" customFormat="1">
      <c r="A287" s="279">
        <v>430</v>
      </c>
      <c r="B287" s="279" t="str">
        <f>VLOOKUP(C287,'station changes (20-21)'!$A$3:$D$298,4,)</f>
        <v>STATE</v>
      </c>
      <c r="C287" s="279">
        <v>430</v>
      </c>
      <c r="D287" s="288" t="s">
        <v>40</v>
      </c>
      <c r="E287" s="288" t="s">
        <v>474</v>
      </c>
      <c r="F287" s="294" t="s">
        <v>243</v>
      </c>
      <c r="G287" s="298" t="s">
        <v>267</v>
      </c>
      <c r="H287" s="304">
        <v>6019</v>
      </c>
      <c r="I287" s="304">
        <v>6090.6261000000004</v>
      </c>
      <c r="J287" s="304">
        <v>6395</v>
      </c>
      <c r="K287" s="16">
        <v>7033</v>
      </c>
      <c r="L287" s="202">
        <f>L356</f>
        <v>0</v>
      </c>
      <c r="M287" s="202">
        <f>M356</f>
        <v>0</v>
      </c>
      <c r="N287" s="202">
        <f>N356</f>
        <v>0</v>
      </c>
      <c r="O287" s="202">
        <f>O356</f>
        <v>0</v>
      </c>
      <c r="P287" s="201">
        <f>P356</f>
        <v>0</v>
      </c>
      <c r="Q287" s="201"/>
      <c r="R287" s="480"/>
      <c r="S287" s="19">
        <f t="shared" si="38"/>
        <v>0</v>
      </c>
      <c r="T287" s="319" t="e">
        <f t="shared" si="39"/>
        <v>#DIV/0!</v>
      </c>
      <c r="U287" s="324" t="s">
        <v>243</v>
      </c>
      <c r="V287" s="304" t="s">
        <v>243</v>
      </c>
      <c r="W287" s="304" t="s">
        <v>243</v>
      </c>
      <c r="X287" s="304" t="s">
        <v>243</v>
      </c>
      <c r="Y287" s="329" t="s">
        <v>243</v>
      </c>
      <c r="Z287" s="329" t="s">
        <v>243</v>
      </c>
      <c r="AA287" s="324" t="s">
        <v>243</v>
      </c>
      <c r="AB287" s="304" t="s">
        <v>243</v>
      </c>
      <c r="AC287" s="304" t="s">
        <v>243</v>
      </c>
      <c r="AD287" s="304" t="s">
        <v>243</v>
      </c>
      <c r="AE287" s="329" t="s">
        <v>243</v>
      </c>
      <c r="AF287" s="329" t="s">
        <v>243</v>
      </c>
      <c r="AG287" s="339">
        <v>2</v>
      </c>
      <c r="AH287" s="339">
        <v>50</v>
      </c>
      <c r="AI287" s="304" t="s">
        <v>268</v>
      </c>
      <c r="AJ287" s="304" t="s">
        <v>268</v>
      </c>
      <c r="AK287" s="304" t="s">
        <v>268</v>
      </c>
      <c r="AL287" s="304" t="s">
        <v>268</v>
      </c>
      <c r="AM287" s="304" t="s">
        <v>268</v>
      </c>
      <c r="AN287" s="304" t="s">
        <v>268</v>
      </c>
      <c r="AO287" s="131">
        <f t="shared" si="40"/>
        <v>0</v>
      </c>
      <c r="AP287" s="128">
        <f t="shared" si="41"/>
        <v>0</v>
      </c>
    </row>
    <row r="288" spans="1:42" s="250" customFormat="1">
      <c r="A288" s="278">
        <v>432</v>
      </c>
      <c r="B288" s="278" t="str">
        <f>VLOOKUP(C288,'station changes (20-21)'!$A$3:$D$298,4,)</f>
        <v>STATE</v>
      </c>
      <c r="C288" s="278">
        <v>432</v>
      </c>
      <c r="D288" s="287" t="s">
        <v>40</v>
      </c>
      <c r="E288" s="287" t="s">
        <v>485</v>
      </c>
      <c r="F288" s="293" t="s">
        <v>243</v>
      </c>
      <c r="G288" s="297" t="s">
        <v>267</v>
      </c>
      <c r="H288" s="303">
        <v>12208</v>
      </c>
      <c r="I288" s="303">
        <v>9685</v>
      </c>
      <c r="J288" s="303">
        <v>14394</v>
      </c>
      <c r="K288" s="189">
        <v>14049</v>
      </c>
      <c r="L288" s="174">
        <f>L356</f>
        <v>0</v>
      </c>
      <c r="M288" s="174">
        <f>M356</f>
        <v>0</v>
      </c>
      <c r="N288" s="174">
        <f>N356</f>
        <v>0</v>
      </c>
      <c r="O288" s="174">
        <f>O356</f>
        <v>0</v>
      </c>
      <c r="P288" s="191">
        <f>P356</f>
        <v>0</v>
      </c>
      <c r="Q288" s="191"/>
      <c r="R288" s="479"/>
      <c r="S288" s="175">
        <f t="shared" si="38"/>
        <v>0</v>
      </c>
      <c r="T288" s="318" t="e">
        <f t="shared" si="39"/>
        <v>#DIV/0!</v>
      </c>
      <c r="U288" s="323" t="s">
        <v>243</v>
      </c>
      <c r="V288" s="303" t="s">
        <v>243</v>
      </c>
      <c r="W288" s="303" t="s">
        <v>243</v>
      </c>
      <c r="X288" s="303" t="s">
        <v>243</v>
      </c>
      <c r="Y288" s="328" t="s">
        <v>243</v>
      </c>
      <c r="Z288" s="328" t="s">
        <v>243</v>
      </c>
      <c r="AA288" s="323" t="s">
        <v>243</v>
      </c>
      <c r="AB288" s="303" t="s">
        <v>243</v>
      </c>
      <c r="AC288" s="303" t="s">
        <v>243</v>
      </c>
      <c r="AD288" s="303" t="s">
        <v>243</v>
      </c>
      <c r="AE288" s="328" t="s">
        <v>243</v>
      </c>
      <c r="AF288" s="328" t="s">
        <v>243</v>
      </c>
      <c r="AG288" s="338">
        <v>3</v>
      </c>
      <c r="AH288" s="338">
        <v>45</v>
      </c>
      <c r="AI288" s="303" t="s">
        <v>268</v>
      </c>
      <c r="AJ288" s="303" t="s">
        <v>268</v>
      </c>
      <c r="AK288" s="303" t="s">
        <v>268</v>
      </c>
      <c r="AL288" s="303" t="s">
        <v>268</v>
      </c>
      <c r="AM288" s="303" t="s">
        <v>268</v>
      </c>
      <c r="AN288" s="303" t="s">
        <v>268</v>
      </c>
      <c r="AO288" s="198">
        <f t="shared" si="40"/>
        <v>0</v>
      </c>
      <c r="AP288" s="197">
        <f t="shared" si="41"/>
        <v>0</v>
      </c>
    </row>
    <row r="289" spans="1:42" s="250" customFormat="1">
      <c r="A289" s="279">
        <v>434</v>
      </c>
      <c r="B289" s="279" t="str">
        <f>VLOOKUP(C289,'station changes (20-21)'!$A$3:$D$298,4,)</f>
        <v>STATE</v>
      </c>
      <c r="C289" s="279">
        <v>434</v>
      </c>
      <c r="D289" s="288" t="s">
        <v>40</v>
      </c>
      <c r="E289" s="288" t="s">
        <v>486</v>
      </c>
      <c r="F289" s="294" t="s">
        <v>243</v>
      </c>
      <c r="G289" s="298" t="s">
        <v>267</v>
      </c>
      <c r="H289" s="304">
        <v>12426</v>
      </c>
      <c r="I289" s="304">
        <v>10597</v>
      </c>
      <c r="J289" s="304">
        <v>13597</v>
      </c>
      <c r="K289" s="16">
        <v>14522</v>
      </c>
      <c r="L289" s="202">
        <f>L355</f>
        <v>0</v>
      </c>
      <c r="M289" s="202">
        <f>M355</f>
        <v>0</v>
      </c>
      <c r="N289" s="202">
        <f>N355</f>
        <v>0</v>
      </c>
      <c r="O289" s="202">
        <f>O355</f>
        <v>0</v>
      </c>
      <c r="P289" s="201">
        <f>P355</f>
        <v>0</v>
      </c>
      <c r="Q289" s="201"/>
      <c r="R289" s="480"/>
      <c r="S289" s="19">
        <f t="shared" si="38"/>
        <v>0</v>
      </c>
      <c r="T289" s="319" t="e">
        <f t="shared" si="39"/>
        <v>#DIV/0!</v>
      </c>
      <c r="U289" s="324" t="s">
        <v>243</v>
      </c>
      <c r="V289" s="304" t="s">
        <v>243</v>
      </c>
      <c r="W289" s="304" t="s">
        <v>243</v>
      </c>
      <c r="X289" s="304" t="s">
        <v>243</v>
      </c>
      <c r="Y289" s="329" t="s">
        <v>243</v>
      </c>
      <c r="Z289" s="329" t="s">
        <v>243</v>
      </c>
      <c r="AA289" s="324" t="s">
        <v>243</v>
      </c>
      <c r="AB289" s="304" t="s">
        <v>243</v>
      </c>
      <c r="AC289" s="304" t="s">
        <v>243</v>
      </c>
      <c r="AD289" s="304" t="s">
        <v>243</v>
      </c>
      <c r="AE289" s="329" t="s">
        <v>243</v>
      </c>
      <c r="AF289" s="329" t="s">
        <v>243</v>
      </c>
      <c r="AG289" s="339">
        <v>2</v>
      </c>
      <c r="AH289" s="339">
        <v>45</v>
      </c>
      <c r="AI289" s="304" t="s">
        <v>268</v>
      </c>
      <c r="AJ289" s="304" t="s">
        <v>268</v>
      </c>
      <c r="AK289" s="304" t="s">
        <v>268</v>
      </c>
      <c r="AL289" s="304" t="s">
        <v>268</v>
      </c>
      <c r="AM289" s="304" t="s">
        <v>268</v>
      </c>
      <c r="AN289" s="304" t="s">
        <v>268</v>
      </c>
      <c r="AO289" s="131">
        <f t="shared" si="40"/>
        <v>0</v>
      </c>
      <c r="AP289" s="128">
        <f t="shared" si="41"/>
        <v>0</v>
      </c>
    </row>
    <row r="290" spans="1:42" s="250" customFormat="1">
      <c r="A290" s="278">
        <v>436</v>
      </c>
      <c r="B290" s="278" t="str">
        <f>VLOOKUP(C290,'station changes (20-21)'!$A$3:$D$298,4,)</f>
        <v>STATE</v>
      </c>
      <c r="C290" s="278">
        <v>436</v>
      </c>
      <c r="D290" s="287" t="s">
        <v>40</v>
      </c>
      <c r="E290" s="287" t="s">
        <v>487</v>
      </c>
      <c r="F290" s="293" t="s">
        <v>243</v>
      </c>
      <c r="G290" s="297" t="s">
        <v>267</v>
      </c>
      <c r="H290" s="303">
        <v>7796</v>
      </c>
      <c r="I290" s="303">
        <v>6989</v>
      </c>
      <c r="J290" s="303">
        <v>8609</v>
      </c>
      <c r="K290" s="189">
        <v>7667</v>
      </c>
      <c r="L290" s="174">
        <f>L351</f>
        <v>0</v>
      </c>
      <c r="M290" s="174">
        <f>M351</f>
        <v>0</v>
      </c>
      <c r="N290" s="174">
        <f>N351</f>
        <v>0</v>
      </c>
      <c r="O290" s="174">
        <f>O351</f>
        <v>0</v>
      </c>
      <c r="P290" s="191">
        <f>P351</f>
        <v>0</v>
      </c>
      <c r="Q290" s="191"/>
      <c r="R290" s="479"/>
      <c r="S290" s="175">
        <f t="shared" si="38"/>
        <v>0</v>
      </c>
      <c r="T290" s="318" t="e">
        <f t="shared" si="39"/>
        <v>#DIV/0!</v>
      </c>
      <c r="U290" s="323" t="s">
        <v>243</v>
      </c>
      <c r="V290" s="303" t="s">
        <v>243</v>
      </c>
      <c r="W290" s="303" t="s">
        <v>243</v>
      </c>
      <c r="X290" s="303" t="s">
        <v>243</v>
      </c>
      <c r="Y290" s="328" t="s">
        <v>243</v>
      </c>
      <c r="Z290" s="328" t="s">
        <v>243</v>
      </c>
      <c r="AA290" s="323" t="s">
        <v>243</v>
      </c>
      <c r="AB290" s="303" t="s">
        <v>243</v>
      </c>
      <c r="AC290" s="303" t="s">
        <v>243</v>
      </c>
      <c r="AD290" s="303" t="s">
        <v>243</v>
      </c>
      <c r="AE290" s="328" t="s">
        <v>243</v>
      </c>
      <c r="AF290" s="328" t="s">
        <v>243</v>
      </c>
      <c r="AG290" s="338">
        <v>2</v>
      </c>
      <c r="AH290" s="338">
        <v>35</v>
      </c>
      <c r="AI290" s="303" t="s">
        <v>268</v>
      </c>
      <c r="AJ290" s="303" t="s">
        <v>268</v>
      </c>
      <c r="AK290" s="303" t="s">
        <v>268</v>
      </c>
      <c r="AL290" s="303" t="s">
        <v>268</v>
      </c>
      <c r="AM290" s="303" t="s">
        <v>268</v>
      </c>
      <c r="AN290" s="303" t="s">
        <v>268</v>
      </c>
      <c r="AO290" s="198">
        <f t="shared" si="40"/>
        <v>0</v>
      </c>
      <c r="AP290" s="197">
        <f t="shared" si="41"/>
        <v>0</v>
      </c>
    </row>
    <row r="291" spans="1:42" s="250" customFormat="1">
      <c r="A291" s="279">
        <v>438</v>
      </c>
      <c r="B291" s="279" t="str">
        <f>VLOOKUP(C291,'station changes (20-21)'!$A$3:$D$298,4,)</f>
        <v>STATE</v>
      </c>
      <c r="C291" s="279">
        <v>438</v>
      </c>
      <c r="D291" s="288" t="s">
        <v>167</v>
      </c>
      <c r="E291" s="288" t="s">
        <v>488</v>
      </c>
      <c r="F291" s="294" t="s">
        <v>243</v>
      </c>
      <c r="G291" s="298" t="s">
        <v>267</v>
      </c>
      <c r="H291" s="304">
        <v>8138</v>
      </c>
      <c r="I291" s="304">
        <v>8357</v>
      </c>
      <c r="J291" s="304">
        <v>8788</v>
      </c>
      <c r="K291" s="16">
        <v>8447</v>
      </c>
      <c r="L291" s="202">
        <f>L397</f>
        <v>0</v>
      </c>
      <c r="M291" s="202">
        <f>M397</f>
        <v>0</v>
      </c>
      <c r="N291" s="202">
        <f>N397</f>
        <v>0</v>
      </c>
      <c r="O291" s="202">
        <f>O397</f>
        <v>0</v>
      </c>
      <c r="P291" s="201">
        <f>P397</f>
        <v>0</v>
      </c>
      <c r="Q291" s="201"/>
      <c r="R291" s="480"/>
      <c r="S291" s="19">
        <f t="shared" si="38"/>
        <v>0</v>
      </c>
      <c r="T291" s="319" t="e">
        <f t="shared" si="39"/>
        <v>#DIV/0!</v>
      </c>
      <c r="U291" s="324" t="s">
        <v>243</v>
      </c>
      <c r="V291" s="304" t="s">
        <v>243</v>
      </c>
      <c r="W291" s="304" t="s">
        <v>243</v>
      </c>
      <c r="X291" s="304" t="s">
        <v>243</v>
      </c>
      <c r="Y291" s="329" t="s">
        <v>243</v>
      </c>
      <c r="Z291" s="329" t="s">
        <v>243</v>
      </c>
      <c r="AA291" s="324" t="s">
        <v>243</v>
      </c>
      <c r="AB291" s="304" t="s">
        <v>243</v>
      </c>
      <c r="AC291" s="304" t="s">
        <v>243</v>
      </c>
      <c r="AD291" s="304" t="s">
        <v>243</v>
      </c>
      <c r="AE291" s="329" t="s">
        <v>243</v>
      </c>
      <c r="AF291" s="329" t="s">
        <v>243</v>
      </c>
      <c r="AG291" s="339">
        <v>2</v>
      </c>
      <c r="AH291" s="339">
        <v>45</v>
      </c>
      <c r="AI291" s="304" t="s">
        <v>268</v>
      </c>
      <c r="AJ291" s="304" t="s">
        <v>268</v>
      </c>
      <c r="AK291" s="304" t="s">
        <v>268</v>
      </c>
      <c r="AL291" s="304" t="s">
        <v>268</v>
      </c>
      <c r="AM291" s="304" t="s">
        <v>268</v>
      </c>
      <c r="AN291" s="304" t="s">
        <v>268</v>
      </c>
      <c r="AO291" s="131">
        <f t="shared" si="40"/>
        <v>0</v>
      </c>
      <c r="AP291" s="128">
        <f t="shared" si="41"/>
        <v>0</v>
      </c>
    </row>
    <row r="292" spans="1:42" s="250" customFormat="1">
      <c r="A292" s="278">
        <v>440</v>
      </c>
      <c r="B292" s="278" t="str">
        <f>VLOOKUP(C292,'station changes (20-21)'!$A$3:$D$298,4,)</f>
        <v>STATE</v>
      </c>
      <c r="C292" s="278">
        <v>440</v>
      </c>
      <c r="D292" s="287" t="s">
        <v>421</v>
      </c>
      <c r="E292" s="287" t="s">
        <v>489</v>
      </c>
      <c r="F292" s="293" t="s">
        <v>243</v>
      </c>
      <c r="G292" s="297" t="s">
        <v>267</v>
      </c>
      <c r="H292" s="303">
        <v>19001</v>
      </c>
      <c r="I292" s="303">
        <v>16547</v>
      </c>
      <c r="J292" s="303">
        <v>17640</v>
      </c>
      <c r="K292" s="189">
        <v>19844</v>
      </c>
      <c r="L292" s="174">
        <f>L358</f>
        <v>0</v>
      </c>
      <c r="M292" s="174">
        <f>M358</f>
        <v>0</v>
      </c>
      <c r="N292" s="174">
        <f>N358</f>
        <v>0</v>
      </c>
      <c r="O292" s="174">
        <f>O358</f>
        <v>0</v>
      </c>
      <c r="P292" s="191">
        <f>P358</f>
        <v>0</v>
      </c>
      <c r="Q292" s="191"/>
      <c r="R292" s="479"/>
      <c r="S292" s="175">
        <f t="shared" si="38"/>
        <v>0</v>
      </c>
      <c r="T292" s="318" t="e">
        <f t="shared" si="39"/>
        <v>#DIV/0!</v>
      </c>
      <c r="U292" s="323" t="s">
        <v>243</v>
      </c>
      <c r="V292" s="303" t="s">
        <v>243</v>
      </c>
      <c r="W292" s="303" t="s">
        <v>243</v>
      </c>
      <c r="X292" s="303" t="s">
        <v>243</v>
      </c>
      <c r="Y292" s="328" t="s">
        <v>243</v>
      </c>
      <c r="Z292" s="328" t="s">
        <v>243</v>
      </c>
      <c r="AA292" s="323" t="s">
        <v>243</v>
      </c>
      <c r="AB292" s="303" t="s">
        <v>243</v>
      </c>
      <c r="AC292" s="303" t="s">
        <v>243</v>
      </c>
      <c r="AD292" s="303" t="s">
        <v>243</v>
      </c>
      <c r="AE292" s="328" t="s">
        <v>243</v>
      </c>
      <c r="AF292" s="328" t="s">
        <v>243</v>
      </c>
      <c r="AG292" s="338">
        <v>4</v>
      </c>
      <c r="AH292" s="338">
        <v>45</v>
      </c>
      <c r="AI292" s="303" t="s">
        <v>268</v>
      </c>
      <c r="AJ292" s="303" t="s">
        <v>268</v>
      </c>
      <c r="AK292" s="303" t="s">
        <v>268</v>
      </c>
      <c r="AL292" s="303" t="s">
        <v>268</v>
      </c>
      <c r="AM292" s="303" t="s">
        <v>268</v>
      </c>
      <c r="AN292" s="303" t="s">
        <v>268</v>
      </c>
      <c r="AO292" s="198">
        <f t="shared" si="40"/>
        <v>0</v>
      </c>
      <c r="AP292" s="197">
        <f t="shared" si="41"/>
        <v>0</v>
      </c>
    </row>
    <row r="293" spans="1:42" s="250" customFormat="1">
      <c r="A293" s="279">
        <v>442</v>
      </c>
      <c r="B293" s="279" t="str">
        <f>VLOOKUP(C293,'station changes (20-21)'!$A$3:$D$298,4,)</f>
        <v>STATE</v>
      </c>
      <c r="C293" s="279">
        <v>442</v>
      </c>
      <c r="D293" s="288" t="s">
        <v>40</v>
      </c>
      <c r="E293" s="288" t="s">
        <v>490</v>
      </c>
      <c r="F293" s="294" t="s">
        <v>243</v>
      </c>
      <c r="G293" s="298" t="s">
        <v>267</v>
      </c>
      <c r="H293" s="304">
        <v>20664</v>
      </c>
      <c r="I293" s="304">
        <v>21644</v>
      </c>
      <c r="J293" s="304">
        <v>24273</v>
      </c>
      <c r="K293" s="16">
        <v>26092</v>
      </c>
      <c r="L293" s="202">
        <f>L342</f>
        <v>0</v>
      </c>
      <c r="M293" s="202">
        <f>M342</f>
        <v>0</v>
      </c>
      <c r="N293" s="202">
        <f>N342</f>
        <v>0</v>
      </c>
      <c r="O293" s="202">
        <f>O342</f>
        <v>0</v>
      </c>
      <c r="P293" s="201">
        <f>P342</f>
        <v>0</v>
      </c>
      <c r="Q293" s="201"/>
      <c r="R293" s="480"/>
      <c r="S293" s="19">
        <f t="shared" si="38"/>
        <v>0</v>
      </c>
      <c r="T293" s="319" t="e">
        <f t="shared" si="39"/>
        <v>#DIV/0!</v>
      </c>
      <c r="U293" s="324" t="s">
        <v>243</v>
      </c>
      <c r="V293" s="304" t="s">
        <v>243</v>
      </c>
      <c r="W293" s="304" t="s">
        <v>243</v>
      </c>
      <c r="X293" s="304" t="s">
        <v>243</v>
      </c>
      <c r="Y293" s="329" t="s">
        <v>243</v>
      </c>
      <c r="Z293" s="329" t="s">
        <v>243</v>
      </c>
      <c r="AA293" s="324" t="s">
        <v>243</v>
      </c>
      <c r="AB293" s="304" t="s">
        <v>243</v>
      </c>
      <c r="AC293" s="304" t="s">
        <v>243</v>
      </c>
      <c r="AD293" s="304" t="s">
        <v>243</v>
      </c>
      <c r="AE293" s="329" t="s">
        <v>243</v>
      </c>
      <c r="AF293" s="329" t="s">
        <v>243</v>
      </c>
      <c r="AG293" s="339">
        <v>4</v>
      </c>
      <c r="AH293" s="339">
        <v>45</v>
      </c>
      <c r="AI293" s="304" t="s">
        <v>268</v>
      </c>
      <c r="AJ293" s="304" t="s">
        <v>268</v>
      </c>
      <c r="AK293" s="304" t="s">
        <v>268</v>
      </c>
      <c r="AL293" s="304" t="s">
        <v>268</v>
      </c>
      <c r="AM293" s="304" t="s">
        <v>268</v>
      </c>
      <c r="AN293" s="304" t="s">
        <v>268</v>
      </c>
      <c r="AO293" s="131">
        <f t="shared" si="40"/>
        <v>0</v>
      </c>
      <c r="AP293" s="128">
        <f t="shared" si="41"/>
        <v>0</v>
      </c>
    </row>
    <row r="294" spans="1:42" s="250" customFormat="1">
      <c r="A294" s="278">
        <v>446</v>
      </c>
      <c r="B294" s="278" t="str">
        <f>VLOOKUP(C294,'station changes (20-21)'!$A$3:$D$298,4,)</f>
        <v>STATE</v>
      </c>
      <c r="C294" s="278">
        <v>446</v>
      </c>
      <c r="D294" s="287" t="s">
        <v>40</v>
      </c>
      <c r="E294" s="287" t="s">
        <v>491</v>
      </c>
      <c r="F294" s="293" t="s">
        <v>243</v>
      </c>
      <c r="G294" s="297" t="s">
        <v>267</v>
      </c>
      <c r="H294" s="303">
        <v>19721</v>
      </c>
      <c r="I294" s="303">
        <v>21073</v>
      </c>
      <c r="J294" s="303">
        <v>24076</v>
      </c>
      <c r="K294" s="189">
        <v>26175</v>
      </c>
      <c r="L294" s="174">
        <f>L395</f>
        <v>0</v>
      </c>
      <c r="M294" s="174">
        <f>M395</f>
        <v>0</v>
      </c>
      <c r="N294" s="174">
        <f>N395</f>
        <v>0</v>
      </c>
      <c r="O294" s="174">
        <f>O395</f>
        <v>0</v>
      </c>
      <c r="P294" s="191">
        <f>P395</f>
        <v>0</v>
      </c>
      <c r="Q294" s="191"/>
      <c r="R294" s="479"/>
      <c r="S294" s="175">
        <f t="shared" si="38"/>
        <v>0</v>
      </c>
      <c r="T294" s="318" t="e">
        <f t="shared" si="39"/>
        <v>#DIV/0!</v>
      </c>
      <c r="U294" s="323" t="s">
        <v>243</v>
      </c>
      <c r="V294" s="303" t="s">
        <v>243</v>
      </c>
      <c r="W294" s="303" t="s">
        <v>243</v>
      </c>
      <c r="X294" s="303" t="s">
        <v>243</v>
      </c>
      <c r="Y294" s="328" t="s">
        <v>243</v>
      </c>
      <c r="Z294" s="328" t="s">
        <v>243</v>
      </c>
      <c r="AA294" s="323" t="s">
        <v>243</v>
      </c>
      <c r="AB294" s="303" t="s">
        <v>243</v>
      </c>
      <c r="AC294" s="303" t="s">
        <v>243</v>
      </c>
      <c r="AD294" s="303" t="s">
        <v>243</v>
      </c>
      <c r="AE294" s="328" t="s">
        <v>243</v>
      </c>
      <c r="AF294" s="328" t="s">
        <v>243</v>
      </c>
      <c r="AG294" s="338">
        <v>4</v>
      </c>
      <c r="AH294" s="338">
        <v>55</v>
      </c>
      <c r="AI294" s="303" t="s">
        <v>268</v>
      </c>
      <c r="AJ294" s="303" t="s">
        <v>268</v>
      </c>
      <c r="AK294" s="303" t="s">
        <v>268</v>
      </c>
      <c r="AL294" s="303" t="s">
        <v>268</v>
      </c>
      <c r="AM294" s="303" t="s">
        <v>268</v>
      </c>
      <c r="AN294" s="303" t="s">
        <v>268</v>
      </c>
      <c r="AO294" s="198">
        <f t="shared" si="40"/>
        <v>0</v>
      </c>
      <c r="AP294" s="197">
        <f t="shared" si="41"/>
        <v>0</v>
      </c>
    </row>
    <row r="295" spans="1:42" s="250" customFormat="1">
      <c r="A295" s="279">
        <v>448</v>
      </c>
      <c r="B295" s="279" t="str">
        <f>VLOOKUP(C295,'station changes (20-21)'!$A$3:$D$298,4,)</f>
        <v>STATE</v>
      </c>
      <c r="C295" s="279">
        <v>448</v>
      </c>
      <c r="D295" s="288" t="s">
        <v>40</v>
      </c>
      <c r="E295" s="288" t="s">
        <v>492</v>
      </c>
      <c r="F295" s="294" t="s">
        <v>243</v>
      </c>
      <c r="G295" s="298" t="s">
        <v>267</v>
      </c>
      <c r="H295" s="304">
        <v>16547</v>
      </c>
      <c r="I295" s="304">
        <v>21577</v>
      </c>
      <c r="J295" s="304">
        <v>23462</v>
      </c>
      <c r="K295" s="16">
        <v>27302</v>
      </c>
      <c r="L295" s="202">
        <f>L372</f>
        <v>0</v>
      </c>
      <c r="M295" s="202">
        <f>M372</f>
        <v>0</v>
      </c>
      <c r="N295" s="202">
        <f>N372</f>
        <v>0</v>
      </c>
      <c r="O295" s="202">
        <f>O372</f>
        <v>0</v>
      </c>
      <c r="P295" s="201">
        <f>P372</f>
        <v>0</v>
      </c>
      <c r="Q295" s="201"/>
      <c r="R295" s="480"/>
      <c r="S295" s="19">
        <f t="shared" si="38"/>
        <v>0</v>
      </c>
      <c r="T295" s="319" t="e">
        <f t="shared" si="39"/>
        <v>#DIV/0!</v>
      </c>
      <c r="U295" s="324" t="s">
        <v>243</v>
      </c>
      <c r="V295" s="304" t="s">
        <v>243</v>
      </c>
      <c r="W295" s="304" t="s">
        <v>243</v>
      </c>
      <c r="X295" s="304" t="s">
        <v>243</v>
      </c>
      <c r="Y295" s="329" t="s">
        <v>243</v>
      </c>
      <c r="Z295" s="329" t="s">
        <v>243</v>
      </c>
      <c r="AA295" s="324" t="s">
        <v>243</v>
      </c>
      <c r="AB295" s="304" t="s">
        <v>243</v>
      </c>
      <c r="AC295" s="304" t="s">
        <v>243</v>
      </c>
      <c r="AD295" s="304" t="s">
        <v>243</v>
      </c>
      <c r="AE295" s="329" t="s">
        <v>243</v>
      </c>
      <c r="AF295" s="329" t="s">
        <v>243</v>
      </c>
      <c r="AG295" s="339">
        <v>4</v>
      </c>
      <c r="AH295" s="339">
        <v>55</v>
      </c>
      <c r="AI295" s="304" t="s">
        <v>268</v>
      </c>
      <c r="AJ295" s="304" t="s">
        <v>268</v>
      </c>
      <c r="AK295" s="304" t="s">
        <v>268</v>
      </c>
      <c r="AL295" s="304" t="s">
        <v>268</v>
      </c>
      <c r="AM295" s="304" t="s">
        <v>268</v>
      </c>
      <c r="AN295" s="304" t="s">
        <v>268</v>
      </c>
      <c r="AO295" s="131">
        <f t="shared" si="40"/>
        <v>0</v>
      </c>
      <c r="AP295" s="128">
        <f t="shared" si="41"/>
        <v>0</v>
      </c>
    </row>
    <row r="296" spans="1:42" s="250" customFormat="1">
      <c r="A296" s="278">
        <v>450</v>
      </c>
      <c r="B296" s="278" t="str">
        <f>VLOOKUP(C296,'station changes (20-21)'!$A$3:$D$298,4,)</f>
        <v>STATE</v>
      </c>
      <c r="C296" s="278">
        <v>450</v>
      </c>
      <c r="D296" s="287" t="s">
        <v>40</v>
      </c>
      <c r="E296" s="287" t="s">
        <v>493</v>
      </c>
      <c r="F296" s="293" t="s">
        <v>243</v>
      </c>
      <c r="G296" s="297" t="s">
        <v>267</v>
      </c>
      <c r="H296" s="303">
        <v>17373</v>
      </c>
      <c r="I296" s="303">
        <v>17020</v>
      </c>
      <c r="J296" s="303">
        <v>18396</v>
      </c>
      <c r="K296" s="189">
        <v>20196</v>
      </c>
      <c r="L296" s="174">
        <f>L358</f>
        <v>0</v>
      </c>
      <c r="M296" s="174">
        <f>M358</f>
        <v>0</v>
      </c>
      <c r="N296" s="174">
        <f>N358</f>
        <v>0</v>
      </c>
      <c r="O296" s="174">
        <f>O358</f>
        <v>0</v>
      </c>
      <c r="P296" s="191">
        <f>P358</f>
        <v>0</v>
      </c>
      <c r="Q296" s="191"/>
      <c r="R296" s="479"/>
      <c r="S296" s="175">
        <f t="shared" si="38"/>
        <v>0</v>
      </c>
      <c r="T296" s="318" t="e">
        <f t="shared" si="39"/>
        <v>#DIV/0!</v>
      </c>
      <c r="U296" s="323" t="s">
        <v>243</v>
      </c>
      <c r="V296" s="303" t="s">
        <v>243</v>
      </c>
      <c r="W296" s="303" t="s">
        <v>243</v>
      </c>
      <c r="X296" s="303" t="s">
        <v>243</v>
      </c>
      <c r="Y296" s="328" t="s">
        <v>243</v>
      </c>
      <c r="Z296" s="328" t="s">
        <v>243</v>
      </c>
      <c r="AA296" s="323" t="s">
        <v>243</v>
      </c>
      <c r="AB296" s="303" t="s">
        <v>243</v>
      </c>
      <c r="AC296" s="303" t="s">
        <v>243</v>
      </c>
      <c r="AD296" s="303" t="s">
        <v>243</v>
      </c>
      <c r="AE296" s="328" t="s">
        <v>243</v>
      </c>
      <c r="AF296" s="328" t="s">
        <v>243</v>
      </c>
      <c r="AG296" s="338">
        <v>4</v>
      </c>
      <c r="AH296" s="338">
        <v>45</v>
      </c>
      <c r="AI296" s="303" t="s">
        <v>268</v>
      </c>
      <c r="AJ296" s="303" t="s">
        <v>268</v>
      </c>
      <c r="AK296" s="303" t="s">
        <v>268</v>
      </c>
      <c r="AL296" s="303" t="s">
        <v>268</v>
      </c>
      <c r="AM296" s="303" t="s">
        <v>268</v>
      </c>
      <c r="AN296" s="303" t="s">
        <v>268</v>
      </c>
      <c r="AO296" s="198">
        <f t="shared" si="40"/>
        <v>0</v>
      </c>
      <c r="AP296" s="197">
        <f t="shared" si="41"/>
        <v>0</v>
      </c>
    </row>
    <row r="297" spans="1:42" s="250" customFormat="1">
      <c r="A297" s="279">
        <v>456</v>
      </c>
      <c r="B297" s="279" t="str">
        <f>VLOOKUP(C297,'station changes (20-21)'!$A$3:$D$298,4,)</f>
        <v>STATE</v>
      </c>
      <c r="C297" s="279">
        <v>456</v>
      </c>
      <c r="D297" s="288" t="s">
        <v>23</v>
      </c>
      <c r="E297" s="288" t="s">
        <v>495</v>
      </c>
      <c r="F297" s="294" t="s">
        <v>243</v>
      </c>
      <c r="G297" s="298" t="s">
        <v>267</v>
      </c>
      <c r="H297" s="304">
        <v>14160</v>
      </c>
      <c r="I297" s="304" t="s">
        <v>469</v>
      </c>
      <c r="J297" s="304">
        <v>15148</v>
      </c>
      <c r="K297" s="16">
        <v>18063</v>
      </c>
      <c r="L297" s="202">
        <f>L341</f>
        <v>0</v>
      </c>
      <c r="M297" s="202">
        <f>M341</f>
        <v>0</v>
      </c>
      <c r="N297" s="202">
        <f>N341</f>
        <v>0</v>
      </c>
      <c r="O297" s="202">
        <f>O341</f>
        <v>0</v>
      </c>
      <c r="P297" s="201">
        <f>P341</f>
        <v>0</v>
      </c>
      <c r="Q297" s="201"/>
      <c r="R297" s="480"/>
      <c r="S297" s="19">
        <f t="shared" si="38"/>
        <v>0</v>
      </c>
      <c r="T297" s="319" t="e">
        <f t="shared" si="39"/>
        <v>#DIV/0!</v>
      </c>
      <c r="U297" s="324" t="s">
        <v>243</v>
      </c>
      <c r="V297" s="304" t="s">
        <v>243</v>
      </c>
      <c r="W297" s="304" t="s">
        <v>243</v>
      </c>
      <c r="X297" s="304" t="s">
        <v>243</v>
      </c>
      <c r="Y297" s="329" t="s">
        <v>243</v>
      </c>
      <c r="Z297" s="329" t="s">
        <v>243</v>
      </c>
      <c r="AA297" s="324" t="s">
        <v>243</v>
      </c>
      <c r="AB297" s="304" t="s">
        <v>243</v>
      </c>
      <c r="AC297" s="304" t="s">
        <v>243</v>
      </c>
      <c r="AD297" s="304" t="s">
        <v>243</v>
      </c>
      <c r="AE297" s="329" t="s">
        <v>243</v>
      </c>
      <c r="AF297" s="329" t="s">
        <v>243</v>
      </c>
      <c r="AG297" s="339">
        <v>4</v>
      </c>
      <c r="AH297" s="339">
        <v>55</v>
      </c>
      <c r="AI297" s="304" t="s">
        <v>268</v>
      </c>
      <c r="AJ297" s="304" t="s">
        <v>268</v>
      </c>
      <c r="AK297" s="304" t="s">
        <v>268</v>
      </c>
      <c r="AL297" s="304" t="s">
        <v>268</v>
      </c>
      <c r="AM297" s="304" t="s">
        <v>268</v>
      </c>
      <c r="AN297" s="304" t="s">
        <v>268</v>
      </c>
      <c r="AO297" s="131">
        <f t="shared" si="40"/>
        <v>0</v>
      </c>
      <c r="AP297" s="128">
        <f t="shared" si="41"/>
        <v>0</v>
      </c>
    </row>
    <row r="298" spans="1:42" s="250" customFormat="1">
      <c r="A298" s="278">
        <v>458</v>
      </c>
      <c r="B298" s="278" t="str">
        <f>VLOOKUP(C298,'station changes (20-21)'!$A$3:$D$298,4,)</f>
        <v>STATE</v>
      </c>
      <c r="C298" s="278">
        <v>458</v>
      </c>
      <c r="D298" s="287" t="s">
        <v>36</v>
      </c>
      <c r="E298" s="287" t="s">
        <v>496</v>
      </c>
      <c r="F298" s="293" t="s">
        <v>243</v>
      </c>
      <c r="G298" s="297" t="s">
        <v>267</v>
      </c>
      <c r="H298" s="303">
        <v>38590</v>
      </c>
      <c r="I298" s="303">
        <v>38632.449000000001</v>
      </c>
      <c r="J298" s="303">
        <v>37124</v>
      </c>
      <c r="K298" s="189">
        <v>34776</v>
      </c>
      <c r="L298" s="174">
        <f>L373</f>
        <v>0</v>
      </c>
      <c r="M298" s="174">
        <f>M373</f>
        <v>0</v>
      </c>
      <c r="N298" s="174">
        <f>N373</f>
        <v>0</v>
      </c>
      <c r="O298" s="174">
        <f>O373</f>
        <v>0</v>
      </c>
      <c r="P298" s="191">
        <f>P373</f>
        <v>0</v>
      </c>
      <c r="Q298" s="191"/>
      <c r="R298" s="479"/>
      <c r="S298" s="175">
        <f t="shared" si="38"/>
        <v>0</v>
      </c>
      <c r="T298" s="318" t="e">
        <f t="shared" si="39"/>
        <v>#DIV/0!</v>
      </c>
      <c r="U298" s="323" t="s">
        <v>243</v>
      </c>
      <c r="V298" s="303" t="s">
        <v>243</v>
      </c>
      <c r="W298" s="303" t="s">
        <v>243</v>
      </c>
      <c r="X298" s="303" t="s">
        <v>243</v>
      </c>
      <c r="Y298" s="328" t="s">
        <v>243</v>
      </c>
      <c r="Z298" s="328" t="s">
        <v>243</v>
      </c>
      <c r="AA298" s="323" t="s">
        <v>243</v>
      </c>
      <c r="AB298" s="303" t="s">
        <v>243</v>
      </c>
      <c r="AC298" s="303" t="s">
        <v>243</v>
      </c>
      <c r="AD298" s="303" t="s">
        <v>243</v>
      </c>
      <c r="AE298" s="328" t="s">
        <v>243</v>
      </c>
      <c r="AF298" s="328" t="s">
        <v>243</v>
      </c>
      <c r="AG298" s="338">
        <v>6</v>
      </c>
      <c r="AH298" s="338">
        <v>45</v>
      </c>
      <c r="AI298" s="303" t="s">
        <v>268</v>
      </c>
      <c r="AJ298" s="303" t="s">
        <v>268</v>
      </c>
      <c r="AK298" s="303" t="s">
        <v>268</v>
      </c>
      <c r="AL298" s="303" t="s">
        <v>268</v>
      </c>
      <c r="AM298" s="303" t="s">
        <v>268</v>
      </c>
      <c r="AN298" s="303" t="s">
        <v>268</v>
      </c>
      <c r="AO298" s="198">
        <f t="shared" si="40"/>
        <v>0</v>
      </c>
      <c r="AP298" s="197">
        <f t="shared" si="41"/>
        <v>0</v>
      </c>
    </row>
    <row r="299" spans="1:42" s="250" customFormat="1">
      <c r="A299" s="279">
        <v>460</v>
      </c>
      <c r="B299" s="279" t="str">
        <f>VLOOKUP(C299,'station changes (20-21)'!$A$3:$D$298,4,)</f>
        <v>STATE</v>
      </c>
      <c r="C299" s="279">
        <v>460</v>
      </c>
      <c r="D299" s="288" t="s">
        <v>162</v>
      </c>
      <c r="E299" s="288" t="s">
        <v>497</v>
      </c>
      <c r="F299" s="294" t="s">
        <v>243</v>
      </c>
      <c r="G299" s="298" t="s">
        <v>267</v>
      </c>
      <c r="H299" s="304">
        <v>17221</v>
      </c>
      <c r="I299" s="304">
        <v>15005</v>
      </c>
      <c r="J299" s="304">
        <v>16367</v>
      </c>
      <c r="K299" s="16">
        <v>19268</v>
      </c>
      <c r="L299" s="202">
        <f>L396</f>
        <v>0</v>
      </c>
      <c r="M299" s="202">
        <f>M396</f>
        <v>0</v>
      </c>
      <c r="N299" s="202">
        <f>N396</f>
        <v>0</v>
      </c>
      <c r="O299" s="202">
        <f>O396</f>
        <v>0</v>
      </c>
      <c r="P299" s="201">
        <f>P396</f>
        <v>0</v>
      </c>
      <c r="Q299" s="201"/>
      <c r="R299" s="480"/>
      <c r="S299" s="19">
        <f t="shared" si="38"/>
        <v>0</v>
      </c>
      <c r="T299" s="319" t="e">
        <f t="shared" si="39"/>
        <v>#DIV/0!</v>
      </c>
      <c r="U299" s="324" t="s">
        <v>243</v>
      </c>
      <c r="V299" s="304" t="s">
        <v>243</v>
      </c>
      <c r="W299" s="304" t="s">
        <v>243</v>
      </c>
      <c r="X299" s="304" t="s">
        <v>243</v>
      </c>
      <c r="Y299" s="329" t="s">
        <v>243</v>
      </c>
      <c r="Z299" s="329" t="s">
        <v>243</v>
      </c>
      <c r="AA299" s="324" t="s">
        <v>243</v>
      </c>
      <c r="AB299" s="304" t="s">
        <v>243</v>
      </c>
      <c r="AC299" s="304" t="s">
        <v>243</v>
      </c>
      <c r="AD299" s="304" t="s">
        <v>243</v>
      </c>
      <c r="AE299" s="329" t="s">
        <v>243</v>
      </c>
      <c r="AF299" s="329" t="s">
        <v>243</v>
      </c>
      <c r="AG299" s="339">
        <v>4</v>
      </c>
      <c r="AH299" s="339">
        <v>45</v>
      </c>
      <c r="AI299" s="304" t="s">
        <v>268</v>
      </c>
      <c r="AJ299" s="304" t="s">
        <v>268</v>
      </c>
      <c r="AK299" s="304" t="s">
        <v>268</v>
      </c>
      <c r="AL299" s="304" t="s">
        <v>268</v>
      </c>
      <c r="AM299" s="304" t="s">
        <v>268</v>
      </c>
      <c r="AN299" s="304" t="s">
        <v>268</v>
      </c>
      <c r="AO299" s="131">
        <f t="shared" si="40"/>
        <v>0</v>
      </c>
      <c r="AP299" s="128">
        <f t="shared" si="41"/>
        <v>0</v>
      </c>
    </row>
    <row r="300" spans="1:42" s="250" customFormat="1">
      <c r="A300" s="278">
        <v>1200</v>
      </c>
      <c r="B300" s="278" t="str">
        <f>VLOOKUP(C300,'station changes (20-21)'!$A$3:$D$298,4,)</f>
        <v>STATE</v>
      </c>
      <c r="C300" s="278">
        <v>1200</v>
      </c>
      <c r="D300" s="287" t="s">
        <v>23</v>
      </c>
      <c r="E300" s="287" t="s">
        <v>527</v>
      </c>
      <c r="F300" s="293" t="s">
        <v>243</v>
      </c>
      <c r="G300" s="297" t="s">
        <v>267</v>
      </c>
      <c r="H300" s="303">
        <v>17078</v>
      </c>
      <c r="I300" s="303">
        <v>16442</v>
      </c>
      <c r="J300" s="303">
        <v>18206</v>
      </c>
      <c r="K300" s="189">
        <v>19302</v>
      </c>
      <c r="L300" s="309">
        <v>16700</v>
      </c>
      <c r="M300" s="309">
        <v>18400</v>
      </c>
      <c r="N300" s="309">
        <v>19200</v>
      </c>
      <c r="O300" s="309">
        <v>18100</v>
      </c>
      <c r="P300" s="191">
        <f>_xlfn.FORECAST.LINEAR($P$5,$K300:$O300,$K$5:$O$5)</f>
        <v>18369.2</v>
      </c>
      <c r="Q300" s="191"/>
      <c r="R300" s="479"/>
      <c r="S300" s="175">
        <f t="shared" si="38"/>
        <v>15233.20000000007</v>
      </c>
      <c r="T300" s="318" t="e">
        <f t="shared" si="39"/>
        <v>#DIV/0!</v>
      </c>
      <c r="U300" s="323" t="s">
        <v>243</v>
      </c>
      <c r="V300" s="303" t="s">
        <v>243</v>
      </c>
      <c r="W300" s="303" t="s">
        <v>243</v>
      </c>
      <c r="X300" s="303" t="s">
        <v>243</v>
      </c>
      <c r="Y300" s="328" t="s">
        <v>243</v>
      </c>
      <c r="Z300" s="328" t="s">
        <v>243</v>
      </c>
      <c r="AA300" s="323" t="s">
        <v>243</v>
      </c>
      <c r="AB300" s="303" t="s">
        <v>243</v>
      </c>
      <c r="AC300" s="303" t="s">
        <v>243</v>
      </c>
      <c r="AD300" s="303" t="s">
        <v>243</v>
      </c>
      <c r="AE300" s="328" t="s">
        <v>243</v>
      </c>
      <c r="AF300" s="328" t="s">
        <v>243</v>
      </c>
      <c r="AG300" s="338">
        <v>4</v>
      </c>
      <c r="AH300" s="338">
        <v>45</v>
      </c>
      <c r="AI300" s="303" t="s">
        <v>268</v>
      </c>
      <c r="AJ300" s="303" t="s">
        <v>268</v>
      </c>
      <c r="AK300" s="303" t="s">
        <v>268</v>
      </c>
      <c r="AL300" s="303" t="s">
        <v>268</v>
      </c>
      <c r="AM300" s="303" t="s">
        <v>268</v>
      </c>
      <c r="AN300" s="303" t="s">
        <v>268</v>
      </c>
      <c r="AO300" s="198">
        <f t="shared" si="40"/>
        <v>19375.707663009849</v>
      </c>
      <c r="AP300" s="197">
        <f t="shared" si="41"/>
        <v>17737.092336990147</v>
      </c>
    </row>
    <row r="301" spans="1:42" s="250" customFormat="1">
      <c r="A301" s="279">
        <v>1220</v>
      </c>
      <c r="B301" s="279" t="str">
        <f>VLOOKUP(C301,'station changes (20-21)'!$A$3:$D$298,4,)</f>
        <v>STATE</v>
      </c>
      <c r="C301" s="279">
        <v>1220</v>
      </c>
      <c r="D301" s="288" t="s">
        <v>23</v>
      </c>
      <c r="E301" s="288" t="s">
        <v>528</v>
      </c>
      <c r="F301" s="294" t="s">
        <v>243</v>
      </c>
      <c r="G301" s="298" t="s">
        <v>267</v>
      </c>
      <c r="H301" s="304">
        <v>16486</v>
      </c>
      <c r="I301" s="304">
        <v>15484</v>
      </c>
      <c r="J301" s="304">
        <v>19160</v>
      </c>
      <c r="K301" s="16">
        <v>23383</v>
      </c>
      <c r="L301" s="310">
        <v>18500</v>
      </c>
      <c r="M301" s="310">
        <v>18700</v>
      </c>
      <c r="N301" s="310">
        <v>18700</v>
      </c>
      <c r="O301" s="310">
        <v>17200</v>
      </c>
      <c r="P301" s="201">
        <f>_xlfn.FORECAST.LINEAR($P$5,$K301:$O301,$K$5:$O$5)</f>
        <v>15646.799999999814</v>
      </c>
      <c r="Q301" s="201"/>
      <c r="R301" s="480"/>
      <c r="S301" s="19">
        <f t="shared" si="38"/>
        <v>4969.4666666658595</v>
      </c>
      <c r="T301" s="319" t="e">
        <f t="shared" si="39"/>
        <v>#DIV/0!</v>
      </c>
      <c r="U301" s="324" t="s">
        <v>243</v>
      </c>
      <c r="V301" s="304" t="s">
        <v>243</v>
      </c>
      <c r="W301" s="304" t="s">
        <v>243</v>
      </c>
      <c r="X301" s="304" t="s">
        <v>243</v>
      </c>
      <c r="Y301" s="329" t="s">
        <v>243</v>
      </c>
      <c r="Z301" s="329" t="s">
        <v>243</v>
      </c>
      <c r="AA301" s="324" t="s">
        <v>243</v>
      </c>
      <c r="AB301" s="304" t="s">
        <v>243</v>
      </c>
      <c r="AC301" s="304" t="s">
        <v>243</v>
      </c>
      <c r="AD301" s="304" t="s">
        <v>243</v>
      </c>
      <c r="AE301" s="329" t="s">
        <v>243</v>
      </c>
      <c r="AF301" s="329" t="s">
        <v>243</v>
      </c>
      <c r="AG301" s="339">
        <v>4</v>
      </c>
      <c r="AH301" s="339">
        <v>45</v>
      </c>
      <c r="AI301" s="304" t="s">
        <v>268</v>
      </c>
      <c r="AJ301" s="304" t="s">
        <v>268</v>
      </c>
      <c r="AK301" s="304" t="s">
        <v>268</v>
      </c>
      <c r="AL301" s="304" t="s">
        <v>268</v>
      </c>
      <c r="AM301" s="304" t="s">
        <v>268</v>
      </c>
      <c r="AN301" s="304" t="s">
        <v>268</v>
      </c>
      <c r="AO301" s="131">
        <f t="shared" si="40"/>
        <v>19363.688481803729</v>
      </c>
      <c r="AP301" s="128">
        <f t="shared" si="41"/>
        <v>15000.844851529482</v>
      </c>
    </row>
    <row r="302" spans="1:42" s="250" customFormat="1">
      <c r="A302" s="278">
        <v>1240</v>
      </c>
      <c r="B302" s="278" t="str">
        <f>VLOOKUP(C302,'station changes (20-21)'!$A$3:$D$298,4,)</f>
        <v>STATE</v>
      </c>
      <c r="C302" s="278">
        <v>1240</v>
      </c>
      <c r="D302" s="287" t="s">
        <v>23</v>
      </c>
      <c r="E302" s="287" t="s">
        <v>529</v>
      </c>
      <c r="F302" s="293">
        <v>43887</v>
      </c>
      <c r="G302" s="297" t="s">
        <v>267</v>
      </c>
      <c r="H302" s="303">
        <v>16828</v>
      </c>
      <c r="I302" s="303">
        <v>13234</v>
      </c>
      <c r="J302" s="303">
        <v>17205</v>
      </c>
      <c r="K302" s="189">
        <v>19855</v>
      </c>
      <c r="L302" s="174">
        <v>21406</v>
      </c>
      <c r="M302" s="174">
        <v>24655</v>
      </c>
      <c r="N302" s="174">
        <v>24037</v>
      </c>
      <c r="O302" s="174">
        <v>23600</v>
      </c>
      <c r="P302" s="191">
        <v>24839</v>
      </c>
      <c r="Q302" s="191"/>
      <c r="R302" s="479"/>
      <c r="S302" s="175">
        <f t="shared" si="38"/>
        <v>27366.666666666628</v>
      </c>
      <c r="T302" s="318" t="e">
        <f t="shared" si="39"/>
        <v>#DIV/0!</v>
      </c>
      <c r="U302" s="323">
        <v>0.3125</v>
      </c>
      <c r="V302" s="303">
        <v>1794</v>
      </c>
      <c r="W302" s="303">
        <v>969</v>
      </c>
      <c r="X302" s="303">
        <v>825</v>
      </c>
      <c r="Y302" s="328">
        <v>7.2225129836144777E-2</v>
      </c>
      <c r="Z302" s="328">
        <v>0.54013377926421402</v>
      </c>
      <c r="AA302" s="323">
        <v>0.6875</v>
      </c>
      <c r="AB302" s="303">
        <v>1999</v>
      </c>
      <c r="AC302" s="303">
        <v>934</v>
      </c>
      <c r="AD302" s="303">
        <v>1065</v>
      </c>
      <c r="AE302" s="328">
        <v>8.0478280123998547E-2</v>
      </c>
      <c r="AF302" s="328">
        <v>0.53276638319159575</v>
      </c>
      <c r="AG302" s="338">
        <v>4</v>
      </c>
      <c r="AH302" s="338">
        <v>55</v>
      </c>
      <c r="AI302" s="303" t="s">
        <v>268</v>
      </c>
      <c r="AJ302" s="303" t="s">
        <v>268</v>
      </c>
      <c r="AK302" s="303" t="s">
        <v>268</v>
      </c>
      <c r="AL302" s="303" t="s">
        <v>268</v>
      </c>
      <c r="AM302" s="303" t="s">
        <v>268</v>
      </c>
      <c r="AN302" s="303" t="s">
        <v>268</v>
      </c>
      <c r="AO302" s="198">
        <f t="shared" si="40"/>
        <v>25056.563151358652</v>
      </c>
      <c r="AP302" s="197">
        <f t="shared" si="41"/>
        <v>23260.770181974684</v>
      </c>
    </row>
    <row r="303" spans="1:42" s="250" customFormat="1">
      <c r="A303" s="278">
        <v>3202</v>
      </c>
      <c r="B303" s="278" t="str">
        <f>VLOOKUP(C303,'station changes (20-21)'!$A$3:$D$298,4,)</f>
        <v>STATE</v>
      </c>
      <c r="C303" s="278">
        <v>3202</v>
      </c>
      <c r="D303" s="287" t="s">
        <v>421</v>
      </c>
      <c r="E303" s="287" t="s">
        <v>530</v>
      </c>
      <c r="F303" s="293" t="s">
        <v>243</v>
      </c>
      <c r="G303" s="297" t="s">
        <v>267</v>
      </c>
      <c r="H303" s="303">
        <v>15080</v>
      </c>
      <c r="I303" s="303">
        <v>15128</v>
      </c>
      <c r="J303" s="303">
        <v>17240</v>
      </c>
      <c r="K303" s="189">
        <v>19307</v>
      </c>
      <c r="L303" s="174">
        <f>L311</f>
        <v>0</v>
      </c>
      <c r="M303" s="174">
        <f>M311</f>
        <v>0</v>
      </c>
      <c r="N303" s="174">
        <f>N311</f>
        <v>0</v>
      </c>
      <c r="O303" s="174">
        <f>O311</f>
        <v>0</v>
      </c>
      <c r="P303" s="191">
        <f>P311</f>
        <v>0</v>
      </c>
      <c r="Q303" s="191"/>
      <c r="R303" s="479"/>
      <c r="S303" s="175">
        <f t="shared" si="38"/>
        <v>0</v>
      </c>
      <c r="T303" s="318" t="e">
        <f t="shared" si="39"/>
        <v>#DIV/0!</v>
      </c>
      <c r="U303" s="323" t="s">
        <v>243</v>
      </c>
      <c r="V303" s="303" t="s">
        <v>243</v>
      </c>
      <c r="W303" s="303" t="s">
        <v>243</v>
      </c>
      <c r="X303" s="303" t="s">
        <v>243</v>
      </c>
      <c r="Y303" s="328" t="s">
        <v>243</v>
      </c>
      <c r="Z303" s="328" t="s">
        <v>243</v>
      </c>
      <c r="AA303" s="323" t="s">
        <v>243</v>
      </c>
      <c r="AB303" s="303" t="s">
        <v>243</v>
      </c>
      <c r="AC303" s="303" t="s">
        <v>243</v>
      </c>
      <c r="AD303" s="303" t="s">
        <v>243</v>
      </c>
      <c r="AE303" s="328" t="s">
        <v>243</v>
      </c>
      <c r="AF303" s="328" t="s">
        <v>243</v>
      </c>
      <c r="AG303" s="338">
        <v>4</v>
      </c>
      <c r="AH303" s="338">
        <v>45</v>
      </c>
      <c r="AI303" s="303" t="s">
        <v>268</v>
      </c>
      <c r="AJ303" s="303" t="s">
        <v>268</v>
      </c>
      <c r="AK303" s="303" t="s">
        <v>268</v>
      </c>
      <c r="AL303" s="303" t="s">
        <v>268</v>
      </c>
      <c r="AM303" s="303" t="s">
        <v>268</v>
      </c>
      <c r="AN303" s="303" t="s">
        <v>268</v>
      </c>
      <c r="AO303" s="198">
        <f t="shared" si="40"/>
        <v>0</v>
      </c>
      <c r="AP303" s="197">
        <f t="shared" si="41"/>
        <v>0</v>
      </c>
    </row>
    <row r="304" spans="1:42" s="250" customFormat="1">
      <c r="A304" s="279">
        <v>3402</v>
      </c>
      <c r="B304" s="279" t="str">
        <f>VLOOKUP(C304,'station changes (20-21)'!$A$3:$D$298,4,)</f>
        <v>STATE</v>
      </c>
      <c r="C304" s="279">
        <v>3402</v>
      </c>
      <c r="D304" s="288" t="s">
        <v>421</v>
      </c>
      <c r="E304" s="288" t="s">
        <v>531</v>
      </c>
      <c r="F304" s="294" t="s">
        <v>243</v>
      </c>
      <c r="G304" s="298" t="s">
        <v>267</v>
      </c>
      <c r="H304" s="304">
        <v>23070</v>
      </c>
      <c r="I304" s="304">
        <v>20503</v>
      </c>
      <c r="J304" s="304">
        <v>20736</v>
      </c>
      <c r="K304" s="16">
        <v>23420</v>
      </c>
      <c r="L304" s="312">
        <f>L348</f>
        <v>0</v>
      </c>
      <c r="M304" s="312">
        <f>M348</f>
        <v>0</v>
      </c>
      <c r="N304" s="312">
        <f>N348</f>
        <v>0</v>
      </c>
      <c r="O304" s="312">
        <f>O348</f>
        <v>0</v>
      </c>
      <c r="P304" s="316">
        <f>P348</f>
        <v>0</v>
      </c>
      <c r="Q304" s="316"/>
      <c r="R304" s="483"/>
      <c r="S304" s="476">
        <f t="shared" si="38"/>
        <v>0</v>
      </c>
      <c r="T304" s="319" t="e">
        <f t="shared" si="39"/>
        <v>#DIV/0!</v>
      </c>
      <c r="U304" s="324" t="s">
        <v>243</v>
      </c>
      <c r="V304" s="304" t="s">
        <v>243</v>
      </c>
      <c r="W304" s="304" t="s">
        <v>243</v>
      </c>
      <c r="X304" s="304" t="s">
        <v>243</v>
      </c>
      <c r="Y304" s="329" t="s">
        <v>243</v>
      </c>
      <c r="Z304" s="329" t="s">
        <v>243</v>
      </c>
      <c r="AA304" s="324" t="s">
        <v>243</v>
      </c>
      <c r="AB304" s="304" t="s">
        <v>243</v>
      </c>
      <c r="AC304" s="304" t="s">
        <v>243</v>
      </c>
      <c r="AD304" s="304" t="s">
        <v>243</v>
      </c>
      <c r="AE304" s="329" t="s">
        <v>243</v>
      </c>
      <c r="AF304" s="329" t="s">
        <v>243</v>
      </c>
      <c r="AG304" s="339">
        <v>5</v>
      </c>
      <c r="AH304" s="339">
        <v>40</v>
      </c>
      <c r="AI304" s="304" t="s">
        <v>268</v>
      </c>
      <c r="AJ304" s="304" t="s">
        <v>268</v>
      </c>
      <c r="AK304" s="304" t="s">
        <v>268</v>
      </c>
      <c r="AL304" s="304" t="s">
        <v>268</v>
      </c>
      <c r="AM304" s="304" t="s">
        <v>268</v>
      </c>
      <c r="AN304" s="304" t="s">
        <v>268</v>
      </c>
      <c r="AO304" s="131">
        <f t="shared" si="40"/>
        <v>0</v>
      </c>
      <c r="AP304" s="128">
        <f t="shared" si="41"/>
        <v>0</v>
      </c>
    </row>
    <row r="305" spans="1:42">
      <c r="A305" s="143"/>
      <c r="B305" s="143"/>
      <c r="C305" s="143"/>
      <c r="L305" s="200"/>
      <c r="M305" s="200"/>
      <c r="N305" s="200"/>
      <c r="O305" s="200"/>
      <c r="P305" s="200"/>
      <c r="Q305" s="200"/>
      <c r="R305" s="200"/>
      <c r="S305" s="200"/>
      <c r="AC305" s="164"/>
      <c r="AO305" s="131" t="e">
        <f t="shared" si="40"/>
        <v>#DIV/0!</v>
      </c>
      <c r="AP305" s="128" t="e">
        <f t="shared" si="41"/>
        <v>#DIV/0!</v>
      </c>
    </row>
    <row r="306" spans="1:42">
      <c r="A306" s="143"/>
      <c r="B306" s="143"/>
      <c r="C306" s="143"/>
      <c r="L306" s="200"/>
      <c r="M306" s="200"/>
      <c r="N306" s="200"/>
      <c r="O306" s="200"/>
      <c r="P306" s="200" t="s">
        <v>550</v>
      </c>
      <c r="Q306" s="200"/>
      <c r="R306" s="200"/>
      <c r="S306" s="200"/>
      <c r="U306" s="166">
        <f>AVERAGE(U6:U304)</f>
        <v>0.41023284313725511</v>
      </c>
      <c r="AO306" s="131" t="e">
        <f t="shared" si="40"/>
        <v>#DIV/0!</v>
      </c>
      <c r="AP306" s="128" t="e">
        <f t="shared" si="41"/>
        <v>#DIV/0!</v>
      </c>
    </row>
    <row r="307" spans="1:42">
      <c r="A307" s="143"/>
      <c r="B307" s="143"/>
      <c r="C307" s="143"/>
      <c r="L307" s="200"/>
      <c r="M307" s="200"/>
      <c r="N307" s="200"/>
      <c r="O307" s="200"/>
      <c r="P307" s="200" t="s">
        <v>551</v>
      </c>
      <c r="Q307" s="200"/>
      <c r="R307" s="200"/>
      <c r="S307" s="200"/>
      <c r="U307" s="166">
        <f>MEDIAN(U6:U304)</f>
        <v>0.45833333333333298</v>
      </c>
      <c r="AO307" s="131" t="e">
        <f t="shared" si="40"/>
        <v>#DIV/0!</v>
      </c>
      <c r="AP307" s="128" t="e">
        <f t="shared" si="41"/>
        <v>#DIV/0!</v>
      </c>
    </row>
    <row r="308" spans="1:42">
      <c r="A308" s="143"/>
      <c r="B308" s="143"/>
      <c r="C308" s="143"/>
      <c r="L308" s="200"/>
      <c r="M308" s="200"/>
      <c r="N308" s="200"/>
      <c r="O308" s="200"/>
      <c r="P308" s="200"/>
      <c r="Q308" s="200"/>
      <c r="R308" s="200"/>
      <c r="S308" s="200"/>
      <c r="AO308" s="131" t="e">
        <f t="shared" si="40"/>
        <v>#DIV/0!</v>
      </c>
      <c r="AP308" s="128" t="e">
        <f t="shared" si="41"/>
        <v>#DIV/0!</v>
      </c>
    </row>
    <row r="309" spans="1:42">
      <c r="A309" s="143"/>
      <c r="B309" s="143"/>
      <c r="C309" s="143"/>
      <c r="L309" s="200"/>
      <c r="M309" s="200"/>
      <c r="N309" s="200"/>
      <c r="O309" s="200"/>
      <c r="P309" s="200"/>
      <c r="Q309" s="200"/>
      <c r="R309" s="200"/>
      <c r="S309" s="200"/>
      <c r="AO309" s="131" t="e">
        <f t="shared" si="40"/>
        <v>#DIV/0!</v>
      </c>
      <c r="AP309" s="128" t="e">
        <f t="shared" si="41"/>
        <v>#DIV/0!</v>
      </c>
    </row>
    <row r="310" spans="1:42">
      <c r="A310" s="143"/>
      <c r="B310" s="143"/>
      <c r="C310" s="143"/>
      <c r="S310" s="200"/>
      <c r="AO310" s="131" t="e">
        <f t="shared" si="40"/>
        <v>#DIV/0!</v>
      </c>
      <c r="AP310" s="128" t="e">
        <f t="shared" si="41"/>
        <v>#DIV/0!</v>
      </c>
    </row>
    <row r="311" spans="1:42">
      <c r="A311" s="143"/>
      <c r="B311" s="143"/>
      <c r="C311" s="143"/>
      <c r="S311" s="200"/>
      <c r="AO311" s="131" t="e">
        <f t="shared" si="40"/>
        <v>#DIV/0!</v>
      </c>
      <c r="AP311" s="128" t="e">
        <f t="shared" si="41"/>
        <v>#DIV/0!</v>
      </c>
    </row>
    <row r="312" spans="1:42">
      <c r="A312" s="143"/>
      <c r="B312" s="143"/>
      <c r="C312" s="143"/>
      <c r="S312" s="200"/>
      <c r="AO312" s="131" t="e">
        <f t="shared" si="40"/>
        <v>#DIV/0!</v>
      </c>
      <c r="AP312" s="128" t="e">
        <f t="shared" si="41"/>
        <v>#DIV/0!</v>
      </c>
    </row>
    <row r="313" spans="1:42">
      <c r="A313" s="143"/>
      <c r="B313" s="143"/>
      <c r="C313" s="143"/>
      <c r="S313" s="200"/>
      <c r="AO313" s="131" t="e">
        <f t="shared" si="40"/>
        <v>#DIV/0!</v>
      </c>
      <c r="AP313" s="128" t="e">
        <f t="shared" si="41"/>
        <v>#DIV/0!</v>
      </c>
    </row>
    <row r="314" spans="1:42">
      <c r="A314" s="143"/>
      <c r="B314" s="143"/>
      <c r="C314" s="143"/>
      <c r="S314" s="200"/>
      <c r="AO314" s="131" t="e">
        <f t="shared" si="40"/>
        <v>#DIV/0!</v>
      </c>
      <c r="AP314" s="128" t="e">
        <f t="shared" si="41"/>
        <v>#DIV/0!</v>
      </c>
    </row>
    <row r="315" spans="1:42">
      <c r="A315" s="143"/>
      <c r="B315" s="143"/>
      <c r="C315" s="143"/>
      <c r="S315" s="200"/>
      <c r="AO315" s="131" t="e">
        <f t="shared" si="40"/>
        <v>#DIV/0!</v>
      </c>
      <c r="AP315" s="128" t="e">
        <f t="shared" si="41"/>
        <v>#DIV/0!</v>
      </c>
    </row>
    <row r="316" spans="1:42">
      <c r="A316" s="143"/>
      <c r="B316" s="143"/>
      <c r="C316" s="143"/>
      <c r="S316" s="200"/>
      <c r="AO316" s="131" t="e">
        <f t="shared" si="40"/>
        <v>#DIV/0!</v>
      </c>
      <c r="AP316" s="128" t="e">
        <f t="shared" si="41"/>
        <v>#DIV/0!</v>
      </c>
    </row>
    <row r="317" spans="1:42">
      <c r="A317" s="143"/>
      <c r="B317" s="143"/>
      <c r="C317" s="143"/>
      <c r="S317" s="200"/>
      <c r="AO317" s="131" t="e">
        <f t="shared" si="40"/>
        <v>#DIV/0!</v>
      </c>
      <c r="AP317" s="128" t="e">
        <f t="shared" si="41"/>
        <v>#DIV/0!</v>
      </c>
    </row>
    <row r="318" spans="1:42">
      <c r="A318" s="143"/>
      <c r="B318" s="143"/>
      <c r="C318" s="143"/>
      <c r="S318" s="200"/>
      <c r="AO318" s="131" t="e">
        <f t="shared" si="40"/>
        <v>#DIV/0!</v>
      </c>
      <c r="AP318" s="128" t="e">
        <f t="shared" si="41"/>
        <v>#DIV/0!</v>
      </c>
    </row>
    <row r="319" spans="1:42">
      <c r="A319" s="143"/>
      <c r="B319" s="143"/>
      <c r="C319" s="143"/>
      <c r="S319" s="200"/>
      <c r="AO319" s="131" t="e">
        <f t="shared" si="40"/>
        <v>#DIV/0!</v>
      </c>
      <c r="AP319" s="128" t="e">
        <f t="shared" si="41"/>
        <v>#DIV/0!</v>
      </c>
    </row>
    <row r="320" spans="1:42">
      <c r="A320" s="143"/>
      <c r="B320" s="143"/>
      <c r="C320" s="143"/>
      <c r="S320" s="200"/>
      <c r="AO320" s="131" t="e">
        <f t="shared" si="40"/>
        <v>#DIV/0!</v>
      </c>
      <c r="AP320" s="128" t="e">
        <f t="shared" si="41"/>
        <v>#DIV/0!</v>
      </c>
    </row>
    <row r="321" spans="1:42">
      <c r="A321" s="143"/>
      <c r="B321" s="143"/>
      <c r="C321" s="143"/>
      <c r="S321" s="200"/>
      <c r="AO321" s="131" t="e">
        <f t="shared" si="40"/>
        <v>#DIV/0!</v>
      </c>
      <c r="AP321" s="128" t="e">
        <f t="shared" si="41"/>
        <v>#DIV/0!</v>
      </c>
    </row>
    <row r="322" spans="1:42">
      <c r="A322" s="143"/>
      <c r="B322" s="143"/>
      <c r="C322" s="143"/>
      <c r="S322" s="200"/>
      <c r="AO322" s="131" t="e">
        <f t="shared" si="40"/>
        <v>#DIV/0!</v>
      </c>
      <c r="AP322" s="128" t="e">
        <f t="shared" si="41"/>
        <v>#DIV/0!</v>
      </c>
    </row>
    <row r="323" spans="1:42">
      <c r="A323" s="143"/>
      <c r="B323" s="143"/>
      <c r="C323" s="143"/>
      <c r="S323" s="200"/>
      <c r="AO323" s="131" t="e">
        <f t="shared" si="40"/>
        <v>#DIV/0!</v>
      </c>
      <c r="AP323" s="128" t="e">
        <f t="shared" si="41"/>
        <v>#DIV/0!</v>
      </c>
    </row>
    <row r="324" spans="1:42">
      <c r="A324" s="143"/>
      <c r="B324" s="143"/>
      <c r="C324" s="143"/>
      <c r="S324" s="200"/>
      <c r="AO324" s="131" t="e">
        <f t="shared" si="40"/>
        <v>#DIV/0!</v>
      </c>
      <c r="AP324" s="128" t="e">
        <f t="shared" si="41"/>
        <v>#DIV/0!</v>
      </c>
    </row>
    <row r="325" spans="1:42">
      <c r="A325" s="143"/>
      <c r="B325" s="143"/>
      <c r="C325" s="143"/>
      <c r="S325" s="200"/>
      <c r="AO325" s="131" t="e">
        <f t="shared" si="40"/>
        <v>#DIV/0!</v>
      </c>
      <c r="AP325" s="128" t="e">
        <f t="shared" si="41"/>
        <v>#DIV/0!</v>
      </c>
    </row>
    <row r="326" spans="1:42">
      <c r="A326" s="143"/>
      <c r="B326" s="143"/>
      <c r="C326" s="143"/>
      <c r="S326" s="200"/>
      <c r="AO326" s="131" t="e">
        <f t="shared" si="40"/>
        <v>#DIV/0!</v>
      </c>
      <c r="AP326" s="128" t="e">
        <f t="shared" si="41"/>
        <v>#DIV/0!</v>
      </c>
    </row>
    <row r="327" spans="1:42">
      <c r="A327" s="143"/>
      <c r="B327" s="143"/>
      <c r="C327" s="143"/>
      <c r="S327" s="200"/>
      <c r="AO327" s="131" t="e">
        <f t="shared" ref="AO327:AO357" si="43">AVERAGE(N327:R327)+_xlfn.STDEV.P(N327:R327)*1.75</f>
        <v>#DIV/0!</v>
      </c>
      <c r="AP327" s="128" t="e">
        <f t="shared" ref="AP327:AP357" si="44">AVERAGE(N327:R327)-_xlfn.STDEV.P(N327:R327)*1.75</f>
        <v>#DIV/0!</v>
      </c>
    </row>
    <row r="328" spans="1:42">
      <c r="A328" s="143"/>
      <c r="B328" s="143"/>
      <c r="C328" s="143"/>
      <c r="S328" s="200"/>
      <c r="AO328" s="131" t="e">
        <f t="shared" si="43"/>
        <v>#DIV/0!</v>
      </c>
      <c r="AP328" s="128" t="e">
        <f t="shared" si="44"/>
        <v>#DIV/0!</v>
      </c>
    </row>
    <row r="329" spans="1:42">
      <c r="A329" s="143"/>
      <c r="B329" s="143"/>
      <c r="C329" s="143"/>
      <c r="S329" s="200"/>
      <c r="AO329" s="131" t="e">
        <f t="shared" si="43"/>
        <v>#DIV/0!</v>
      </c>
      <c r="AP329" s="128" t="e">
        <f t="shared" si="44"/>
        <v>#DIV/0!</v>
      </c>
    </row>
    <row r="330" spans="1:42">
      <c r="A330" s="143"/>
      <c r="B330" s="143"/>
      <c r="C330" s="143"/>
      <c r="S330" s="200"/>
      <c r="AO330" s="131" t="e">
        <f t="shared" si="43"/>
        <v>#DIV/0!</v>
      </c>
      <c r="AP330" s="128" t="e">
        <f t="shared" si="44"/>
        <v>#DIV/0!</v>
      </c>
    </row>
    <row r="331" spans="1:42">
      <c r="A331" s="167"/>
      <c r="B331" s="167"/>
      <c r="C331" s="167"/>
      <c r="S331" s="200"/>
      <c r="AO331" s="131" t="e">
        <f t="shared" si="43"/>
        <v>#DIV/0!</v>
      </c>
      <c r="AP331" s="128" t="e">
        <f t="shared" si="44"/>
        <v>#DIV/0!</v>
      </c>
    </row>
    <row r="332" spans="1:42">
      <c r="A332" s="143"/>
      <c r="B332" s="143"/>
      <c r="C332" s="143"/>
      <c r="S332" s="200"/>
      <c r="AO332" s="131" t="e">
        <f t="shared" si="43"/>
        <v>#DIV/0!</v>
      </c>
      <c r="AP332" s="128" t="e">
        <f t="shared" si="44"/>
        <v>#DIV/0!</v>
      </c>
    </row>
    <row r="333" spans="1:42">
      <c r="A333" s="143"/>
      <c r="B333" s="143"/>
      <c r="C333" s="143"/>
      <c r="S333" s="200"/>
      <c r="AO333" s="131" t="e">
        <f t="shared" si="43"/>
        <v>#DIV/0!</v>
      </c>
      <c r="AP333" s="128" t="e">
        <f t="shared" si="44"/>
        <v>#DIV/0!</v>
      </c>
    </row>
    <row r="334" spans="1:42">
      <c r="A334" s="143">
        <v>85307</v>
      </c>
      <c r="B334" s="143"/>
      <c r="C334" s="143">
        <v>85307</v>
      </c>
      <c r="K334" s="351"/>
      <c r="L334" s="351"/>
      <c r="M334" s="351"/>
      <c r="N334" s="351"/>
      <c r="O334" s="351"/>
      <c r="P334" s="351"/>
      <c r="Q334" s="351"/>
      <c r="R334" s="351"/>
      <c r="S334" s="304"/>
      <c r="AO334" s="131" t="e">
        <f t="shared" si="43"/>
        <v>#DIV/0!</v>
      </c>
      <c r="AP334" s="128" t="e">
        <f t="shared" si="44"/>
        <v>#DIV/0!</v>
      </c>
    </row>
    <row r="335" spans="1:42">
      <c r="A335" s="143">
        <v>180017</v>
      </c>
      <c r="B335" s="143"/>
      <c r="C335" s="143">
        <v>180017</v>
      </c>
      <c r="K335" s="351"/>
      <c r="L335" s="351"/>
      <c r="M335" s="351"/>
      <c r="N335" s="351"/>
      <c r="O335" s="351"/>
      <c r="P335" s="351"/>
      <c r="Q335" s="351"/>
      <c r="R335" s="351"/>
      <c r="S335" s="304"/>
      <c r="AO335" s="131" t="e">
        <f t="shared" si="43"/>
        <v>#DIV/0!</v>
      </c>
      <c r="AP335" s="128" t="e">
        <f t="shared" si="44"/>
        <v>#DIV/0!</v>
      </c>
    </row>
    <row r="336" spans="1:42">
      <c r="A336" s="143">
        <v>180020</v>
      </c>
      <c r="B336" s="143"/>
      <c r="C336" s="143">
        <v>180020</v>
      </c>
      <c r="K336" s="351"/>
      <c r="L336" s="351"/>
      <c r="M336" s="351"/>
      <c r="N336" s="351"/>
      <c r="O336" s="351"/>
      <c r="P336" s="351"/>
      <c r="Q336" s="351"/>
      <c r="R336" s="351"/>
      <c r="S336" s="304"/>
      <c r="AO336" s="131" t="e">
        <f t="shared" si="43"/>
        <v>#DIV/0!</v>
      </c>
      <c r="AP336" s="128" t="e">
        <f t="shared" si="44"/>
        <v>#DIV/0!</v>
      </c>
    </row>
    <row r="337" spans="1:42">
      <c r="A337" s="143">
        <v>180021</v>
      </c>
      <c r="B337" s="143"/>
      <c r="C337" s="143">
        <v>180021</v>
      </c>
      <c r="K337" s="351"/>
      <c r="L337" s="351"/>
      <c r="M337" s="351"/>
      <c r="N337" s="351"/>
      <c r="O337" s="351"/>
      <c r="P337" s="351"/>
      <c r="Q337" s="351"/>
      <c r="R337" s="351"/>
      <c r="S337" s="304"/>
      <c r="AO337" s="131" t="e">
        <f t="shared" si="43"/>
        <v>#DIV/0!</v>
      </c>
      <c r="AP337" s="128" t="e">
        <f t="shared" si="44"/>
        <v>#DIV/0!</v>
      </c>
    </row>
    <row r="338" spans="1:42">
      <c r="A338" s="143">
        <v>180061</v>
      </c>
      <c r="B338" s="143"/>
      <c r="C338" s="143">
        <v>180061</v>
      </c>
      <c r="K338" s="351"/>
      <c r="L338" s="351"/>
      <c r="M338" s="351"/>
      <c r="N338" s="351"/>
      <c r="O338" s="351"/>
      <c r="P338" s="351"/>
      <c r="Q338" s="351"/>
      <c r="R338" s="351"/>
      <c r="S338" s="304"/>
      <c r="AO338" s="131" t="e">
        <f t="shared" si="43"/>
        <v>#DIV/0!</v>
      </c>
      <c r="AP338" s="128" t="e">
        <f t="shared" si="44"/>
        <v>#DIV/0!</v>
      </c>
    </row>
    <row r="339" spans="1:42">
      <c r="A339" s="143">
        <v>180112</v>
      </c>
      <c r="B339" s="143"/>
      <c r="C339" s="143">
        <v>180112</v>
      </c>
      <c r="K339" s="351"/>
      <c r="L339" s="351"/>
      <c r="M339" s="351"/>
      <c r="N339" s="351"/>
      <c r="O339" s="351"/>
      <c r="P339" s="351"/>
      <c r="Q339" s="351"/>
      <c r="R339" s="351"/>
      <c r="S339" s="304"/>
      <c r="AO339" s="131" t="e">
        <f t="shared" si="43"/>
        <v>#DIV/0!</v>
      </c>
      <c r="AP339" s="128" t="e">
        <f t="shared" si="44"/>
        <v>#DIV/0!</v>
      </c>
    </row>
    <row r="340" spans="1:42">
      <c r="A340" s="143">
        <v>180118</v>
      </c>
      <c r="B340" s="143"/>
      <c r="C340" s="143">
        <v>180118</v>
      </c>
      <c r="K340" s="351"/>
      <c r="L340" s="351"/>
      <c r="M340" s="351"/>
      <c r="N340" s="351"/>
      <c r="O340" s="351"/>
      <c r="P340" s="351"/>
      <c r="Q340" s="351"/>
      <c r="R340" s="351"/>
      <c r="S340" s="304"/>
      <c r="AO340" s="131" t="e">
        <f t="shared" si="43"/>
        <v>#DIV/0!</v>
      </c>
      <c r="AP340" s="128" t="e">
        <f t="shared" si="44"/>
        <v>#DIV/0!</v>
      </c>
    </row>
    <row r="341" spans="1:42">
      <c r="A341" s="143">
        <v>180122</v>
      </c>
      <c r="B341" s="143"/>
      <c r="C341" s="143">
        <v>180122</v>
      </c>
      <c r="K341" s="351"/>
      <c r="L341" s="351"/>
      <c r="M341" s="351"/>
      <c r="N341" s="351"/>
      <c r="O341" s="351"/>
      <c r="P341" s="351"/>
      <c r="Q341" s="351"/>
      <c r="R341" s="351"/>
      <c r="S341" s="304"/>
      <c r="AO341" s="131" t="e">
        <f t="shared" si="43"/>
        <v>#DIV/0!</v>
      </c>
      <c r="AP341" s="128" t="e">
        <f t="shared" si="44"/>
        <v>#DIV/0!</v>
      </c>
    </row>
    <row r="342" spans="1:42">
      <c r="A342" s="143">
        <v>180186</v>
      </c>
      <c r="B342" s="143"/>
      <c r="C342" s="143">
        <v>180186</v>
      </c>
      <c r="K342" s="351"/>
      <c r="L342" s="351"/>
      <c r="M342" s="351"/>
      <c r="N342" s="351"/>
      <c r="O342" s="351"/>
      <c r="P342" s="351"/>
      <c r="Q342" s="351"/>
      <c r="R342" s="351"/>
      <c r="S342" s="304"/>
      <c r="AO342" s="131" t="e">
        <f t="shared" si="43"/>
        <v>#DIV/0!</v>
      </c>
      <c r="AP342" s="128" t="e">
        <f t="shared" si="44"/>
        <v>#DIV/0!</v>
      </c>
    </row>
    <row r="343" spans="1:42">
      <c r="A343" s="143">
        <v>180188</v>
      </c>
      <c r="B343" s="143"/>
      <c r="C343" s="143">
        <v>180188</v>
      </c>
      <c r="K343" s="351"/>
      <c r="L343" s="351"/>
      <c r="M343" s="351"/>
      <c r="N343" s="351"/>
      <c r="O343" s="351"/>
      <c r="P343" s="351"/>
      <c r="Q343" s="351"/>
      <c r="R343" s="351"/>
      <c r="S343" s="304"/>
      <c r="AO343" s="131" t="e">
        <f t="shared" si="43"/>
        <v>#DIV/0!</v>
      </c>
      <c r="AP343" s="128" t="e">
        <f t="shared" si="44"/>
        <v>#DIV/0!</v>
      </c>
    </row>
    <row r="344" spans="1:42">
      <c r="A344" s="143">
        <v>180194</v>
      </c>
      <c r="B344" s="143"/>
      <c r="C344" s="143">
        <v>180194</v>
      </c>
      <c r="K344" s="351"/>
      <c r="L344" s="351"/>
      <c r="M344" s="351"/>
      <c r="N344" s="351"/>
      <c r="O344" s="351"/>
      <c r="P344" s="351"/>
      <c r="Q344" s="351"/>
      <c r="R344" s="351"/>
      <c r="S344" s="304"/>
      <c r="AO344" s="131" t="e">
        <f t="shared" si="43"/>
        <v>#DIV/0!</v>
      </c>
      <c r="AP344" s="128" t="e">
        <f t="shared" si="44"/>
        <v>#DIV/0!</v>
      </c>
    </row>
    <row r="345" spans="1:42">
      <c r="A345" s="143">
        <v>180197</v>
      </c>
      <c r="B345" s="143"/>
      <c r="C345" s="143">
        <v>180197</v>
      </c>
      <c r="K345" s="351"/>
      <c r="L345" s="351"/>
      <c r="M345" s="351"/>
      <c r="N345" s="351"/>
      <c r="O345" s="351"/>
      <c r="P345" s="351"/>
      <c r="Q345" s="351"/>
      <c r="R345" s="351"/>
      <c r="S345" s="304"/>
      <c r="AO345" s="131" t="e">
        <f t="shared" si="43"/>
        <v>#DIV/0!</v>
      </c>
      <c r="AP345" s="128" t="e">
        <f t="shared" si="44"/>
        <v>#DIV/0!</v>
      </c>
    </row>
    <row r="346" spans="1:42">
      <c r="A346" s="143">
        <v>180203</v>
      </c>
      <c r="B346" s="143"/>
      <c r="C346" s="143">
        <v>180203</v>
      </c>
      <c r="K346" s="351"/>
      <c r="L346" s="351"/>
      <c r="M346" s="351"/>
      <c r="N346" s="351"/>
      <c r="O346" s="351"/>
      <c r="P346" s="351"/>
      <c r="Q346" s="351"/>
      <c r="R346" s="351"/>
      <c r="S346" s="304"/>
      <c r="AO346" s="131" t="e">
        <f t="shared" si="43"/>
        <v>#DIV/0!</v>
      </c>
      <c r="AP346" s="128" t="e">
        <f t="shared" si="44"/>
        <v>#DIV/0!</v>
      </c>
    </row>
    <row r="347" spans="1:42">
      <c r="A347" s="165">
        <v>180204</v>
      </c>
      <c r="B347" s="165"/>
      <c r="C347" s="165">
        <v>180204</v>
      </c>
      <c r="K347" s="351"/>
      <c r="L347" s="351"/>
      <c r="M347" s="351"/>
      <c r="N347" s="351"/>
      <c r="O347" s="351"/>
      <c r="P347" s="351"/>
      <c r="Q347" s="351"/>
      <c r="R347" s="351"/>
      <c r="S347" s="304"/>
      <c r="AO347" s="131" t="e">
        <f t="shared" si="43"/>
        <v>#DIV/0!</v>
      </c>
      <c r="AP347" s="128" t="e">
        <f t="shared" si="44"/>
        <v>#DIV/0!</v>
      </c>
    </row>
    <row r="348" spans="1:42">
      <c r="A348" s="143">
        <v>180208</v>
      </c>
      <c r="B348" s="143"/>
      <c r="C348" s="143">
        <v>180208</v>
      </c>
      <c r="K348" s="351"/>
      <c r="L348" s="351"/>
      <c r="M348" s="351"/>
      <c r="N348" s="351"/>
      <c r="O348" s="351"/>
      <c r="P348" s="351"/>
      <c r="Q348" s="351"/>
      <c r="R348" s="351"/>
      <c r="S348" s="304"/>
      <c r="AO348" s="131" t="e">
        <f t="shared" si="43"/>
        <v>#DIV/0!</v>
      </c>
      <c r="AP348" s="128" t="e">
        <f t="shared" si="44"/>
        <v>#DIV/0!</v>
      </c>
    </row>
    <row r="349" spans="1:42">
      <c r="A349" s="143">
        <v>180358</v>
      </c>
      <c r="B349" s="143"/>
      <c r="C349" s="143">
        <v>180358</v>
      </c>
      <c r="K349" s="351"/>
      <c r="L349" s="351"/>
      <c r="M349" s="351"/>
      <c r="N349" s="351"/>
      <c r="O349" s="351"/>
      <c r="P349" s="351"/>
      <c r="Q349" s="351"/>
      <c r="R349" s="351"/>
      <c r="S349" s="304"/>
      <c r="AO349" s="131" t="e">
        <f t="shared" si="43"/>
        <v>#DIV/0!</v>
      </c>
      <c r="AP349" s="128" t="e">
        <f t="shared" si="44"/>
        <v>#DIV/0!</v>
      </c>
    </row>
    <row r="350" spans="1:42">
      <c r="A350" s="143">
        <v>181001</v>
      </c>
      <c r="B350" s="143"/>
      <c r="C350" s="143">
        <v>181001</v>
      </c>
      <c r="K350" s="351"/>
      <c r="L350" s="351"/>
      <c r="M350" s="351"/>
      <c r="N350" s="351"/>
      <c r="O350" s="351"/>
      <c r="P350" s="351"/>
      <c r="Q350" s="351"/>
      <c r="R350" s="351"/>
      <c r="S350" s="304"/>
      <c r="AO350" s="131" t="e">
        <f t="shared" si="43"/>
        <v>#DIV/0!</v>
      </c>
      <c r="AP350" s="128" t="e">
        <f t="shared" si="44"/>
        <v>#DIV/0!</v>
      </c>
    </row>
    <row r="351" spans="1:42">
      <c r="A351" s="143">
        <v>181003</v>
      </c>
      <c r="B351" s="143"/>
      <c r="C351" s="143">
        <v>181003</v>
      </c>
      <c r="K351" s="351"/>
      <c r="L351" s="351"/>
      <c r="M351" s="351"/>
      <c r="N351" s="351"/>
      <c r="O351" s="351"/>
      <c r="P351" s="351"/>
      <c r="Q351" s="351"/>
      <c r="R351" s="351"/>
      <c r="S351" s="304"/>
      <c r="AO351" s="131" t="e">
        <f t="shared" si="43"/>
        <v>#DIV/0!</v>
      </c>
      <c r="AP351" s="128" t="e">
        <f t="shared" si="44"/>
        <v>#DIV/0!</v>
      </c>
    </row>
    <row r="352" spans="1:42">
      <c r="A352" s="143">
        <v>189920</v>
      </c>
      <c r="B352" s="143"/>
      <c r="C352" s="143">
        <v>189920</v>
      </c>
      <c r="S352" s="200"/>
      <c r="AO352" s="131" t="e">
        <f t="shared" si="43"/>
        <v>#DIV/0!</v>
      </c>
      <c r="AP352" s="128" t="e">
        <f t="shared" si="44"/>
        <v>#DIV/0!</v>
      </c>
    </row>
    <row r="353" spans="1:42">
      <c r="A353" s="143">
        <v>972200</v>
      </c>
      <c r="B353" s="143"/>
      <c r="C353" s="143">
        <v>972200</v>
      </c>
      <c r="S353" s="200"/>
      <c r="AO353" s="131" t="e">
        <f t="shared" si="43"/>
        <v>#DIV/0!</v>
      </c>
      <c r="AP353" s="128" t="e">
        <f t="shared" si="44"/>
        <v>#DIV/0!</v>
      </c>
    </row>
    <row r="354" spans="1:42">
      <c r="A354" s="143">
        <v>972210</v>
      </c>
      <c r="B354" s="143"/>
      <c r="C354" s="143">
        <v>972210</v>
      </c>
      <c r="S354" s="200"/>
      <c r="AO354" s="131" t="e">
        <f t="shared" si="43"/>
        <v>#DIV/0!</v>
      </c>
      <c r="AP354" s="128" t="e">
        <f t="shared" si="44"/>
        <v>#DIV/0!</v>
      </c>
    </row>
    <row r="355" spans="1:42">
      <c r="A355" s="143" t="s">
        <v>170</v>
      </c>
      <c r="B355" s="143"/>
      <c r="C355" s="143" t="s">
        <v>170</v>
      </c>
      <c r="K355" s="351"/>
      <c r="L355" s="351"/>
      <c r="M355" s="351"/>
      <c r="N355" s="351"/>
      <c r="O355" s="351"/>
      <c r="P355" s="351"/>
      <c r="Q355" s="351"/>
      <c r="R355" s="351"/>
      <c r="S355" s="304"/>
      <c r="AO355" s="131" t="e">
        <f t="shared" si="43"/>
        <v>#DIV/0!</v>
      </c>
      <c r="AP355" s="128" t="e">
        <f t="shared" si="44"/>
        <v>#DIV/0!</v>
      </c>
    </row>
    <row r="356" spans="1:42">
      <c r="A356" s="143" t="s">
        <v>171</v>
      </c>
      <c r="B356" s="143"/>
      <c r="C356" s="143" t="s">
        <v>171</v>
      </c>
      <c r="S356" s="200"/>
      <c r="AO356" s="131" t="e">
        <f t="shared" si="43"/>
        <v>#DIV/0!</v>
      </c>
      <c r="AP356" s="128" t="e">
        <f t="shared" si="44"/>
        <v>#DIV/0!</v>
      </c>
    </row>
    <row r="357" spans="1:42">
      <c r="S357" s="200"/>
      <c r="AO357" s="131" t="e">
        <f t="shared" si="43"/>
        <v>#DIV/0!</v>
      </c>
      <c r="AP357" s="128" t="e">
        <f t="shared" si="44"/>
        <v>#DIV/0!</v>
      </c>
    </row>
  </sheetData>
  <autoFilter ref="C5:AN357" xr:uid="{64BAF1B4-144A-4AF3-B0F0-2BF2404BFEA7}">
    <sortState xmlns:xlrd2="http://schemas.microsoft.com/office/spreadsheetml/2017/richdata2" ref="C6:AN304">
      <sortCondition ref="C5:C304"/>
    </sortState>
  </autoFilter>
  <sortState xmlns:xlrd2="http://schemas.microsoft.com/office/spreadsheetml/2017/richdata2" ref="A6:AP357">
    <sortCondition ref="B6:B357"/>
  </sortState>
  <mergeCells count="5">
    <mergeCell ref="C1:AN1"/>
    <mergeCell ref="C2:AN2"/>
    <mergeCell ref="H4:P4"/>
    <mergeCell ref="AI4:AN4"/>
    <mergeCell ref="U3:Z3"/>
  </mergeCells>
  <conditionalFormatting sqref="C257:C258">
    <cfRule type="duplicateValues" dxfId="95" priority="968"/>
  </conditionalFormatting>
  <conditionalFormatting sqref="C243:C256">
    <cfRule type="duplicateValues" dxfId="94" priority="969"/>
  </conditionalFormatting>
  <conditionalFormatting sqref="C265">
    <cfRule type="duplicateValues" dxfId="93" priority="970"/>
  </conditionalFormatting>
  <conditionalFormatting sqref="C259:C264">
    <cfRule type="duplicateValues" dxfId="92" priority="971"/>
  </conditionalFormatting>
  <conditionalFormatting sqref="C257:C265">
    <cfRule type="duplicateValues" dxfId="91" priority="972"/>
  </conditionalFormatting>
  <conditionalFormatting sqref="U243:U304">
    <cfRule type="top10" dxfId="90" priority="799" percent="1" rank="10"/>
  </conditionalFormatting>
  <conditionalFormatting sqref="AI7:AJ8 AI10:AJ10 AJ6:AN242 AI242:AN242 AI237:AN238">
    <cfRule type="cellIs" dxfId="89" priority="798" operator="equal">
      <formula>0</formula>
    </cfRule>
  </conditionalFormatting>
  <conditionalFormatting sqref="AL7:AL8 AL10">
    <cfRule type="cellIs" dxfId="88" priority="797" operator="equal">
      <formula>0</formula>
    </cfRule>
  </conditionalFormatting>
  <conditionalFormatting sqref="AI9:AJ9">
    <cfRule type="cellIs" dxfId="87" priority="796" operator="equal">
      <formula>0</formula>
    </cfRule>
  </conditionalFormatting>
  <conditionalFormatting sqref="AL9">
    <cfRule type="cellIs" dxfId="86" priority="795" operator="equal">
      <formula>0</formula>
    </cfRule>
  </conditionalFormatting>
  <conditionalFormatting sqref="AJ7:AK8 AJ10:AK10">
    <cfRule type="cellIs" dxfId="85" priority="794" operator="equal">
      <formula>0</formula>
    </cfRule>
  </conditionalFormatting>
  <conditionalFormatting sqref="AJ9:AK9">
    <cfRule type="cellIs" dxfId="84" priority="793" operator="equal">
      <formula>0</formula>
    </cfRule>
  </conditionalFormatting>
  <conditionalFormatting sqref="AI6:AJ6">
    <cfRule type="cellIs" dxfId="83" priority="792" operator="equal">
      <formula>0</formula>
    </cfRule>
  </conditionalFormatting>
  <conditionalFormatting sqref="AM7:AN8 AM10:AN10">
    <cfRule type="cellIs" dxfId="82" priority="789" operator="equal">
      <formula>0</formula>
    </cfRule>
  </conditionalFormatting>
  <conditionalFormatting sqref="AL240 AI240:AJ240">
    <cfRule type="cellIs" dxfId="81" priority="786" stopIfTrue="1" operator="equal">
      <formula>0</formula>
    </cfRule>
  </conditionalFormatting>
  <conditionalFormatting sqref="AJ240:AK240">
    <cfRule type="cellIs" dxfId="80" priority="785" stopIfTrue="1" operator="equal">
      <formula>0</formula>
    </cfRule>
  </conditionalFormatting>
  <conditionalFormatting sqref="AM9:AN9">
    <cfRule type="cellIs" dxfId="79" priority="788" operator="equal">
      <formula>0</formula>
    </cfRule>
  </conditionalFormatting>
  <conditionalFormatting sqref="AM240:AN240">
    <cfRule type="cellIs" dxfId="78" priority="784" stopIfTrue="1" operator="equal">
      <formula>0</formula>
    </cfRule>
  </conditionalFormatting>
  <conditionalFormatting sqref="AI11:AJ12 AI14:AJ16 AI18:AJ20 AI22:AJ24 AI26:AJ28 AI30:AJ32 AI34:AJ36 AI38:AJ40 AI42:AJ44 AI46:AJ48 AI50:AJ52 AI54:AJ56 AI58:AJ60 AI62:AJ64 AI66:AJ68 AI70:AJ72 AI74:AJ76 AI78:AJ80 AI82:AJ84 AI86:AJ88 AI90:AJ92 AI94:AJ96 AI98:AJ100 AI102:AJ104 AI106:AJ108 AI110:AJ112 AI114:AJ116 AI118:AJ120 AI122:AJ124 AI126:AJ128 AI131:AJ133 AI135:AJ137 AI139:AJ141 AI143:AJ145 AI147:AJ150 AI152:AJ154 AI156:AJ158 AI160:AJ162 AI164:AJ166 AI168:AJ171 AI173:AJ175 AI177:AJ179 AI181:AJ183 AI185:AJ187 AI189:AJ191 AI193:AJ195 AI197:AJ199 AI201:AJ203 AI205:AJ207 AI209:AJ211 AI213:AJ215 AI217:AJ219 AI221:AJ223 AI225:AJ227 AI230:AJ232 AI234:AJ240">
    <cfRule type="cellIs" dxfId="77" priority="783" operator="equal">
      <formula>0</formula>
    </cfRule>
  </conditionalFormatting>
  <conditionalFormatting sqref="AL11:AL12 AL14:AL16 AL18:AL20 AL22:AL24 AL26:AL28 AL30:AL32 AL34:AL36 AL38:AL40 AL42:AL44 AL46:AL48 AL50:AL52 AL54:AL56 AL58:AL60 AL62:AL64 AL66:AL68 AL70:AL72 AL74:AL76 AL78:AL80 AL82:AL84 AL86:AL88 AL90:AL92 AL94:AL96 AL98:AL100 AL102:AL104 AL106:AL108 AL110:AL112 AL114:AL116 AL118:AL120 AL122:AL124 AL126:AL128 AL131:AL133 AL135:AL137 AL139:AL141 AL143:AL145 AL147:AL150 AL152:AL154 AL156:AL158 AL160:AL162 AL164:AL166 AL168:AL171 AL173:AL175 AL177:AL179 AL181:AL183 AL185:AL187 AL189:AL191 AL193:AL195 AL197:AL199 AL201:AL203 AL205:AL207 AL209:AL211 AL213:AL215 AL217:AL219 AL221:AL223 AL225:AL227 AL230:AL232 AL234:AL240">
    <cfRule type="cellIs" dxfId="76" priority="782" operator="equal">
      <formula>0</formula>
    </cfRule>
  </conditionalFormatting>
  <conditionalFormatting sqref="AI13:AJ13 AI17:AJ17 AI21:AJ21 AI25:AJ25 AI29:AJ29 AI33:AJ33 AI37:AJ37 AI41:AJ41 AI45:AJ45 AI49:AJ49 AI53:AJ53 AI57:AJ57 AI61:AJ61 AI65:AJ65 AI69:AJ69 AI73:AJ73 AI77:AJ77 AI81:AJ81 AI85:AJ85 AI89:AJ89 AI93:AJ93 AI97:AJ97 AI101:AJ101 AI105:AJ105 AI109:AJ109 AI113:AJ113 AI117:AJ117 AI121:AJ121 AI125:AJ125 AI129:AJ130 AI134:AJ134 AI138:AJ138 AI142:AJ142 AI146:AJ146 AI151:AJ151 AI155:AJ155 AI159:AJ159 AI163:AJ163 AI167:AJ167 AI172:AJ172 AI176:AJ176 AI180:AJ180 AI184:AJ184 AI188:AJ188 AI192:AJ192 AI196:AJ196 AI200:AJ200 AI204:AJ204 AI208:AJ208 AI212:AJ212 AI216:AJ216 AI220:AJ220 AI224:AJ224 AI228:AJ229 AI233:AJ233 AI241:AJ241 AI239:AJ239">
    <cfRule type="cellIs" dxfId="75" priority="781" operator="equal">
      <formula>0</formula>
    </cfRule>
  </conditionalFormatting>
  <conditionalFormatting sqref="AL13 AL17 AL21 AL25 AL29 AL33 AL37 AL41 AL45 AL49 AL53 AL57 AL61 AL65 AL69 AL73 AL77 AL81 AL85 AL89 AL93 AL97 AL101 AL105 AL109 AL113 AL117 AL121 AL125 AL129:AL130 AL134 AL138 AL142 AL146 AL151 AL155 AL159 AL163 AL167 AL172 AL176 AL180 AL184 AL188 AL192 AL196 AL200 AL204 AL208 AL212 AL216 AL220 AL224 AL228:AL229 AL233 AL241 AL239">
    <cfRule type="cellIs" dxfId="74" priority="780" operator="equal">
      <formula>0</formula>
    </cfRule>
  </conditionalFormatting>
  <conditionalFormatting sqref="AJ11:AK12 AJ14:AK16 AJ18:AK20 AJ22:AK24 AJ26:AK28 AJ30:AK32 AJ34:AK36 AJ38:AK40 AJ42:AK44 AJ46:AK48 AJ50:AK52 AJ54:AK56 AJ58:AK60 AJ62:AK64 AJ66:AK68 AJ70:AK72 AJ74:AK76 AJ78:AK80 AJ82:AK84 AJ86:AK88 AJ90:AK92 AJ94:AK96 AJ98:AK100 AJ102:AK104 AJ106:AK108 AJ110:AK112 AJ114:AK116 AJ118:AK120 AJ122:AK124 AJ126:AK128 AJ131:AK133 AJ135:AK137 AJ139:AK141 AJ143:AK145 AJ147:AK150 AJ152:AK154 AJ156:AK158 AJ160:AK162 AJ164:AK166 AJ168:AK171 AJ173:AK175 AJ177:AK179 AJ181:AK183 AJ185:AK187 AJ189:AK191 AJ193:AK195 AJ197:AK199 AJ201:AK203 AJ205:AK207 AJ209:AK211 AJ213:AK215 AJ217:AK219 AJ221:AK223 AJ225:AK227 AJ230:AK232 AJ234:AK240">
    <cfRule type="cellIs" dxfId="73" priority="779" operator="equal">
      <formula>0</formula>
    </cfRule>
  </conditionalFormatting>
  <conditionalFormatting sqref="AJ13:AK13 AJ17:AK17 AJ21:AK21 AJ25:AK25 AJ29:AK29 AJ33:AK33 AJ37:AK37 AJ41:AK41 AJ45:AK45 AJ49:AK49 AJ53:AK53 AJ57:AK57 AJ61:AK61 AJ65:AK65 AJ69:AK69 AJ73:AK73 AJ77:AK77 AJ81:AK81 AJ85:AK85 AJ89:AK89 AJ93:AK93 AJ97:AK97 AJ101:AK101 AJ105:AK105 AJ109:AK109 AJ113:AK113 AJ117:AK117 AJ121:AK121 AJ125:AK125 AJ129:AK130 AJ134:AK134 AJ138:AK138 AJ142:AK142 AJ146:AK146 AJ151:AK151 AJ155:AK155 AJ159:AK159 AJ163:AK163 AJ167:AK167 AJ172:AK172 AJ176:AK176 AJ180:AK180 AJ184:AK184 AJ188:AK188 AJ192:AK192 AJ196:AK196 AJ200:AK200 AJ204:AK204 AJ208:AK208 AJ212:AK212 AJ216:AK216 AJ220:AK220 AJ224:AK224 AJ228:AK229 AJ233:AK233 AJ241:AK241 AJ239:AK239">
    <cfRule type="cellIs" dxfId="72" priority="778" operator="equal">
      <formula>0</formula>
    </cfRule>
  </conditionalFormatting>
  <conditionalFormatting sqref="AM11:AN12 AM14:AN16 AM18:AN20 AM22:AN24 AM26:AN28 AM30:AN32 AM34:AN36 AM38:AN40 AM42:AN44 AM46:AN48 AM50:AN52 AM54:AN56 AM58:AN60 AM62:AN64 AM66:AN68 AM70:AN72 AM74:AN76 AM78:AN80 AM82:AN84 AM86:AN88 AM90:AN92 AM94:AN96 AM98:AN100 AM102:AN104 AM106:AN108 AM110:AN112 AM114:AN116 AM118:AN120 AM122:AN124 AM126:AN128 AM131:AN133 AM135:AN137 AM139:AN141 AM143:AN145 AM147:AN150 AM152:AN154 AM156:AN158 AM160:AN162 AM164:AN166 AM168:AN171 AM173:AN175 AM177:AN179 AM181:AN183 AM185:AN187 AM189:AN191 AM193:AN195 AM197:AN199 AM201:AN203 AM205:AN207 AM209:AN211 AM213:AN215 AM217:AN219 AM221:AN223 AM225:AN227 AM230:AN232 AM234:AN240">
    <cfRule type="cellIs" dxfId="71" priority="777" operator="equal">
      <formula>0</formula>
    </cfRule>
  </conditionalFormatting>
  <conditionalFormatting sqref="AM13:AN13 AM17:AN17 AM21:AN21 AM25:AN25 AM29:AN29 AM33:AN33 AM37:AN37 AM41:AN41 AM45:AN45 AM49:AN49 AM53:AN53 AM57:AN57 AM61:AN61 AM65:AN65 AM69:AN69 AM73:AN73 AM77:AN77 AM81:AN81 AM85:AN85 AM89:AN89 AM93:AN93 AM97:AN97 AM101:AN101 AM105:AN105 AM109:AN109 AM113:AN113 AM117:AN117 AM121:AN121 AM125:AN125 AM129:AN130 AM134:AN134 AM138:AN138 AM142:AN142 AM146:AN146 AM151:AN151 AM155:AN155 AM159:AN159 AM163:AN163 AM167:AN167 AM172:AN172 AM176:AN176 AM180:AN180 AM184:AN184 AM188:AN188 AM192:AN192 AM196:AN196 AM200:AN200 AM204:AN204 AM208:AN208 AM212:AN212 AM216:AN216 AM220:AN220 AM224:AN224 AM228:AN229 AM233:AN233 AM241:AN241 AM239:AN239">
    <cfRule type="cellIs" dxfId="70" priority="776" operator="equal">
      <formula>0</formula>
    </cfRule>
  </conditionalFormatting>
  <conditionalFormatting sqref="T6:T83 T85:T304">
    <cfRule type="top10" dxfId="69" priority="775" percent="1" rank="10"/>
  </conditionalFormatting>
  <conditionalFormatting sqref="T84">
    <cfRule type="top10" dxfId="68" priority="523" percent="1" rank="10"/>
  </conditionalFormatting>
  <conditionalFormatting sqref="B257:B258">
    <cfRule type="duplicateValues" dxfId="67" priority="438"/>
  </conditionalFormatting>
  <conditionalFormatting sqref="B243:B256">
    <cfRule type="duplicateValues" dxfId="66" priority="439"/>
  </conditionalFormatting>
  <conditionalFormatting sqref="B265">
    <cfRule type="duplicateValues" dxfId="65" priority="440"/>
  </conditionalFormatting>
  <conditionalFormatting sqref="B259:B264">
    <cfRule type="duplicateValues" dxfId="64" priority="441"/>
  </conditionalFormatting>
  <conditionalFormatting sqref="B257:B265">
    <cfRule type="duplicateValues" dxfId="63" priority="442"/>
  </conditionalFormatting>
  <conditionalFormatting sqref="A257:A258">
    <cfRule type="duplicateValues" dxfId="62" priority="433"/>
  </conditionalFormatting>
  <conditionalFormatting sqref="A243:A256">
    <cfRule type="duplicateValues" dxfId="61" priority="434"/>
  </conditionalFormatting>
  <conditionalFormatting sqref="A265">
    <cfRule type="duplicateValues" dxfId="60" priority="435"/>
  </conditionalFormatting>
  <conditionalFormatting sqref="A259:A264">
    <cfRule type="duplicateValues" dxfId="59" priority="436"/>
  </conditionalFormatting>
  <conditionalFormatting sqref="A257:A265">
    <cfRule type="duplicateValues" dxfId="58" priority="437"/>
  </conditionalFormatting>
  <conditionalFormatting sqref="AC212">
    <cfRule type="cellIs" dxfId="57" priority="145" operator="lessThan">
      <formula>$AP212</formula>
    </cfRule>
    <cfRule type="cellIs" dxfId="56" priority="146" operator="greaterThan">
      <formula>$AO212</formula>
    </cfRule>
  </conditionalFormatting>
  <conditionalFormatting sqref="AC212:AD212">
    <cfRule type="cellIs" dxfId="55" priority="147" operator="lessThan">
      <formula>$AP212</formula>
    </cfRule>
    <cfRule type="cellIs" dxfId="54" priority="148" operator="greaterThan">
      <formula>$AO212</formula>
    </cfRule>
  </conditionalFormatting>
  <conditionalFormatting sqref="AC220">
    <cfRule type="cellIs" dxfId="53" priority="143" operator="lessThan">
      <formula>$AP220</formula>
    </cfRule>
    <cfRule type="cellIs" dxfId="52" priority="144" operator="greaterThan">
      <formula>$AO220</formula>
    </cfRule>
  </conditionalFormatting>
  <conditionalFormatting sqref="N6:R304">
    <cfRule type="cellIs" dxfId="51" priority="1" operator="greaterThan">
      <formula>$AO6</formula>
    </cfRule>
    <cfRule type="cellIs" dxfId="50" priority="2" operator="lessThan">
      <formula>$AP6</formula>
    </cfRule>
  </conditionalFormatting>
  <printOptions horizontalCentered="1"/>
  <pageMargins left="0.25" right="0.25" top="0.75" bottom="0.75" header="0.3" footer="0.3"/>
  <pageSetup paperSize="3" scale="42" fitToHeight="0" orientation="landscape" horizontalDpi="1200" verticalDpi="1200" r:id="rId1"/>
  <headerFooter alignWithMargins="0">
    <oddFooter>&amp;L&amp;"Arial,Italic"CST* = NOT COUNTED DUE TO CONSTRUCTION
Sumter County Annual Traffic Counts&amp;CPage &amp;P of &amp;N&amp;R&amp;"Arial,Italic"2019  Volumes Summary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05ED6-BADC-4B53-AF3C-4E9D62F9C6E8}">
  <dimension ref="A1:H298"/>
  <sheetViews>
    <sheetView topLeftCell="A154" zoomScale="85" zoomScaleNormal="85" workbookViewId="0">
      <selection activeCell="Q226" sqref="Q226"/>
    </sheetView>
  </sheetViews>
  <sheetFormatPr defaultRowHeight="15"/>
  <cols>
    <col min="1" max="1" width="14.85546875" style="271" customWidth="1"/>
    <col min="2" max="2" width="31.7109375" customWidth="1"/>
    <col min="3" max="3" width="34" style="267" customWidth="1"/>
    <col min="4" max="4" width="12.7109375" customWidth="1"/>
    <col min="5" max="5" width="33.140625" customWidth="1"/>
    <col min="6" max="6" width="29" customWidth="1"/>
  </cols>
  <sheetData>
    <row r="1" spans="1:8">
      <c r="A1" s="523" t="s">
        <v>777</v>
      </c>
      <c r="B1" s="263" t="s">
        <v>638</v>
      </c>
      <c r="C1" s="265" t="s">
        <v>776</v>
      </c>
      <c r="D1" s="525" t="s">
        <v>778</v>
      </c>
      <c r="E1" s="263" t="s">
        <v>638</v>
      </c>
      <c r="F1" s="263" t="s">
        <v>776</v>
      </c>
    </row>
    <row r="2" spans="1:8" ht="15.75" thickBot="1">
      <c r="A2" s="524"/>
      <c r="B2" s="264"/>
      <c r="C2" s="266"/>
      <c r="D2" s="526"/>
      <c r="E2" s="264"/>
      <c r="F2" s="264"/>
      <c r="G2" s="275" t="s">
        <v>782</v>
      </c>
      <c r="H2" s="275" t="s">
        <v>783</v>
      </c>
    </row>
    <row r="3" spans="1:8" ht="15.75" thickBot="1">
      <c r="A3" s="268">
        <v>7</v>
      </c>
      <c r="B3" s="170" t="s">
        <v>24</v>
      </c>
      <c r="C3" s="170" t="s">
        <v>266</v>
      </c>
      <c r="D3" t="s">
        <v>588</v>
      </c>
      <c r="G3" s="275" t="b">
        <f>B3=E3</f>
        <v>0</v>
      </c>
      <c r="H3" s="275" t="b">
        <f>C3=F3</f>
        <v>0</v>
      </c>
    </row>
    <row r="4" spans="1:8" ht="15.75" thickBot="1">
      <c r="A4" s="269">
        <v>8</v>
      </c>
      <c r="B4" s="126" t="s">
        <v>24</v>
      </c>
      <c r="C4" s="126" t="s">
        <v>269</v>
      </c>
      <c r="D4" s="272">
        <v>12</v>
      </c>
      <c r="E4" s="126" t="s">
        <v>24</v>
      </c>
      <c r="F4" s="273" t="s">
        <v>269</v>
      </c>
      <c r="G4" s="275" t="b">
        <f t="shared" ref="G4:G67" si="0">B4=E4</f>
        <v>1</v>
      </c>
      <c r="H4" s="275" t="b">
        <f t="shared" ref="H4:H67" si="1">C4=F4</f>
        <v>1</v>
      </c>
    </row>
    <row r="5" spans="1:8">
      <c r="A5" s="269">
        <v>9</v>
      </c>
      <c r="B5" s="185" t="s">
        <v>24</v>
      </c>
      <c r="C5" s="185" t="s">
        <v>270</v>
      </c>
      <c r="D5" s="272">
        <v>13</v>
      </c>
      <c r="E5" s="274" t="s">
        <v>24</v>
      </c>
      <c r="F5" s="274" t="s">
        <v>270</v>
      </c>
      <c r="G5" s="275" t="b">
        <f t="shared" si="0"/>
        <v>1</v>
      </c>
      <c r="H5" s="275" t="b">
        <f t="shared" si="1"/>
        <v>1</v>
      </c>
    </row>
    <row r="6" spans="1:8" ht="15.75" thickBot="1">
      <c r="A6" s="269">
        <v>10</v>
      </c>
      <c r="B6" s="126" t="s">
        <v>666</v>
      </c>
      <c r="C6" s="126" t="s">
        <v>271</v>
      </c>
      <c r="D6" t="s">
        <v>588</v>
      </c>
      <c r="G6" s="275" t="b">
        <f t="shared" si="0"/>
        <v>0</v>
      </c>
      <c r="H6" s="275" t="b">
        <f t="shared" si="1"/>
        <v>0</v>
      </c>
    </row>
    <row r="7" spans="1:8">
      <c r="A7" s="269">
        <v>11</v>
      </c>
      <c r="B7" s="185" t="s">
        <v>272</v>
      </c>
      <c r="C7" s="185" t="s">
        <v>273</v>
      </c>
      <c r="D7" s="272">
        <v>16</v>
      </c>
      <c r="E7" s="274" t="s">
        <v>779</v>
      </c>
      <c r="F7" s="274" t="s">
        <v>273</v>
      </c>
      <c r="G7" s="275" t="b">
        <f t="shared" si="0"/>
        <v>0</v>
      </c>
      <c r="H7" s="275" t="b">
        <f t="shared" si="1"/>
        <v>1</v>
      </c>
    </row>
    <row r="8" spans="1:8" ht="15.75" thickBot="1">
      <c r="A8" s="269">
        <v>12</v>
      </c>
      <c r="B8" s="211" t="s">
        <v>274</v>
      </c>
      <c r="C8" s="211" t="s">
        <v>275</v>
      </c>
      <c r="D8" t="s">
        <v>588</v>
      </c>
      <c r="G8" s="275" t="b">
        <f t="shared" si="0"/>
        <v>0</v>
      </c>
      <c r="H8" s="275" t="b">
        <f t="shared" si="1"/>
        <v>0</v>
      </c>
    </row>
    <row r="9" spans="1:8" ht="15.75" thickBot="1">
      <c r="A9" s="269">
        <v>13</v>
      </c>
      <c r="B9" s="185" t="s">
        <v>274</v>
      </c>
      <c r="C9" s="185" t="s">
        <v>276</v>
      </c>
      <c r="D9" s="272">
        <v>17</v>
      </c>
      <c r="E9" s="274" t="s">
        <v>779</v>
      </c>
      <c r="F9" s="274" t="s">
        <v>276</v>
      </c>
      <c r="G9" s="275" t="b">
        <f t="shared" si="0"/>
        <v>0</v>
      </c>
      <c r="H9" s="275" t="b">
        <f t="shared" si="1"/>
        <v>1</v>
      </c>
    </row>
    <row r="10" spans="1:8" ht="15.75" thickBot="1">
      <c r="A10" s="269">
        <v>14</v>
      </c>
      <c r="B10" s="126" t="s">
        <v>274</v>
      </c>
      <c r="C10" s="126" t="s">
        <v>277</v>
      </c>
      <c r="D10" s="272">
        <v>18</v>
      </c>
      <c r="E10" s="126" t="s">
        <v>779</v>
      </c>
      <c r="F10" s="126" t="s">
        <v>277</v>
      </c>
      <c r="G10" s="275" t="b">
        <f t="shared" si="0"/>
        <v>0</v>
      </c>
      <c r="H10" s="275" t="b">
        <f t="shared" si="1"/>
        <v>1</v>
      </c>
    </row>
    <row r="11" spans="1:8">
      <c r="A11" s="269">
        <v>15</v>
      </c>
      <c r="B11" s="211" t="s">
        <v>274</v>
      </c>
      <c r="C11" s="211" t="s">
        <v>278</v>
      </c>
      <c r="D11" s="272">
        <v>19</v>
      </c>
      <c r="E11" s="274" t="s">
        <v>779</v>
      </c>
      <c r="F11" s="274" t="s">
        <v>278</v>
      </c>
      <c r="G11" s="275" t="b">
        <f t="shared" si="0"/>
        <v>0</v>
      </c>
      <c r="H11" s="275" t="b">
        <f t="shared" si="1"/>
        <v>1</v>
      </c>
    </row>
    <row r="12" spans="1:8" ht="15.75" thickBot="1">
      <c r="A12" s="269">
        <v>16</v>
      </c>
      <c r="B12" s="126" t="s">
        <v>274</v>
      </c>
      <c r="C12" s="126" t="s">
        <v>279</v>
      </c>
      <c r="D12" t="s">
        <v>137</v>
      </c>
      <c r="G12" s="275" t="b">
        <f t="shared" si="0"/>
        <v>0</v>
      </c>
      <c r="H12" s="275" t="b">
        <f t="shared" si="1"/>
        <v>0</v>
      </c>
    </row>
    <row r="13" spans="1:8">
      <c r="A13" s="269">
        <v>17</v>
      </c>
      <c r="B13" s="211" t="s">
        <v>274</v>
      </c>
      <c r="C13" s="211" t="s">
        <v>280</v>
      </c>
      <c r="D13" s="272">
        <v>20</v>
      </c>
      <c r="E13" s="274" t="s">
        <v>779</v>
      </c>
      <c r="F13" s="274" t="s">
        <v>280</v>
      </c>
      <c r="G13" s="275" t="b">
        <f t="shared" si="0"/>
        <v>0</v>
      </c>
      <c r="H13" s="275" t="b">
        <f t="shared" si="1"/>
        <v>1</v>
      </c>
    </row>
    <row r="14" spans="1:8" ht="15.75" thickBot="1">
      <c r="A14" s="269">
        <v>18</v>
      </c>
      <c r="B14" s="126" t="s">
        <v>281</v>
      </c>
      <c r="C14" s="126" t="s">
        <v>282</v>
      </c>
      <c r="D14" t="s">
        <v>588</v>
      </c>
      <c r="G14" s="275" t="b">
        <f t="shared" si="0"/>
        <v>0</v>
      </c>
      <c r="H14" s="275" t="b">
        <f t="shared" si="1"/>
        <v>0</v>
      </c>
    </row>
    <row r="15" spans="1:8" ht="15.75" thickBot="1">
      <c r="A15" s="269">
        <v>19</v>
      </c>
      <c r="B15" s="185" t="s">
        <v>16</v>
      </c>
      <c r="C15" s="185" t="s">
        <v>283</v>
      </c>
      <c r="D15" s="272">
        <v>22</v>
      </c>
      <c r="E15" s="274" t="s">
        <v>780</v>
      </c>
      <c r="F15" s="274" t="s">
        <v>283</v>
      </c>
      <c r="G15" s="275" t="b">
        <f t="shared" si="0"/>
        <v>0</v>
      </c>
      <c r="H15" s="275" t="b">
        <f t="shared" si="1"/>
        <v>1</v>
      </c>
    </row>
    <row r="16" spans="1:8" ht="15.75" thickBot="1">
      <c r="A16" s="269">
        <v>20</v>
      </c>
      <c r="B16" s="126" t="s">
        <v>16</v>
      </c>
      <c r="C16" s="126" t="s">
        <v>284</v>
      </c>
      <c r="D16" s="272">
        <v>23</v>
      </c>
      <c r="E16" s="126" t="s">
        <v>780</v>
      </c>
      <c r="F16" s="126" t="s">
        <v>284</v>
      </c>
      <c r="G16" s="275" t="b">
        <f t="shared" si="0"/>
        <v>0</v>
      </c>
      <c r="H16" s="275" t="b">
        <f t="shared" si="1"/>
        <v>1</v>
      </c>
    </row>
    <row r="17" spans="1:8">
      <c r="A17" s="269">
        <v>22</v>
      </c>
      <c r="B17" s="185" t="s">
        <v>16</v>
      </c>
      <c r="C17" s="185" t="s">
        <v>285</v>
      </c>
      <c r="D17" s="272">
        <v>24</v>
      </c>
      <c r="E17" s="274" t="s">
        <v>780</v>
      </c>
      <c r="F17" s="274" t="s">
        <v>285</v>
      </c>
      <c r="G17" s="275" t="b">
        <f t="shared" si="0"/>
        <v>0</v>
      </c>
      <c r="H17" s="275" t="b">
        <f t="shared" si="1"/>
        <v>1</v>
      </c>
    </row>
    <row r="18" spans="1:8" ht="15.75" thickBot="1">
      <c r="A18" s="269">
        <v>25</v>
      </c>
      <c r="B18" s="126" t="s">
        <v>16</v>
      </c>
      <c r="C18" s="126" t="s">
        <v>286</v>
      </c>
      <c r="D18" t="s">
        <v>588</v>
      </c>
      <c r="G18" s="275" t="b">
        <f t="shared" si="0"/>
        <v>0</v>
      </c>
      <c r="H18" s="275" t="b">
        <f t="shared" si="1"/>
        <v>0</v>
      </c>
    </row>
    <row r="19" spans="1:8" ht="15.75" thickBot="1">
      <c r="A19" s="269">
        <v>28</v>
      </c>
      <c r="B19" s="185" t="s">
        <v>16</v>
      </c>
      <c r="C19" s="185" t="s">
        <v>287</v>
      </c>
      <c r="D19" s="272">
        <v>25</v>
      </c>
      <c r="E19" s="274" t="s">
        <v>780</v>
      </c>
      <c r="F19" s="274" t="s">
        <v>287</v>
      </c>
      <c r="G19" s="275" t="b">
        <f t="shared" si="0"/>
        <v>0</v>
      </c>
      <c r="H19" s="275" t="b">
        <f t="shared" si="1"/>
        <v>1</v>
      </c>
    </row>
    <row r="20" spans="1:8" ht="15.75" thickBot="1">
      <c r="A20" s="269">
        <v>31</v>
      </c>
      <c r="B20" s="126" t="s">
        <v>16</v>
      </c>
      <c r="C20" s="126" t="s">
        <v>288</v>
      </c>
      <c r="D20" s="272">
        <v>26</v>
      </c>
      <c r="E20" s="126" t="s">
        <v>780</v>
      </c>
      <c r="F20" s="126" t="s">
        <v>288</v>
      </c>
      <c r="G20" s="275" t="b">
        <f t="shared" si="0"/>
        <v>0</v>
      </c>
      <c r="H20" s="275" t="b">
        <f t="shared" si="1"/>
        <v>1</v>
      </c>
    </row>
    <row r="21" spans="1:8" ht="15.75" thickBot="1">
      <c r="A21" s="269">
        <v>34</v>
      </c>
      <c r="B21" s="185" t="s">
        <v>16</v>
      </c>
      <c r="C21" s="185" t="s">
        <v>289</v>
      </c>
      <c r="D21" s="272">
        <v>27</v>
      </c>
      <c r="E21" s="274" t="s">
        <v>780</v>
      </c>
      <c r="F21" s="274" t="s">
        <v>289</v>
      </c>
      <c r="G21" s="275" t="b">
        <f t="shared" si="0"/>
        <v>0</v>
      </c>
      <c r="H21" s="275" t="b">
        <f t="shared" si="1"/>
        <v>1</v>
      </c>
    </row>
    <row r="22" spans="1:8" ht="15.75" thickBot="1">
      <c r="A22" s="269">
        <v>37</v>
      </c>
      <c r="B22" s="126" t="s">
        <v>16</v>
      </c>
      <c r="C22" s="126" t="s">
        <v>290</v>
      </c>
      <c r="D22" s="272">
        <v>28</v>
      </c>
      <c r="E22" s="126" t="s">
        <v>780</v>
      </c>
      <c r="F22" s="126" t="s">
        <v>290</v>
      </c>
      <c r="G22" s="275" t="b">
        <f t="shared" si="0"/>
        <v>0</v>
      </c>
      <c r="H22" s="275" t="b">
        <f t="shared" si="1"/>
        <v>1</v>
      </c>
    </row>
    <row r="23" spans="1:8" ht="15.75" thickBot="1">
      <c r="A23" s="269">
        <v>40</v>
      </c>
      <c r="B23" s="185" t="s">
        <v>291</v>
      </c>
      <c r="C23" s="185" t="s">
        <v>292</v>
      </c>
      <c r="D23" s="272">
        <v>33</v>
      </c>
      <c r="E23" s="274" t="s">
        <v>291</v>
      </c>
      <c r="F23" s="274" t="s">
        <v>292</v>
      </c>
      <c r="G23" s="275" t="b">
        <f t="shared" si="0"/>
        <v>1</v>
      </c>
      <c r="H23" s="275" t="b">
        <f t="shared" si="1"/>
        <v>1</v>
      </c>
    </row>
    <row r="24" spans="1:8" ht="15.75" thickBot="1">
      <c r="A24" s="269">
        <v>41</v>
      </c>
      <c r="B24" s="211" t="s">
        <v>27</v>
      </c>
      <c r="C24" s="211" t="s">
        <v>293</v>
      </c>
      <c r="D24" s="272">
        <v>29</v>
      </c>
      <c r="E24" s="126" t="s">
        <v>27</v>
      </c>
      <c r="F24" s="126" t="s">
        <v>293</v>
      </c>
      <c r="G24" s="275" t="b">
        <f t="shared" si="0"/>
        <v>1</v>
      </c>
      <c r="H24" s="275" t="b">
        <f t="shared" si="1"/>
        <v>1</v>
      </c>
    </row>
    <row r="25" spans="1:8" ht="15.75" thickBot="1">
      <c r="A25" s="269">
        <v>43</v>
      </c>
      <c r="B25" s="211" t="s">
        <v>27</v>
      </c>
      <c r="C25" s="211" t="s">
        <v>294</v>
      </c>
      <c r="D25" s="272">
        <v>30</v>
      </c>
      <c r="E25" s="274" t="s">
        <v>27</v>
      </c>
      <c r="F25" s="274" t="s">
        <v>294</v>
      </c>
      <c r="G25" s="275" t="b">
        <f t="shared" si="0"/>
        <v>1</v>
      </c>
      <c r="H25" s="275" t="b">
        <f t="shared" si="1"/>
        <v>1</v>
      </c>
    </row>
    <row r="26" spans="1:8" ht="15.75" thickBot="1">
      <c r="A26" s="269">
        <v>46</v>
      </c>
      <c r="B26" s="126" t="s">
        <v>27</v>
      </c>
      <c r="C26" s="126" t="s">
        <v>295</v>
      </c>
      <c r="D26" s="272">
        <v>31</v>
      </c>
      <c r="E26" s="126" t="s">
        <v>27</v>
      </c>
      <c r="F26" s="126" t="s">
        <v>295</v>
      </c>
      <c r="G26" s="275" t="b">
        <f t="shared" si="0"/>
        <v>1</v>
      </c>
      <c r="H26" s="275" t="b">
        <f t="shared" si="1"/>
        <v>1</v>
      </c>
    </row>
    <row r="27" spans="1:8" ht="15.75" thickBot="1">
      <c r="A27" s="269">
        <v>49</v>
      </c>
      <c r="B27" s="185" t="s">
        <v>27</v>
      </c>
      <c r="C27" s="185" t="s">
        <v>296</v>
      </c>
      <c r="D27" s="272">
        <v>32</v>
      </c>
      <c r="E27" s="274" t="s">
        <v>27</v>
      </c>
      <c r="F27" s="274" t="s">
        <v>296</v>
      </c>
      <c r="G27" s="275" t="b">
        <f t="shared" si="0"/>
        <v>1</v>
      </c>
      <c r="H27" s="275" t="b">
        <f t="shared" si="1"/>
        <v>1</v>
      </c>
    </row>
    <row r="28" spans="1:8" ht="15.75" thickBot="1">
      <c r="A28" s="269">
        <v>50</v>
      </c>
      <c r="B28" s="126" t="s">
        <v>57</v>
      </c>
      <c r="C28" s="126" t="s">
        <v>297</v>
      </c>
      <c r="D28" s="272">
        <v>34</v>
      </c>
      <c r="E28" s="126" t="s">
        <v>57</v>
      </c>
      <c r="F28" s="126" t="s">
        <v>297</v>
      </c>
      <c r="G28" s="275" t="b">
        <f t="shared" si="0"/>
        <v>1</v>
      </c>
      <c r="H28" s="275" t="b">
        <f t="shared" si="1"/>
        <v>1</v>
      </c>
    </row>
    <row r="29" spans="1:8">
      <c r="A29" s="269">
        <v>51</v>
      </c>
      <c r="B29" s="185" t="s">
        <v>57</v>
      </c>
      <c r="C29" s="185" t="s">
        <v>298</v>
      </c>
      <c r="D29" s="272">
        <v>35</v>
      </c>
      <c r="E29" s="274" t="s">
        <v>57</v>
      </c>
      <c r="F29" s="274" t="s">
        <v>298</v>
      </c>
      <c r="G29" s="275" t="b">
        <f t="shared" si="0"/>
        <v>1</v>
      </c>
      <c r="H29" s="275" t="b">
        <f t="shared" si="1"/>
        <v>1</v>
      </c>
    </row>
    <row r="30" spans="1:8" ht="15.75" thickBot="1">
      <c r="A30" s="269">
        <v>52</v>
      </c>
      <c r="B30" s="126" t="s">
        <v>57</v>
      </c>
      <c r="C30" s="126" t="s">
        <v>299</v>
      </c>
      <c r="D30" t="s">
        <v>588</v>
      </c>
      <c r="G30" s="275" t="b">
        <f t="shared" si="0"/>
        <v>0</v>
      </c>
      <c r="H30" s="275" t="b">
        <f t="shared" si="1"/>
        <v>0</v>
      </c>
    </row>
    <row r="31" spans="1:8" ht="15.75" thickBot="1">
      <c r="A31" s="269">
        <v>53</v>
      </c>
      <c r="B31" s="185" t="s">
        <v>57</v>
      </c>
      <c r="C31" s="185" t="s">
        <v>300</v>
      </c>
      <c r="D31" s="272">
        <v>36</v>
      </c>
      <c r="E31" s="274" t="s">
        <v>57</v>
      </c>
      <c r="F31" s="274" t="s">
        <v>300</v>
      </c>
      <c r="G31" s="275" t="b">
        <f t="shared" si="0"/>
        <v>1</v>
      </c>
      <c r="H31" s="275" t="b">
        <f t="shared" si="1"/>
        <v>1</v>
      </c>
    </row>
    <row r="32" spans="1:8" ht="15.75" thickBot="1">
      <c r="A32" s="269">
        <v>54</v>
      </c>
      <c r="B32" s="126" t="s">
        <v>61</v>
      </c>
      <c r="C32" s="126" t="s">
        <v>301</v>
      </c>
      <c r="D32" s="272">
        <v>37</v>
      </c>
      <c r="E32" s="126" t="s">
        <v>61</v>
      </c>
      <c r="F32" s="126" t="s">
        <v>301</v>
      </c>
      <c r="G32" s="275" t="b">
        <f t="shared" si="0"/>
        <v>1</v>
      </c>
      <c r="H32" s="275" t="b">
        <f t="shared" si="1"/>
        <v>1</v>
      </c>
    </row>
    <row r="33" spans="1:8">
      <c r="A33" s="269">
        <v>55</v>
      </c>
      <c r="B33" s="185" t="s">
        <v>117</v>
      </c>
      <c r="C33" s="185" t="s">
        <v>302</v>
      </c>
      <c r="D33" s="272">
        <v>39</v>
      </c>
      <c r="E33" s="274" t="s">
        <v>117</v>
      </c>
      <c r="F33" s="274" t="s">
        <v>302</v>
      </c>
      <c r="G33" s="275" t="b">
        <f t="shared" si="0"/>
        <v>1</v>
      </c>
      <c r="H33" s="275" t="b">
        <f t="shared" si="1"/>
        <v>1</v>
      </c>
    </row>
    <row r="34" spans="1:8" ht="15.75" thickBot="1">
      <c r="A34" s="269">
        <v>56</v>
      </c>
      <c r="B34" s="126" t="s">
        <v>117</v>
      </c>
      <c r="C34" s="126" t="s">
        <v>303</v>
      </c>
      <c r="D34" t="s">
        <v>137</v>
      </c>
      <c r="G34" s="275" t="b">
        <f t="shared" si="0"/>
        <v>0</v>
      </c>
      <c r="H34" s="275" t="b">
        <f t="shared" si="1"/>
        <v>0</v>
      </c>
    </row>
    <row r="35" spans="1:8" ht="15.75" thickBot="1">
      <c r="A35" s="269">
        <v>58</v>
      </c>
      <c r="B35" s="185" t="s">
        <v>117</v>
      </c>
      <c r="C35" s="185" t="s">
        <v>304</v>
      </c>
      <c r="D35" s="272">
        <v>40</v>
      </c>
      <c r="E35" s="274" t="s">
        <v>117</v>
      </c>
      <c r="F35" s="274" t="s">
        <v>304</v>
      </c>
      <c r="G35" s="275" t="b">
        <f t="shared" si="0"/>
        <v>1</v>
      </c>
      <c r="H35" s="275" t="b">
        <f t="shared" si="1"/>
        <v>1</v>
      </c>
    </row>
    <row r="36" spans="1:8" ht="15.75" thickBot="1">
      <c r="A36" s="269">
        <v>59</v>
      </c>
      <c r="B36" s="126" t="s">
        <v>117</v>
      </c>
      <c r="C36" s="126" t="s">
        <v>305</v>
      </c>
      <c r="D36" s="272">
        <v>41</v>
      </c>
      <c r="E36" s="126" t="s">
        <v>117</v>
      </c>
      <c r="F36" s="126" t="s">
        <v>305</v>
      </c>
      <c r="G36" s="275" t="b">
        <f t="shared" si="0"/>
        <v>1</v>
      </c>
      <c r="H36" s="275" t="b">
        <f t="shared" si="1"/>
        <v>1</v>
      </c>
    </row>
    <row r="37" spans="1:8" ht="15.75" thickBot="1">
      <c r="A37" s="269">
        <v>60</v>
      </c>
      <c r="B37" s="185" t="s">
        <v>306</v>
      </c>
      <c r="C37" s="185" t="s">
        <v>307</v>
      </c>
      <c r="D37" s="272">
        <v>42</v>
      </c>
      <c r="E37" s="274" t="s">
        <v>306</v>
      </c>
      <c r="F37" s="274" t="s">
        <v>781</v>
      </c>
      <c r="G37" s="275" t="b">
        <f t="shared" si="0"/>
        <v>1</v>
      </c>
      <c r="H37" s="275" t="b">
        <f t="shared" si="1"/>
        <v>0</v>
      </c>
    </row>
    <row r="38" spans="1:8" ht="15.75" thickBot="1">
      <c r="A38" s="269">
        <v>62</v>
      </c>
      <c r="B38" s="126" t="s">
        <v>306</v>
      </c>
      <c r="C38" s="126" t="s">
        <v>308</v>
      </c>
      <c r="D38" s="272">
        <v>43</v>
      </c>
      <c r="E38" s="126" t="s">
        <v>306</v>
      </c>
      <c r="F38" s="126" t="s">
        <v>308</v>
      </c>
      <c r="G38" s="275" t="b">
        <f t="shared" si="0"/>
        <v>1</v>
      </c>
      <c r="H38" s="275" t="b">
        <f t="shared" si="1"/>
        <v>1</v>
      </c>
    </row>
    <row r="39" spans="1:8" ht="15.75" thickBot="1">
      <c r="A39" s="269">
        <v>64</v>
      </c>
      <c r="B39" s="185" t="s">
        <v>306</v>
      </c>
      <c r="C39" s="185" t="s">
        <v>309</v>
      </c>
      <c r="D39" s="272">
        <v>44</v>
      </c>
      <c r="E39" s="274" t="s">
        <v>306</v>
      </c>
      <c r="F39" s="274" t="s">
        <v>309</v>
      </c>
      <c r="G39" s="275" t="b">
        <f t="shared" si="0"/>
        <v>1</v>
      </c>
      <c r="H39" s="275" t="b">
        <f t="shared" si="1"/>
        <v>1</v>
      </c>
    </row>
    <row r="40" spans="1:8" ht="15.75" thickBot="1">
      <c r="A40" s="269">
        <v>65</v>
      </c>
      <c r="B40" s="126" t="s">
        <v>306</v>
      </c>
      <c r="C40" s="126" t="s">
        <v>310</v>
      </c>
      <c r="D40" s="272">
        <v>45</v>
      </c>
      <c r="E40" s="126" t="s">
        <v>306</v>
      </c>
      <c r="F40" s="126" t="s">
        <v>310</v>
      </c>
      <c r="G40" s="275" t="b">
        <f t="shared" si="0"/>
        <v>1</v>
      </c>
      <c r="H40" s="275" t="b">
        <f t="shared" si="1"/>
        <v>1</v>
      </c>
    </row>
    <row r="41" spans="1:8" ht="15.75" thickBot="1">
      <c r="A41" s="269">
        <v>66</v>
      </c>
      <c r="B41" s="185" t="s">
        <v>72</v>
      </c>
      <c r="C41" s="185" t="s">
        <v>311</v>
      </c>
      <c r="D41" s="272">
        <v>46</v>
      </c>
      <c r="E41" s="274" t="s">
        <v>72</v>
      </c>
      <c r="F41" s="274" t="s">
        <v>311</v>
      </c>
      <c r="G41" s="275" t="b">
        <f t="shared" si="0"/>
        <v>1</v>
      </c>
      <c r="H41" s="275" t="b">
        <f t="shared" si="1"/>
        <v>1</v>
      </c>
    </row>
    <row r="42" spans="1:8" ht="15.75" thickBot="1">
      <c r="A42" s="269">
        <v>67</v>
      </c>
      <c r="B42" s="126" t="s">
        <v>72</v>
      </c>
      <c r="C42" s="126" t="s">
        <v>312</v>
      </c>
      <c r="D42" s="272">
        <v>47</v>
      </c>
      <c r="E42" s="126" t="s">
        <v>72</v>
      </c>
      <c r="F42" s="126" t="s">
        <v>312</v>
      </c>
      <c r="G42" s="275" t="b">
        <f t="shared" si="0"/>
        <v>1</v>
      </c>
      <c r="H42" s="275" t="b">
        <f t="shared" si="1"/>
        <v>1</v>
      </c>
    </row>
    <row r="43" spans="1:8">
      <c r="A43" s="269">
        <v>75</v>
      </c>
      <c r="B43" s="185" t="s">
        <v>313</v>
      </c>
      <c r="C43" s="185" t="s">
        <v>314</v>
      </c>
      <c r="D43" s="272">
        <v>48</v>
      </c>
      <c r="E43" s="274" t="s">
        <v>313</v>
      </c>
      <c r="F43" s="274" t="s">
        <v>314</v>
      </c>
      <c r="G43" s="275" t="b">
        <f t="shared" si="0"/>
        <v>1</v>
      </c>
      <c r="H43" s="275" t="b">
        <f t="shared" si="1"/>
        <v>1</v>
      </c>
    </row>
    <row r="44" spans="1:8" ht="15.75" thickBot="1">
      <c r="A44" s="269">
        <v>76</v>
      </c>
      <c r="B44" s="126" t="s">
        <v>313</v>
      </c>
      <c r="C44" s="126" t="s">
        <v>315</v>
      </c>
      <c r="D44" t="s">
        <v>588</v>
      </c>
      <c r="G44" s="275" t="b">
        <f t="shared" si="0"/>
        <v>0</v>
      </c>
      <c r="H44" s="275" t="b">
        <f t="shared" si="1"/>
        <v>0</v>
      </c>
    </row>
    <row r="45" spans="1:8" ht="15.75" thickBot="1">
      <c r="A45" s="269">
        <v>77</v>
      </c>
      <c r="B45" s="185" t="s">
        <v>313</v>
      </c>
      <c r="C45" s="185" t="s">
        <v>316</v>
      </c>
      <c r="D45" s="272">
        <v>49</v>
      </c>
      <c r="E45" s="274" t="s">
        <v>313</v>
      </c>
      <c r="F45" s="274" t="s">
        <v>316</v>
      </c>
      <c r="G45" s="275" t="b">
        <f t="shared" si="0"/>
        <v>1</v>
      </c>
      <c r="H45" s="275" t="b">
        <f t="shared" si="1"/>
        <v>1</v>
      </c>
    </row>
    <row r="46" spans="1:8" ht="15.75" thickBot="1">
      <c r="A46" s="269">
        <v>78</v>
      </c>
      <c r="B46" s="126" t="s">
        <v>317</v>
      </c>
      <c r="C46" s="126" t="s">
        <v>318</v>
      </c>
      <c r="D46" s="272">
        <v>50</v>
      </c>
      <c r="E46" s="126" t="s">
        <v>317</v>
      </c>
      <c r="F46" s="126" t="s">
        <v>318</v>
      </c>
      <c r="G46" s="275" t="b">
        <f t="shared" si="0"/>
        <v>1</v>
      </c>
      <c r="H46" s="275" t="b">
        <f t="shared" si="1"/>
        <v>1</v>
      </c>
    </row>
    <row r="47" spans="1:8" ht="15.75" thickBot="1">
      <c r="A47" s="269">
        <v>79</v>
      </c>
      <c r="B47" s="185" t="s">
        <v>317</v>
      </c>
      <c r="C47" s="185" t="s">
        <v>319</v>
      </c>
      <c r="D47" s="272">
        <v>51</v>
      </c>
      <c r="E47" s="274" t="s">
        <v>317</v>
      </c>
      <c r="F47" s="274" t="s">
        <v>319</v>
      </c>
      <c r="G47" s="275" t="b">
        <f t="shared" si="0"/>
        <v>1</v>
      </c>
      <c r="H47" s="275" t="b">
        <f t="shared" si="1"/>
        <v>1</v>
      </c>
    </row>
    <row r="48" spans="1:8">
      <c r="A48" s="269">
        <v>80</v>
      </c>
      <c r="B48" s="126" t="s">
        <v>317</v>
      </c>
      <c r="C48" s="126" t="s">
        <v>320</v>
      </c>
      <c r="D48" s="272">
        <v>52</v>
      </c>
      <c r="E48" s="126" t="s">
        <v>317</v>
      </c>
      <c r="F48" s="126" t="s">
        <v>320</v>
      </c>
      <c r="G48" s="275" t="b">
        <f t="shared" si="0"/>
        <v>1</v>
      </c>
      <c r="H48" s="275" t="b">
        <f t="shared" si="1"/>
        <v>1</v>
      </c>
    </row>
    <row r="49" spans="1:8" ht="15.75" thickBot="1">
      <c r="A49" s="269">
        <v>81</v>
      </c>
      <c r="B49" s="185" t="s">
        <v>317</v>
      </c>
      <c r="C49" s="185" t="s">
        <v>321</v>
      </c>
      <c r="D49" t="s">
        <v>137</v>
      </c>
      <c r="G49" s="275" t="b">
        <f t="shared" si="0"/>
        <v>0</v>
      </c>
      <c r="H49" s="275" t="b">
        <f t="shared" si="1"/>
        <v>0</v>
      </c>
    </row>
    <row r="50" spans="1:8" ht="15.75" thickBot="1">
      <c r="A50" s="269">
        <v>82</v>
      </c>
      <c r="B50" s="126" t="s">
        <v>322</v>
      </c>
      <c r="C50" s="126" t="s">
        <v>323</v>
      </c>
      <c r="D50" s="272">
        <v>59</v>
      </c>
      <c r="E50" s="126" t="s">
        <v>322</v>
      </c>
      <c r="F50" s="126" t="s">
        <v>323</v>
      </c>
      <c r="G50" s="275" t="b">
        <f t="shared" si="0"/>
        <v>1</v>
      </c>
      <c r="H50" s="275" t="b">
        <f t="shared" si="1"/>
        <v>1</v>
      </c>
    </row>
    <row r="51" spans="1:8" ht="15.75" thickBot="1">
      <c r="A51" s="269">
        <v>83</v>
      </c>
      <c r="B51" s="185" t="s">
        <v>324</v>
      </c>
      <c r="C51" s="185" t="s">
        <v>325</v>
      </c>
      <c r="D51" s="272">
        <v>60</v>
      </c>
      <c r="E51" s="274" t="s">
        <v>324</v>
      </c>
      <c r="F51" s="274" t="s">
        <v>325</v>
      </c>
      <c r="G51" s="275" t="b">
        <f t="shared" si="0"/>
        <v>1</v>
      </c>
      <c r="H51" s="275" t="b">
        <f t="shared" si="1"/>
        <v>1</v>
      </c>
    </row>
    <row r="52" spans="1:8" ht="15.75" thickBot="1">
      <c r="A52" s="269">
        <v>84</v>
      </c>
      <c r="B52" s="126" t="s">
        <v>324</v>
      </c>
      <c r="C52" s="126" t="s">
        <v>326</v>
      </c>
      <c r="D52" s="272">
        <v>61</v>
      </c>
      <c r="E52" s="126" t="s">
        <v>324</v>
      </c>
      <c r="F52" s="126" t="s">
        <v>326</v>
      </c>
      <c r="G52" s="275" t="b">
        <f t="shared" si="0"/>
        <v>1</v>
      </c>
      <c r="H52" s="275" t="b">
        <f t="shared" si="1"/>
        <v>1</v>
      </c>
    </row>
    <row r="53" spans="1:8" ht="15.75" thickBot="1">
      <c r="A53" s="269">
        <v>85</v>
      </c>
      <c r="B53" s="185" t="s">
        <v>324</v>
      </c>
      <c r="C53" s="185" t="s">
        <v>327</v>
      </c>
      <c r="D53" s="272">
        <v>62</v>
      </c>
      <c r="E53" s="274" t="s">
        <v>324</v>
      </c>
      <c r="F53" s="274" t="s">
        <v>327</v>
      </c>
      <c r="G53" s="275" t="b">
        <f t="shared" si="0"/>
        <v>1</v>
      </c>
      <c r="H53" s="275" t="b">
        <f t="shared" si="1"/>
        <v>1</v>
      </c>
    </row>
    <row r="54" spans="1:8" ht="15.75" thickBot="1">
      <c r="A54" s="269">
        <v>86</v>
      </c>
      <c r="B54" s="126" t="s">
        <v>324</v>
      </c>
      <c r="C54" s="126" t="s">
        <v>328</v>
      </c>
      <c r="D54" s="272">
        <v>63</v>
      </c>
      <c r="E54" s="126" t="s">
        <v>324</v>
      </c>
      <c r="F54" s="126" t="s">
        <v>328</v>
      </c>
      <c r="G54" s="275" t="b">
        <f t="shared" si="0"/>
        <v>1</v>
      </c>
      <c r="H54" s="275" t="b">
        <f t="shared" si="1"/>
        <v>1</v>
      </c>
    </row>
    <row r="55" spans="1:8">
      <c r="A55" s="269">
        <v>87</v>
      </c>
      <c r="B55" s="185" t="s">
        <v>329</v>
      </c>
      <c r="C55" s="185" t="s">
        <v>330</v>
      </c>
      <c r="D55" s="272">
        <v>57</v>
      </c>
      <c r="E55" s="274" t="s">
        <v>329</v>
      </c>
      <c r="F55" s="274" t="s">
        <v>330</v>
      </c>
      <c r="G55" s="275" t="b">
        <f t="shared" si="0"/>
        <v>1</v>
      </c>
      <c r="H55" s="275" t="b">
        <f t="shared" si="1"/>
        <v>1</v>
      </c>
    </row>
    <row r="56" spans="1:8" ht="15.75" thickBot="1">
      <c r="A56" s="269">
        <v>89</v>
      </c>
      <c r="B56" s="126" t="s">
        <v>85</v>
      </c>
      <c r="C56" s="126" t="s">
        <v>331</v>
      </c>
      <c r="D56" t="s">
        <v>588</v>
      </c>
      <c r="G56" s="275" t="b">
        <f t="shared" si="0"/>
        <v>0</v>
      </c>
      <c r="H56" s="275" t="b">
        <f t="shared" si="1"/>
        <v>0</v>
      </c>
    </row>
    <row r="57" spans="1:8" ht="15.75" thickBot="1">
      <c r="A57" s="269">
        <v>90</v>
      </c>
      <c r="B57" s="185" t="s">
        <v>85</v>
      </c>
      <c r="C57" s="185" t="s">
        <v>332</v>
      </c>
      <c r="D57" s="272">
        <v>58</v>
      </c>
      <c r="E57" s="274" t="s">
        <v>85</v>
      </c>
      <c r="F57" s="274" t="s">
        <v>332</v>
      </c>
      <c r="G57" s="275" t="b">
        <f t="shared" si="0"/>
        <v>1</v>
      </c>
      <c r="H57" s="275" t="b">
        <f t="shared" si="1"/>
        <v>1</v>
      </c>
    </row>
    <row r="58" spans="1:8" ht="15.75" thickBot="1">
      <c r="A58" s="269">
        <v>91</v>
      </c>
      <c r="B58" s="126" t="s">
        <v>333</v>
      </c>
      <c r="C58" s="126" t="s">
        <v>334</v>
      </c>
      <c r="D58" s="272">
        <v>66</v>
      </c>
      <c r="E58" s="126" t="s">
        <v>333</v>
      </c>
      <c r="F58" s="126" t="s">
        <v>334</v>
      </c>
      <c r="G58" s="275" t="b">
        <f t="shared" si="0"/>
        <v>1</v>
      </c>
      <c r="H58" s="275" t="b">
        <f t="shared" si="1"/>
        <v>1</v>
      </c>
    </row>
    <row r="59" spans="1:8" ht="15.75" thickBot="1">
      <c r="A59" s="269">
        <v>92</v>
      </c>
      <c r="B59" s="185" t="s">
        <v>333</v>
      </c>
      <c r="C59" s="185" t="s">
        <v>335</v>
      </c>
      <c r="D59" s="272">
        <v>67</v>
      </c>
      <c r="E59" s="274" t="s">
        <v>333</v>
      </c>
      <c r="F59" s="274" t="s">
        <v>335</v>
      </c>
      <c r="G59" s="275" t="b">
        <f t="shared" si="0"/>
        <v>1</v>
      </c>
      <c r="H59" s="275" t="b">
        <f t="shared" si="1"/>
        <v>1</v>
      </c>
    </row>
    <row r="60" spans="1:8" ht="15.75" thickBot="1">
      <c r="A60" s="269">
        <v>93</v>
      </c>
      <c r="B60" s="126" t="s">
        <v>333</v>
      </c>
      <c r="C60" s="126" t="s">
        <v>336</v>
      </c>
      <c r="D60" s="272">
        <v>68</v>
      </c>
      <c r="E60" s="126" t="s">
        <v>333</v>
      </c>
      <c r="F60" s="126" t="s">
        <v>336</v>
      </c>
      <c r="G60" s="275" t="b">
        <f t="shared" si="0"/>
        <v>1</v>
      </c>
      <c r="H60" s="275" t="b">
        <f t="shared" si="1"/>
        <v>1</v>
      </c>
    </row>
    <row r="61" spans="1:8" ht="15.75" thickBot="1">
      <c r="A61" s="269">
        <v>93.1</v>
      </c>
      <c r="B61" s="126" t="s">
        <v>333</v>
      </c>
      <c r="C61" s="126" t="s">
        <v>336</v>
      </c>
      <c r="D61" s="272">
        <v>69</v>
      </c>
      <c r="E61" s="274" t="s">
        <v>333</v>
      </c>
      <c r="F61" s="274" t="s">
        <v>336</v>
      </c>
      <c r="G61" s="275" t="b">
        <f t="shared" si="0"/>
        <v>1</v>
      </c>
      <c r="H61" s="275" t="b">
        <f t="shared" si="1"/>
        <v>1</v>
      </c>
    </row>
    <row r="62" spans="1:8" ht="15.75" thickBot="1">
      <c r="A62" s="269">
        <v>94</v>
      </c>
      <c r="B62" s="185" t="s">
        <v>337</v>
      </c>
      <c r="C62" s="185" t="s">
        <v>338</v>
      </c>
      <c r="D62" s="272">
        <v>70</v>
      </c>
      <c r="E62" s="126" t="s">
        <v>337</v>
      </c>
      <c r="F62" s="126" t="s">
        <v>338</v>
      </c>
      <c r="G62" s="275" t="b">
        <f t="shared" si="0"/>
        <v>1</v>
      </c>
      <c r="H62" s="275" t="b">
        <f t="shared" si="1"/>
        <v>1</v>
      </c>
    </row>
    <row r="63" spans="1:8" ht="15.75" thickBot="1">
      <c r="A63" s="269">
        <v>95</v>
      </c>
      <c r="B63" s="126" t="s">
        <v>92</v>
      </c>
      <c r="C63" s="126" t="s">
        <v>339</v>
      </c>
      <c r="D63" s="272">
        <v>64</v>
      </c>
      <c r="E63" s="274" t="s">
        <v>92</v>
      </c>
      <c r="F63" s="274" t="s">
        <v>339</v>
      </c>
      <c r="G63" s="275" t="b">
        <f t="shared" si="0"/>
        <v>1</v>
      </c>
      <c r="H63" s="275" t="b">
        <f t="shared" si="1"/>
        <v>1</v>
      </c>
    </row>
    <row r="64" spans="1:8" ht="15.75" thickBot="1">
      <c r="A64" s="269">
        <v>95.1</v>
      </c>
      <c r="B64" s="126" t="s">
        <v>92</v>
      </c>
      <c r="C64" s="126" t="s">
        <v>339</v>
      </c>
      <c r="D64" s="272">
        <v>65</v>
      </c>
      <c r="E64" s="126" t="s">
        <v>92</v>
      </c>
      <c r="F64" s="126" t="s">
        <v>339</v>
      </c>
      <c r="G64" s="275" t="b">
        <f t="shared" si="0"/>
        <v>1</v>
      </c>
      <c r="H64" s="275" t="b">
        <f t="shared" si="1"/>
        <v>1</v>
      </c>
    </row>
    <row r="65" spans="1:8" ht="15.75" thickBot="1">
      <c r="A65" s="269">
        <v>97</v>
      </c>
      <c r="B65" s="185" t="s">
        <v>340</v>
      </c>
      <c r="C65" s="185" t="s">
        <v>341</v>
      </c>
      <c r="D65" s="272">
        <v>75</v>
      </c>
      <c r="E65" s="274" t="s">
        <v>340</v>
      </c>
      <c r="F65" s="274" t="s">
        <v>341</v>
      </c>
      <c r="G65" s="275" t="b">
        <f t="shared" si="0"/>
        <v>1</v>
      </c>
      <c r="H65" s="275" t="b">
        <f t="shared" si="1"/>
        <v>1</v>
      </c>
    </row>
    <row r="66" spans="1:8" ht="15.75" thickBot="1">
      <c r="A66" s="269">
        <v>98</v>
      </c>
      <c r="B66" s="126" t="s">
        <v>340</v>
      </c>
      <c r="C66" s="126" t="s">
        <v>342</v>
      </c>
      <c r="D66" s="272">
        <v>76</v>
      </c>
      <c r="E66" s="126" t="s">
        <v>340</v>
      </c>
      <c r="F66" s="126" t="s">
        <v>342</v>
      </c>
      <c r="G66" s="275" t="b">
        <f t="shared" si="0"/>
        <v>1</v>
      </c>
      <c r="H66" s="275" t="b">
        <f t="shared" si="1"/>
        <v>1</v>
      </c>
    </row>
    <row r="67" spans="1:8" ht="15.75" thickBot="1">
      <c r="A67" s="269">
        <v>99</v>
      </c>
      <c r="B67" s="185" t="s">
        <v>340</v>
      </c>
      <c r="C67" s="185" t="s">
        <v>343</v>
      </c>
      <c r="D67" s="272">
        <v>77</v>
      </c>
      <c r="E67" s="274" t="s">
        <v>340</v>
      </c>
      <c r="F67" s="274" t="s">
        <v>343</v>
      </c>
      <c r="G67" s="275" t="b">
        <f t="shared" si="0"/>
        <v>1</v>
      </c>
      <c r="H67" s="275" t="b">
        <f t="shared" si="1"/>
        <v>1</v>
      </c>
    </row>
    <row r="68" spans="1:8" ht="15.75" thickBot="1">
      <c r="A68" s="269">
        <v>100</v>
      </c>
      <c r="B68" s="126" t="s">
        <v>340</v>
      </c>
      <c r="C68" s="126" t="s">
        <v>344</v>
      </c>
      <c r="D68" s="272">
        <v>78</v>
      </c>
      <c r="E68" s="126" t="s">
        <v>340</v>
      </c>
      <c r="F68" s="126" t="s">
        <v>344</v>
      </c>
      <c r="G68" s="275" t="b">
        <f t="shared" ref="G68:G131" si="2">B68=E68</f>
        <v>1</v>
      </c>
      <c r="H68" s="275" t="b">
        <f t="shared" ref="H68:H131" si="3">C68=F68</f>
        <v>1</v>
      </c>
    </row>
    <row r="69" spans="1:8" ht="15.75" thickBot="1">
      <c r="A69" s="269">
        <v>101</v>
      </c>
      <c r="B69" s="185" t="s">
        <v>340</v>
      </c>
      <c r="C69" s="185" t="s">
        <v>345</v>
      </c>
      <c r="D69" s="272">
        <v>79</v>
      </c>
      <c r="E69" s="274" t="s">
        <v>340</v>
      </c>
      <c r="F69" s="274" t="s">
        <v>345</v>
      </c>
      <c r="G69" s="275" t="b">
        <f t="shared" si="2"/>
        <v>1</v>
      </c>
      <c r="H69" s="275" t="b">
        <f t="shared" si="3"/>
        <v>1</v>
      </c>
    </row>
    <row r="70" spans="1:8" ht="15.75" thickBot="1">
      <c r="A70" s="269">
        <v>102</v>
      </c>
      <c r="B70" s="126" t="s">
        <v>346</v>
      </c>
      <c r="C70" s="126" t="s">
        <v>347</v>
      </c>
      <c r="D70" s="272">
        <v>80</v>
      </c>
      <c r="E70" s="126" t="s">
        <v>346</v>
      </c>
      <c r="F70" s="126" t="s">
        <v>347</v>
      </c>
      <c r="G70" s="275" t="b">
        <f t="shared" si="2"/>
        <v>1</v>
      </c>
      <c r="H70" s="275" t="b">
        <f t="shared" si="3"/>
        <v>1</v>
      </c>
    </row>
    <row r="71" spans="1:8">
      <c r="A71" s="269">
        <v>103</v>
      </c>
      <c r="B71" s="185" t="s">
        <v>346</v>
      </c>
      <c r="C71" s="185" t="s">
        <v>348</v>
      </c>
      <c r="D71" s="272">
        <v>81</v>
      </c>
      <c r="E71" s="274" t="s">
        <v>346</v>
      </c>
      <c r="F71" s="274" t="s">
        <v>348</v>
      </c>
      <c r="G71" s="275" t="b">
        <f t="shared" si="2"/>
        <v>1</v>
      </c>
      <c r="H71" s="275" t="b">
        <f t="shared" si="3"/>
        <v>1</v>
      </c>
    </row>
    <row r="72" spans="1:8" ht="15.75" thickBot="1">
      <c r="A72" s="269">
        <v>105</v>
      </c>
      <c r="B72" s="126" t="s">
        <v>346</v>
      </c>
      <c r="C72" s="126" t="s">
        <v>349</v>
      </c>
      <c r="D72" t="s">
        <v>588</v>
      </c>
      <c r="G72" s="275" t="b">
        <f t="shared" si="2"/>
        <v>0</v>
      </c>
      <c r="H72" s="275" t="b">
        <f t="shared" si="3"/>
        <v>0</v>
      </c>
    </row>
    <row r="73" spans="1:8" ht="15.75" thickBot="1">
      <c r="A73" s="269">
        <v>108</v>
      </c>
      <c r="B73" s="185" t="s">
        <v>346</v>
      </c>
      <c r="C73" s="185" t="s">
        <v>350</v>
      </c>
      <c r="D73" s="272">
        <v>82</v>
      </c>
      <c r="E73" s="274" t="s">
        <v>346</v>
      </c>
      <c r="F73" s="274" t="s">
        <v>350</v>
      </c>
      <c r="G73" s="275" t="b">
        <f t="shared" si="2"/>
        <v>1</v>
      </c>
      <c r="H73" s="275" t="b">
        <f t="shared" si="3"/>
        <v>1</v>
      </c>
    </row>
    <row r="74" spans="1:8" ht="15.75" thickBot="1">
      <c r="A74" s="269">
        <v>111</v>
      </c>
      <c r="B74" s="126" t="s">
        <v>84</v>
      </c>
      <c r="C74" s="126" t="s">
        <v>351</v>
      </c>
      <c r="D74" s="272">
        <v>83</v>
      </c>
      <c r="E74" s="126" t="s">
        <v>84</v>
      </c>
      <c r="F74" s="126" t="s">
        <v>351</v>
      </c>
      <c r="G74" s="275" t="b">
        <f t="shared" si="2"/>
        <v>1</v>
      </c>
      <c r="H74" s="275" t="b">
        <f t="shared" si="3"/>
        <v>1</v>
      </c>
    </row>
    <row r="75" spans="1:8" ht="15.75" thickBot="1">
      <c r="A75" s="269">
        <v>112</v>
      </c>
      <c r="B75" s="185" t="s">
        <v>84</v>
      </c>
      <c r="C75" s="185" t="s">
        <v>352</v>
      </c>
      <c r="D75" s="272">
        <v>84</v>
      </c>
      <c r="E75" s="274" t="s">
        <v>84</v>
      </c>
      <c r="F75" s="274" t="s">
        <v>352</v>
      </c>
      <c r="G75" s="275" t="b">
        <f t="shared" si="2"/>
        <v>1</v>
      </c>
      <c r="H75" s="275" t="b">
        <f t="shared" si="3"/>
        <v>1</v>
      </c>
    </row>
    <row r="76" spans="1:8" ht="15.75" thickBot="1">
      <c r="A76" s="269">
        <v>113</v>
      </c>
      <c r="B76" s="126" t="s">
        <v>59</v>
      </c>
      <c r="C76" s="126" t="s">
        <v>353</v>
      </c>
      <c r="D76" s="272">
        <v>108</v>
      </c>
      <c r="E76" s="126" t="s">
        <v>59</v>
      </c>
      <c r="F76" s="126" t="s">
        <v>353</v>
      </c>
      <c r="G76" s="275" t="b">
        <f t="shared" si="2"/>
        <v>1</v>
      </c>
      <c r="H76" s="275" t="b">
        <f t="shared" si="3"/>
        <v>1</v>
      </c>
    </row>
    <row r="77" spans="1:8" ht="15.75" thickBot="1">
      <c r="A77" s="269">
        <v>114</v>
      </c>
      <c r="B77" s="185" t="s">
        <v>59</v>
      </c>
      <c r="C77" s="185" t="s">
        <v>354</v>
      </c>
      <c r="D77" s="272">
        <v>109</v>
      </c>
      <c r="E77" s="274" t="s">
        <v>59</v>
      </c>
      <c r="F77" s="274" t="s">
        <v>354</v>
      </c>
      <c r="G77" s="275" t="b">
        <f t="shared" si="2"/>
        <v>1</v>
      </c>
      <c r="H77" s="275" t="b">
        <f t="shared" si="3"/>
        <v>1</v>
      </c>
    </row>
    <row r="78" spans="1:8" ht="15.75" thickBot="1">
      <c r="A78" s="269">
        <v>115</v>
      </c>
      <c r="B78" s="126" t="s">
        <v>118</v>
      </c>
      <c r="C78" s="126" t="s">
        <v>355</v>
      </c>
      <c r="D78" s="272">
        <v>113</v>
      </c>
      <c r="E78" s="126" t="s">
        <v>118</v>
      </c>
      <c r="F78" s="126" t="s">
        <v>355</v>
      </c>
      <c r="G78" s="275" t="b">
        <f t="shared" si="2"/>
        <v>1</v>
      </c>
      <c r="H78" s="275" t="b">
        <f t="shared" si="3"/>
        <v>1</v>
      </c>
    </row>
    <row r="79" spans="1:8" ht="15.75" thickBot="1">
      <c r="A79" s="269">
        <v>116</v>
      </c>
      <c r="B79" s="185" t="s">
        <v>118</v>
      </c>
      <c r="C79" s="185" t="s">
        <v>356</v>
      </c>
      <c r="D79" s="272">
        <v>114</v>
      </c>
      <c r="E79" s="274" t="s">
        <v>118</v>
      </c>
      <c r="F79" s="274" t="s">
        <v>356</v>
      </c>
      <c r="G79" s="275" t="b">
        <f t="shared" si="2"/>
        <v>1</v>
      </c>
      <c r="H79" s="275" t="b">
        <f t="shared" si="3"/>
        <v>1</v>
      </c>
    </row>
    <row r="80" spans="1:8" ht="15.75" thickBot="1">
      <c r="A80" s="269">
        <v>119</v>
      </c>
      <c r="B80" s="126" t="s">
        <v>357</v>
      </c>
      <c r="C80" s="126" t="s">
        <v>358</v>
      </c>
      <c r="D80" s="272">
        <v>137</v>
      </c>
      <c r="E80" s="126" t="s">
        <v>357</v>
      </c>
      <c r="F80" s="126" t="s">
        <v>358</v>
      </c>
      <c r="G80" s="275" t="b">
        <f t="shared" si="2"/>
        <v>1</v>
      </c>
      <c r="H80" s="275" t="b">
        <f t="shared" si="3"/>
        <v>1</v>
      </c>
    </row>
    <row r="81" spans="1:8" ht="15.75" thickBot="1">
      <c r="A81" s="269">
        <v>120</v>
      </c>
      <c r="B81" s="185" t="s">
        <v>46</v>
      </c>
      <c r="C81" s="185" t="s">
        <v>359</v>
      </c>
      <c r="D81" s="272">
        <v>100</v>
      </c>
      <c r="E81" s="274" t="s">
        <v>46</v>
      </c>
      <c r="F81" s="274" t="s">
        <v>359</v>
      </c>
      <c r="G81" s="275" t="b">
        <f t="shared" si="2"/>
        <v>1</v>
      </c>
      <c r="H81" s="275" t="b">
        <f t="shared" si="3"/>
        <v>1</v>
      </c>
    </row>
    <row r="82" spans="1:8" ht="15.75" thickBot="1">
      <c r="A82" s="269">
        <v>128</v>
      </c>
      <c r="B82" s="211" t="s">
        <v>360</v>
      </c>
      <c r="C82" s="211" t="s">
        <v>361</v>
      </c>
      <c r="D82" s="272">
        <v>138</v>
      </c>
      <c r="E82" s="126" t="s">
        <v>360</v>
      </c>
      <c r="F82" s="126" t="s">
        <v>361</v>
      </c>
      <c r="G82" s="275" t="b">
        <f t="shared" si="2"/>
        <v>1</v>
      </c>
      <c r="H82" s="275" t="b">
        <f t="shared" si="3"/>
        <v>1</v>
      </c>
    </row>
    <row r="83" spans="1:8" ht="15.75" thickBot="1">
      <c r="A83" s="269">
        <v>131</v>
      </c>
      <c r="B83" s="185" t="s">
        <v>362</v>
      </c>
      <c r="C83" s="185" t="s">
        <v>363</v>
      </c>
      <c r="D83" s="272">
        <v>151</v>
      </c>
      <c r="E83" s="274" t="s">
        <v>362</v>
      </c>
      <c r="F83" s="274" t="s">
        <v>363</v>
      </c>
      <c r="G83" s="275" t="b">
        <f t="shared" si="2"/>
        <v>1</v>
      </c>
      <c r="H83" s="275" t="b">
        <f t="shared" si="3"/>
        <v>1</v>
      </c>
    </row>
    <row r="84" spans="1:8" ht="15.75" thickBot="1">
      <c r="A84" s="269">
        <v>134</v>
      </c>
      <c r="B84" s="228" t="s">
        <v>364</v>
      </c>
      <c r="C84" s="228" t="s">
        <v>365</v>
      </c>
      <c r="D84" s="272">
        <v>125</v>
      </c>
      <c r="E84" s="126" t="s">
        <v>364</v>
      </c>
      <c r="F84" s="126" t="s">
        <v>365</v>
      </c>
      <c r="G84" s="275" t="b">
        <f t="shared" si="2"/>
        <v>1</v>
      </c>
      <c r="H84" s="275" t="b">
        <f t="shared" si="3"/>
        <v>1</v>
      </c>
    </row>
    <row r="85" spans="1:8" ht="15.75" thickBot="1">
      <c r="A85" s="269">
        <v>137</v>
      </c>
      <c r="B85" s="185" t="s">
        <v>364</v>
      </c>
      <c r="C85" s="185" t="s">
        <v>366</v>
      </c>
      <c r="D85" s="272">
        <v>126</v>
      </c>
      <c r="E85" s="274" t="s">
        <v>364</v>
      </c>
      <c r="F85" s="274" t="s">
        <v>366</v>
      </c>
      <c r="G85" s="275" t="b">
        <f t="shared" si="2"/>
        <v>1</v>
      </c>
      <c r="H85" s="275" t="b">
        <f t="shared" si="3"/>
        <v>1</v>
      </c>
    </row>
    <row r="86" spans="1:8" ht="15.75" thickBot="1">
      <c r="A86" s="269">
        <v>140</v>
      </c>
      <c r="B86" s="126" t="s">
        <v>364</v>
      </c>
      <c r="C86" s="126" t="s">
        <v>367</v>
      </c>
      <c r="D86" s="272">
        <v>127</v>
      </c>
      <c r="E86" s="126" t="s">
        <v>364</v>
      </c>
      <c r="F86" s="126" t="s">
        <v>367</v>
      </c>
      <c r="G86" s="275" t="b">
        <f t="shared" si="2"/>
        <v>1</v>
      </c>
      <c r="H86" s="275" t="b">
        <f t="shared" si="3"/>
        <v>1</v>
      </c>
    </row>
    <row r="87" spans="1:8" ht="15.75" thickBot="1">
      <c r="A87" s="269">
        <v>143</v>
      </c>
      <c r="B87" s="185" t="s">
        <v>364</v>
      </c>
      <c r="C87" s="185" t="s">
        <v>368</v>
      </c>
      <c r="D87" s="272">
        <v>128</v>
      </c>
      <c r="E87" s="274" t="s">
        <v>364</v>
      </c>
      <c r="F87" s="274" t="s">
        <v>368</v>
      </c>
      <c r="G87" s="275" t="b">
        <f t="shared" si="2"/>
        <v>1</v>
      </c>
      <c r="H87" s="275" t="b">
        <f t="shared" si="3"/>
        <v>1</v>
      </c>
    </row>
    <row r="88" spans="1:8" ht="15.75" thickBot="1">
      <c r="A88" s="269">
        <v>146</v>
      </c>
      <c r="B88" s="126" t="s">
        <v>369</v>
      </c>
      <c r="C88" s="126" t="s">
        <v>370</v>
      </c>
      <c r="D88" s="272">
        <v>10</v>
      </c>
      <c r="E88" s="126" t="s">
        <v>369</v>
      </c>
      <c r="F88" s="126" t="s">
        <v>370</v>
      </c>
      <c r="G88" s="275" t="b">
        <f t="shared" si="2"/>
        <v>1</v>
      </c>
      <c r="H88" s="275" t="b">
        <f t="shared" si="3"/>
        <v>1</v>
      </c>
    </row>
    <row r="89" spans="1:8" ht="15.75" thickBot="1">
      <c r="A89" s="269">
        <v>149</v>
      </c>
      <c r="B89" s="185" t="s">
        <v>371</v>
      </c>
      <c r="C89" s="185" t="s">
        <v>372</v>
      </c>
      <c r="D89" s="272">
        <v>135</v>
      </c>
      <c r="E89" s="274" t="s">
        <v>371</v>
      </c>
      <c r="F89" s="274" t="s">
        <v>372</v>
      </c>
      <c r="G89" s="275" t="b">
        <f t="shared" si="2"/>
        <v>1</v>
      </c>
      <c r="H89" s="275" t="b">
        <f t="shared" si="3"/>
        <v>1</v>
      </c>
    </row>
    <row r="90" spans="1:8" ht="15.75" thickBot="1">
      <c r="A90" s="269">
        <v>155</v>
      </c>
      <c r="B90" s="126" t="s">
        <v>371</v>
      </c>
      <c r="C90" s="126" t="s">
        <v>373</v>
      </c>
      <c r="D90" s="272">
        <v>136</v>
      </c>
      <c r="E90" s="126" t="s">
        <v>371</v>
      </c>
      <c r="F90" s="126" t="s">
        <v>373</v>
      </c>
      <c r="G90" s="275" t="b">
        <f t="shared" si="2"/>
        <v>1</v>
      </c>
      <c r="H90" s="275" t="b">
        <f t="shared" si="3"/>
        <v>1</v>
      </c>
    </row>
    <row r="91" spans="1:8" ht="15.75" thickBot="1">
      <c r="A91" s="269">
        <v>158</v>
      </c>
      <c r="B91" s="185" t="s">
        <v>374</v>
      </c>
      <c r="C91" s="185" t="s">
        <v>375</v>
      </c>
      <c r="D91" s="272">
        <v>159</v>
      </c>
      <c r="E91" s="274" t="s">
        <v>374</v>
      </c>
      <c r="F91" s="274" t="s">
        <v>375</v>
      </c>
      <c r="G91" s="275" t="b">
        <f t="shared" si="2"/>
        <v>1</v>
      </c>
      <c r="H91" s="275" t="b">
        <f t="shared" si="3"/>
        <v>1</v>
      </c>
    </row>
    <row r="92" spans="1:8" ht="15.75" thickBot="1">
      <c r="A92" s="269">
        <v>164</v>
      </c>
      <c r="B92" s="126" t="s">
        <v>374</v>
      </c>
      <c r="C92" s="126" t="s">
        <v>376</v>
      </c>
      <c r="D92" s="272">
        <v>160</v>
      </c>
      <c r="E92" s="126" t="s">
        <v>374</v>
      </c>
      <c r="F92" s="126" t="s">
        <v>376</v>
      </c>
      <c r="G92" s="275" t="b">
        <f t="shared" si="2"/>
        <v>1</v>
      </c>
      <c r="H92" s="275" t="b">
        <f t="shared" si="3"/>
        <v>1</v>
      </c>
    </row>
    <row r="93" spans="1:8" ht="15.75" thickBot="1">
      <c r="A93" s="269">
        <v>170</v>
      </c>
      <c r="B93" s="185" t="s">
        <v>377</v>
      </c>
      <c r="C93" s="185" t="s">
        <v>378</v>
      </c>
      <c r="D93" s="272">
        <v>170</v>
      </c>
      <c r="E93" s="274" t="s">
        <v>377</v>
      </c>
      <c r="F93" s="274" t="s">
        <v>378</v>
      </c>
      <c r="G93" s="275" t="b">
        <f t="shared" si="2"/>
        <v>1</v>
      </c>
      <c r="H93" s="275" t="b">
        <f t="shared" si="3"/>
        <v>1</v>
      </c>
    </row>
    <row r="94" spans="1:8" ht="15.75" thickBot="1">
      <c r="A94" s="269">
        <v>176</v>
      </c>
      <c r="B94" s="126" t="s">
        <v>374</v>
      </c>
      <c r="C94" s="126" t="s">
        <v>379</v>
      </c>
      <c r="D94" s="272">
        <v>161</v>
      </c>
      <c r="E94" s="126" t="s">
        <v>374</v>
      </c>
      <c r="F94" s="126" t="s">
        <v>379</v>
      </c>
      <c r="G94" s="275" t="b">
        <f t="shared" si="2"/>
        <v>1</v>
      </c>
      <c r="H94" s="275" t="b">
        <f t="shared" si="3"/>
        <v>1</v>
      </c>
    </row>
    <row r="95" spans="1:8" ht="15.75" thickBot="1">
      <c r="A95" s="269">
        <v>182</v>
      </c>
      <c r="B95" s="185" t="s">
        <v>377</v>
      </c>
      <c r="C95" s="185" t="s">
        <v>380</v>
      </c>
      <c r="D95" s="272">
        <v>171</v>
      </c>
      <c r="E95" s="274" t="s">
        <v>377</v>
      </c>
      <c r="F95" s="274" t="s">
        <v>380</v>
      </c>
      <c r="G95" s="275" t="b">
        <f t="shared" si="2"/>
        <v>1</v>
      </c>
      <c r="H95" s="275" t="b">
        <f t="shared" si="3"/>
        <v>1</v>
      </c>
    </row>
    <row r="96" spans="1:8" ht="15.75" thickBot="1">
      <c r="A96" s="269">
        <v>185</v>
      </c>
      <c r="B96" s="211" t="s">
        <v>381</v>
      </c>
      <c r="C96" s="211" t="s">
        <v>382</v>
      </c>
      <c r="D96" s="272">
        <v>6</v>
      </c>
      <c r="E96" s="126" t="s">
        <v>381</v>
      </c>
      <c r="F96" s="126" t="s">
        <v>382</v>
      </c>
      <c r="G96" s="275" t="b">
        <f t="shared" si="2"/>
        <v>1</v>
      </c>
      <c r="H96" s="275" t="b">
        <f t="shared" si="3"/>
        <v>1</v>
      </c>
    </row>
    <row r="97" spans="1:8">
      <c r="A97" s="269">
        <v>187</v>
      </c>
      <c r="B97" s="185" t="s">
        <v>381</v>
      </c>
      <c r="C97" s="185" t="s">
        <v>383</v>
      </c>
      <c r="D97" s="272">
        <v>7</v>
      </c>
      <c r="E97" s="274" t="s">
        <v>381</v>
      </c>
      <c r="F97" s="274" t="s">
        <v>383</v>
      </c>
      <c r="G97" s="275" t="b">
        <f t="shared" si="2"/>
        <v>1</v>
      </c>
      <c r="H97" s="275" t="b">
        <f t="shared" si="3"/>
        <v>1</v>
      </c>
    </row>
    <row r="98" spans="1:8" ht="15.75" thickBot="1">
      <c r="A98" s="269">
        <v>198</v>
      </c>
      <c r="B98" s="126" t="s">
        <v>384</v>
      </c>
      <c r="C98" s="126" t="s">
        <v>385</v>
      </c>
      <c r="D98" t="s">
        <v>588</v>
      </c>
      <c r="G98" s="275" t="b">
        <f t="shared" si="2"/>
        <v>0</v>
      </c>
      <c r="H98" s="275" t="b">
        <f t="shared" si="3"/>
        <v>0</v>
      </c>
    </row>
    <row r="99" spans="1:8" ht="15.75" thickBot="1">
      <c r="A99" s="269">
        <v>200</v>
      </c>
      <c r="B99" s="185" t="s">
        <v>39</v>
      </c>
      <c r="C99" s="185" t="s">
        <v>386</v>
      </c>
      <c r="D99" s="272">
        <v>104</v>
      </c>
      <c r="E99" s="274" t="s">
        <v>39</v>
      </c>
      <c r="F99" s="274" t="s">
        <v>386</v>
      </c>
      <c r="G99" s="275" t="b">
        <f t="shared" si="2"/>
        <v>1</v>
      </c>
      <c r="H99" s="275" t="b">
        <f t="shared" si="3"/>
        <v>1</v>
      </c>
    </row>
    <row r="100" spans="1:8" ht="15.75" thickBot="1">
      <c r="A100" s="269">
        <v>204</v>
      </c>
      <c r="B100" s="126" t="s">
        <v>384</v>
      </c>
      <c r="C100" s="126" t="s">
        <v>387</v>
      </c>
      <c r="D100" s="272">
        <v>85</v>
      </c>
      <c r="E100" s="126" t="s">
        <v>384</v>
      </c>
      <c r="F100" s="126" t="s">
        <v>387</v>
      </c>
      <c r="G100" s="275" t="b">
        <f t="shared" si="2"/>
        <v>1</v>
      </c>
      <c r="H100" s="275" t="b">
        <f t="shared" si="3"/>
        <v>1</v>
      </c>
    </row>
    <row r="101" spans="1:8" ht="15.75" thickBot="1">
      <c r="A101" s="269">
        <v>213</v>
      </c>
      <c r="B101" s="185" t="s">
        <v>384</v>
      </c>
      <c r="C101" s="185" t="s">
        <v>388</v>
      </c>
      <c r="D101" s="272">
        <v>86</v>
      </c>
      <c r="E101" s="274" t="s">
        <v>384</v>
      </c>
      <c r="F101" s="274" t="s">
        <v>388</v>
      </c>
      <c r="G101" s="275" t="b">
        <f t="shared" si="2"/>
        <v>1</v>
      </c>
      <c r="H101" s="275" t="b">
        <f t="shared" si="3"/>
        <v>1</v>
      </c>
    </row>
    <row r="102" spans="1:8" ht="15.75" thickBot="1">
      <c r="A102" s="269">
        <v>216</v>
      </c>
      <c r="B102" s="126" t="s">
        <v>384</v>
      </c>
      <c r="C102" s="126" t="s">
        <v>380</v>
      </c>
      <c r="D102" s="272">
        <v>87</v>
      </c>
      <c r="E102" s="126" t="s">
        <v>384</v>
      </c>
      <c r="F102" s="126" t="s">
        <v>380</v>
      </c>
      <c r="G102" s="275" t="b">
        <f t="shared" si="2"/>
        <v>1</v>
      </c>
      <c r="H102" s="275" t="b">
        <f t="shared" si="3"/>
        <v>1</v>
      </c>
    </row>
    <row r="103" spans="1:8" ht="15.75" thickBot="1">
      <c r="A103" s="269">
        <v>222</v>
      </c>
      <c r="B103" s="185" t="s">
        <v>389</v>
      </c>
      <c r="C103" s="185" t="s">
        <v>390</v>
      </c>
      <c r="D103" s="272">
        <v>139</v>
      </c>
      <c r="E103" s="274" t="s">
        <v>389</v>
      </c>
      <c r="F103" s="274" t="s">
        <v>390</v>
      </c>
      <c r="G103" s="275" t="b">
        <f t="shared" si="2"/>
        <v>1</v>
      </c>
      <c r="H103" s="275" t="b">
        <f t="shared" si="3"/>
        <v>1</v>
      </c>
    </row>
    <row r="104" spans="1:8" ht="15.75" thickBot="1">
      <c r="A104" s="269">
        <v>228</v>
      </c>
      <c r="B104" s="126" t="s">
        <v>389</v>
      </c>
      <c r="C104" s="126" t="s">
        <v>391</v>
      </c>
      <c r="D104" s="272">
        <v>140</v>
      </c>
      <c r="E104" s="126" t="s">
        <v>389</v>
      </c>
      <c r="F104" s="126" t="s">
        <v>391</v>
      </c>
      <c r="G104" s="275" t="b">
        <f t="shared" si="2"/>
        <v>1</v>
      </c>
      <c r="H104" s="275" t="b">
        <f t="shared" si="3"/>
        <v>1</v>
      </c>
    </row>
    <row r="105" spans="1:8" ht="15.75" thickBot="1">
      <c r="A105" s="269">
        <v>231</v>
      </c>
      <c r="B105" s="185" t="s">
        <v>389</v>
      </c>
      <c r="C105" s="185" t="s">
        <v>392</v>
      </c>
      <c r="D105" s="272">
        <v>141</v>
      </c>
      <c r="E105" s="274" t="s">
        <v>389</v>
      </c>
      <c r="F105" s="274" t="s">
        <v>392</v>
      </c>
      <c r="G105" s="275" t="b">
        <f t="shared" si="2"/>
        <v>1</v>
      </c>
      <c r="H105" s="275" t="b">
        <f t="shared" si="3"/>
        <v>1</v>
      </c>
    </row>
    <row r="106" spans="1:8" ht="15.75" thickBot="1">
      <c r="A106" s="269">
        <v>237</v>
      </c>
      <c r="B106" s="126" t="s">
        <v>389</v>
      </c>
      <c r="C106" s="126" t="s">
        <v>393</v>
      </c>
      <c r="D106" s="272">
        <v>142</v>
      </c>
      <c r="E106" s="126" t="s">
        <v>389</v>
      </c>
      <c r="F106" s="126" t="s">
        <v>393</v>
      </c>
      <c r="G106" s="275" t="b">
        <f t="shared" si="2"/>
        <v>1</v>
      </c>
      <c r="H106" s="275" t="b">
        <f t="shared" si="3"/>
        <v>1</v>
      </c>
    </row>
    <row r="107" spans="1:8" ht="15.75" thickBot="1">
      <c r="A107" s="269">
        <v>240</v>
      </c>
      <c r="B107" s="185" t="s">
        <v>389</v>
      </c>
      <c r="C107" s="185" t="s">
        <v>394</v>
      </c>
      <c r="D107" s="272">
        <v>143</v>
      </c>
      <c r="E107" s="274" t="s">
        <v>389</v>
      </c>
      <c r="F107" s="274" t="s">
        <v>394</v>
      </c>
      <c r="G107" s="275" t="b">
        <f t="shared" si="2"/>
        <v>1</v>
      </c>
      <c r="H107" s="275" t="b">
        <f t="shared" si="3"/>
        <v>1</v>
      </c>
    </row>
    <row r="108" spans="1:8" ht="15.75" thickBot="1">
      <c r="A108" s="269">
        <v>243</v>
      </c>
      <c r="B108" s="126" t="s">
        <v>389</v>
      </c>
      <c r="C108" s="126" t="s">
        <v>395</v>
      </c>
      <c r="D108" s="272">
        <v>144</v>
      </c>
      <c r="E108" s="126" t="s">
        <v>389</v>
      </c>
      <c r="F108" s="126" t="s">
        <v>395</v>
      </c>
      <c r="G108" s="275" t="b">
        <f t="shared" si="2"/>
        <v>1</v>
      </c>
      <c r="H108" s="275" t="b">
        <f t="shared" si="3"/>
        <v>1</v>
      </c>
    </row>
    <row r="109" spans="1:8" ht="15.75" thickBot="1">
      <c r="A109" s="269">
        <v>246</v>
      </c>
      <c r="B109" s="185" t="s">
        <v>389</v>
      </c>
      <c r="C109" s="185" t="s">
        <v>396</v>
      </c>
      <c r="D109" s="272">
        <v>145</v>
      </c>
      <c r="E109" s="274" t="s">
        <v>389</v>
      </c>
      <c r="F109" s="274" t="s">
        <v>396</v>
      </c>
      <c r="G109" s="275" t="b">
        <f t="shared" si="2"/>
        <v>1</v>
      </c>
      <c r="H109" s="275" t="b">
        <f t="shared" si="3"/>
        <v>1</v>
      </c>
    </row>
    <row r="110" spans="1:8" ht="15.75" thickBot="1">
      <c r="A110" s="269">
        <v>249</v>
      </c>
      <c r="B110" s="126" t="s">
        <v>397</v>
      </c>
      <c r="C110" s="126" t="s">
        <v>398</v>
      </c>
      <c r="D110" s="272">
        <v>2</v>
      </c>
      <c r="E110" s="126" t="s">
        <v>397</v>
      </c>
      <c r="F110" s="126" t="s">
        <v>398</v>
      </c>
      <c r="G110" s="275" t="b">
        <f t="shared" si="2"/>
        <v>1</v>
      </c>
      <c r="H110" s="275" t="b">
        <f t="shared" si="3"/>
        <v>1</v>
      </c>
    </row>
    <row r="111" spans="1:8" ht="15.75" thickBot="1">
      <c r="A111" s="269">
        <v>252</v>
      </c>
      <c r="B111" s="185" t="s">
        <v>397</v>
      </c>
      <c r="C111" s="185" t="s">
        <v>399</v>
      </c>
      <c r="D111" s="272">
        <v>3</v>
      </c>
      <c r="E111" s="274" t="s">
        <v>397</v>
      </c>
      <c r="F111" s="274" t="s">
        <v>399</v>
      </c>
      <c r="G111" s="275" t="b">
        <f t="shared" si="2"/>
        <v>1</v>
      </c>
      <c r="H111" s="275" t="b">
        <f t="shared" si="3"/>
        <v>1</v>
      </c>
    </row>
    <row r="112" spans="1:8" ht="15.75" thickBot="1">
      <c r="A112" s="269">
        <v>255</v>
      </c>
      <c r="B112" s="126" t="s">
        <v>397</v>
      </c>
      <c r="C112" s="126" t="s">
        <v>400</v>
      </c>
      <c r="D112" s="272">
        <v>4</v>
      </c>
      <c r="E112" s="126" t="s">
        <v>397</v>
      </c>
      <c r="F112" s="126" t="s">
        <v>400</v>
      </c>
      <c r="G112" s="275" t="b">
        <f t="shared" si="2"/>
        <v>1</v>
      </c>
      <c r="H112" s="275" t="b">
        <f t="shared" si="3"/>
        <v>1</v>
      </c>
    </row>
    <row r="113" spans="1:8" ht="15.75" thickBot="1">
      <c r="A113" s="269">
        <v>258</v>
      </c>
      <c r="B113" s="185" t="s">
        <v>397</v>
      </c>
      <c r="C113" s="185" t="s">
        <v>401</v>
      </c>
      <c r="D113" s="272">
        <v>5</v>
      </c>
      <c r="E113" s="274" t="s">
        <v>397</v>
      </c>
      <c r="F113" s="274" t="s">
        <v>401</v>
      </c>
      <c r="G113" s="275" t="b">
        <f t="shared" si="2"/>
        <v>1</v>
      </c>
      <c r="H113" s="275" t="b">
        <f t="shared" si="3"/>
        <v>1</v>
      </c>
    </row>
    <row r="114" spans="1:8" ht="15.75" thickBot="1">
      <c r="A114" s="269">
        <v>261</v>
      </c>
      <c r="B114" s="126" t="s">
        <v>402</v>
      </c>
      <c r="C114" s="126" t="s">
        <v>403</v>
      </c>
      <c r="D114" s="272">
        <v>179</v>
      </c>
      <c r="E114" s="126" t="s">
        <v>402</v>
      </c>
      <c r="F114" s="126" t="s">
        <v>403</v>
      </c>
      <c r="G114" s="275" t="b">
        <f t="shared" si="2"/>
        <v>1</v>
      </c>
      <c r="H114" s="275" t="b">
        <f t="shared" si="3"/>
        <v>1</v>
      </c>
    </row>
    <row r="115" spans="1:8" ht="15.75" thickBot="1">
      <c r="A115" s="269">
        <v>264</v>
      </c>
      <c r="B115" s="185" t="s">
        <v>402</v>
      </c>
      <c r="C115" s="185" t="s">
        <v>404</v>
      </c>
      <c r="D115" s="272">
        <v>180</v>
      </c>
      <c r="E115" s="274" t="s">
        <v>402</v>
      </c>
      <c r="F115" s="274" t="s">
        <v>404</v>
      </c>
      <c r="G115" s="275" t="b">
        <f t="shared" si="2"/>
        <v>1</v>
      </c>
      <c r="H115" s="275" t="b">
        <f t="shared" si="3"/>
        <v>1</v>
      </c>
    </row>
    <row r="116" spans="1:8">
      <c r="A116" s="269">
        <v>267</v>
      </c>
      <c r="B116" s="126" t="s">
        <v>402</v>
      </c>
      <c r="C116" s="126" t="s">
        <v>405</v>
      </c>
      <c r="D116" s="272">
        <v>181</v>
      </c>
      <c r="E116" s="126" t="s">
        <v>402</v>
      </c>
      <c r="F116" s="126" t="s">
        <v>405</v>
      </c>
      <c r="G116" s="275" t="b">
        <f t="shared" si="2"/>
        <v>1</v>
      </c>
      <c r="H116" s="275" t="b">
        <f t="shared" si="3"/>
        <v>1</v>
      </c>
    </row>
    <row r="117" spans="1:8" ht="15.75" thickBot="1">
      <c r="A117" s="269">
        <v>270</v>
      </c>
      <c r="B117" s="185" t="s">
        <v>402</v>
      </c>
      <c r="C117" s="185" t="s">
        <v>406</v>
      </c>
      <c r="D117" t="s">
        <v>588</v>
      </c>
      <c r="G117" s="275" t="b">
        <f t="shared" si="2"/>
        <v>0</v>
      </c>
      <c r="H117" s="275" t="b">
        <f t="shared" si="3"/>
        <v>0</v>
      </c>
    </row>
    <row r="118" spans="1:8" ht="15.75" thickBot="1">
      <c r="A118" s="269">
        <v>273</v>
      </c>
      <c r="B118" s="126" t="s">
        <v>54</v>
      </c>
      <c r="C118" s="126" t="s">
        <v>407</v>
      </c>
      <c r="D118" s="272">
        <v>90</v>
      </c>
      <c r="E118" s="126" t="s">
        <v>54</v>
      </c>
      <c r="F118" s="126" t="s">
        <v>407</v>
      </c>
      <c r="G118" s="275" t="b">
        <f t="shared" si="2"/>
        <v>1</v>
      </c>
      <c r="H118" s="275" t="b">
        <f t="shared" si="3"/>
        <v>1</v>
      </c>
    </row>
    <row r="119" spans="1:8" ht="15.75" thickBot="1">
      <c r="A119" s="269">
        <v>274</v>
      </c>
      <c r="B119" s="185" t="s">
        <v>54</v>
      </c>
      <c r="C119" s="185" t="s">
        <v>408</v>
      </c>
      <c r="D119" s="272">
        <v>91</v>
      </c>
      <c r="E119" s="274" t="s">
        <v>54</v>
      </c>
      <c r="F119" s="274" t="s">
        <v>408</v>
      </c>
      <c r="G119" s="275" t="b">
        <f t="shared" si="2"/>
        <v>1</v>
      </c>
      <c r="H119" s="275" t="b">
        <f t="shared" si="3"/>
        <v>1</v>
      </c>
    </row>
    <row r="120" spans="1:8" ht="15.75" thickBot="1">
      <c r="A120" s="269">
        <v>275</v>
      </c>
      <c r="B120" s="126" t="s">
        <v>409</v>
      </c>
      <c r="C120" s="126" t="s">
        <v>410</v>
      </c>
      <c r="D120" s="272">
        <v>89</v>
      </c>
      <c r="E120" s="126" t="s">
        <v>409</v>
      </c>
      <c r="F120" s="126" t="s">
        <v>410</v>
      </c>
      <c r="G120" s="275" t="b">
        <f t="shared" si="2"/>
        <v>1</v>
      </c>
      <c r="H120" s="275" t="b">
        <f t="shared" si="3"/>
        <v>1</v>
      </c>
    </row>
    <row r="121" spans="1:8">
      <c r="A121" s="269">
        <v>276</v>
      </c>
      <c r="B121" s="185" t="s">
        <v>53</v>
      </c>
      <c r="C121" s="185" t="s">
        <v>411</v>
      </c>
      <c r="D121" s="272">
        <v>93</v>
      </c>
      <c r="E121" s="274" t="s">
        <v>53</v>
      </c>
      <c r="F121" s="274" t="s">
        <v>411</v>
      </c>
      <c r="G121" s="275" t="b">
        <f t="shared" si="2"/>
        <v>1</v>
      </c>
      <c r="H121" s="275" t="b">
        <f t="shared" si="3"/>
        <v>1</v>
      </c>
    </row>
    <row r="122" spans="1:8" ht="15.75" thickBot="1">
      <c r="A122" s="269">
        <v>278</v>
      </c>
      <c r="B122" s="126" t="s">
        <v>53</v>
      </c>
      <c r="C122" s="126" t="s">
        <v>412</v>
      </c>
      <c r="D122" t="s">
        <v>588</v>
      </c>
      <c r="G122" s="275" t="b">
        <f t="shared" si="2"/>
        <v>0</v>
      </c>
      <c r="H122" s="275" t="b">
        <f t="shared" si="3"/>
        <v>0</v>
      </c>
    </row>
    <row r="123" spans="1:8" ht="15.75" thickBot="1">
      <c r="A123" s="269">
        <v>281</v>
      </c>
      <c r="B123" s="185" t="s">
        <v>87</v>
      </c>
      <c r="C123" s="185" t="s">
        <v>413</v>
      </c>
      <c r="D123" s="272">
        <v>111</v>
      </c>
      <c r="E123" s="274" t="s">
        <v>87</v>
      </c>
      <c r="F123" s="274" t="s">
        <v>413</v>
      </c>
      <c r="G123" s="275" t="b">
        <f t="shared" si="2"/>
        <v>1</v>
      </c>
      <c r="H123" s="275" t="b">
        <f t="shared" si="3"/>
        <v>1</v>
      </c>
    </row>
    <row r="124" spans="1:8" ht="15.75" thickBot="1">
      <c r="A124" s="269">
        <v>283</v>
      </c>
      <c r="B124" s="126" t="s">
        <v>414</v>
      </c>
      <c r="C124" s="126" t="s">
        <v>415</v>
      </c>
      <c r="D124" s="272">
        <v>156</v>
      </c>
      <c r="E124" s="126" t="s">
        <v>414</v>
      </c>
      <c r="F124" s="126" t="s">
        <v>415</v>
      </c>
      <c r="G124" s="275" t="b">
        <f t="shared" si="2"/>
        <v>1</v>
      </c>
      <c r="H124" s="275" t="b">
        <f t="shared" si="3"/>
        <v>1</v>
      </c>
    </row>
    <row r="125" spans="1:8" ht="15.75" thickBot="1">
      <c r="A125" s="269">
        <v>286</v>
      </c>
      <c r="B125" s="185" t="s">
        <v>416</v>
      </c>
      <c r="C125" s="185" t="s">
        <v>417</v>
      </c>
      <c r="D125" s="272">
        <v>162</v>
      </c>
      <c r="E125" s="274" t="s">
        <v>416</v>
      </c>
      <c r="F125" s="274" t="s">
        <v>417</v>
      </c>
      <c r="G125" s="275" t="b">
        <f t="shared" si="2"/>
        <v>1</v>
      </c>
      <c r="H125" s="275" t="b">
        <f t="shared" si="3"/>
        <v>1</v>
      </c>
    </row>
    <row r="126" spans="1:8" ht="15.75" thickBot="1">
      <c r="A126" s="269">
        <v>289</v>
      </c>
      <c r="B126" s="126" t="s">
        <v>416</v>
      </c>
      <c r="C126" s="126" t="s">
        <v>667</v>
      </c>
      <c r="D126" s="272">
        <v>163</v>
      </c>
      <c r="E126" s="126" t="s">
        <v>416</v>
      </c>
      <c r="F126" s="126" t="s">
        <v>667</v>
      </c>
      <c r="G126" s="275" t="b">
        <f t="shared" si="2"/>
        <v>1</v>
      </c>
      <c r="H126" s="275" t="b">
        <f t="shared" si="3"/>
        <v>1</v>
      </c>
    </row>
    <row r="127" spans="1:8" ht="15.75" thickBot="1">
      <c r="A127" s="269">
        <v>292</v>
      </c>
      <c r="B127" s="185" t="s">
        <v>416</v>
      </c>
      <c r="C127" s="185" t="s">
        <v>418</v>
      </c>
      <c r="D127" s="272">
        <v>164</v>
      </c>
      <c r="E127" s="274" t="s">
        <v>416</v>
      </c>
      <c r="F127" s="274" t="s">
        <v>418</v>
      </c>
      <c r="G127" s="275" t="b">
        <f t="shared" si="2"/>
        <v>1</v>
      </c>
      <c r="H127" s="275" t="b">
        <f t="shared" si="3"/>
        <v>1</v>
      </c>
    </row>
    <row r="128" spans="1:8" ht="15.75" thickBot="1">
      <c r="A128" s="269">
        <v>295</v>
      </c>
      <c r="B128" s="126" t="s">
        <v>416</v>
      </c>
      <c r="C128" s="126" t="s">
        <v>419</v>
      </c>
      <c r="D128" s="272">
        <v>165</v>
      </c>
      <c r="E128" s="126" t="s">
        <v>416</v>
      </c>
      <c r="F128" s="126" t="s">
        <v>419</v>
      </c>
      <c r="G128" s="275" t="b">
        <f t="shared" si="2"/>
        <v>1</v>
      </c>
      <c r="H128" s="275" t="b">
        <f t="shared" si="3"/>
        <v>1</v>
      </c>
    </row>
    <row r="129" spans="1:8">
      <c r="A129" s="269">
        <v>299</v>
      </c>
      <c r="B129" s="185" t="s">
        <v>416</v>
      </c>
      <c r="C129" s="185" t="s">
        <v>420</v>
      </c>
      <c r="D129" s="272">
        <v>166</v>
      </c>
      <c r="E129" s="274" t="s">
        <v>416</v>
      </c>
      <c r="F129" s="274" t="s">
        <v>420</v>
      </c>
      <c r="G129" s="275" t="b">
        <f t="shared" si="2"/>
        <v>1</v>
      </c>
      <c r="H129" s="275" t="b">
        <f t="shared" si="3"/>
        <v>1</v>
      </c>
    </row>
    <row r="130" spans="1:8" ht="15.75" thickBot="1">
      <c r="A130" s="269">
        <v>300</v>
      </c>
      <c r="B130" s="126" t="s">
        <v>421</v>
      </c>
      <c r="C130" s="126" t="s">
        <v>422</v>
      </c>
      <c r="D130" t="s">
        <v>137</v>
      </c>
      <c r="G130" s="275" t="b">
        <f t="shared" si="2"/>
        <v>0</v>
      </c>
      <c r="H130" s="275" t="b">
        <f t="shared" si="3"/>
        <v>0</v>
      </c>
    </row>
    <row r="131" spans="1:8" ht="15.75" thickBot="1">
      <c r="A131" s="269">
        <v>302</v>
      </c>
      <c r="B131" s="185" t="s">
        <v>416</v>
      </c>
      <c r="C131" s="185" t="s">
        <v>423</v>
      </c>
      <c r="D131" s="272">
        <v>167</v>
      </c>
      <c r="E131" s="274" t="s">
        <v>416</v>
      </c>
      <c r="F131" s="274" t="s">
        <v>423</v>
      </c>
      <c r="G131" s="275" t="b">
        <f t="shared" si="2"/>
        <v>1</v>
      </c>
      <c r="H131" s="275" t="b">
        <f t="shared" si="3"/>
        <v>1</v>
      </c>
    </row>
    <row r="132" spans="1:8" ht="15.75" thickBot="1">
      <c r="A132" s="269">
        <v>305</v>
      </c>
      <c r="B132" s="126" t="s">
        <v>414</v>
      </c>
      <c r="C132" s="126" t="s">
        <v>424</v>
      </c>
      <c r="D132" s="272">
        <v>157</v>
      </c>
      <c r="E132" s="126" t="s">
        <v>414</v>
      </c>
      <c r="F132" s="126" t="s">
        <v>424</v>
      </c>
      <c r="G132" s="275" t="b">
        <f t="shared" ref="G132:G195" si="4">B132=E132</f>
        <v>1</v>
      </c>
      <c r="H132" s="275" t="b">
        <f t="shared" ref="H132:H195" si="5">C132=F132</f>
        <v>1</v>
      </c>
    </row>
    <row r="133" spans="1:8" ht="15.75" thickBot="1">
      <c r="A133" s="269">
        <v>308</v>
      </c>
      <c r="B133" s="185" t="s">
        <v>416</v>
      </c>
      <c r="C133" s="185" t="s">
        <v>425</v>
      </c>
      <c r="D133" s="272">
        <v>168</v>
      </c>
      <c r="E133" s="274" t="s">
        <v>416</v>
      </c>
      <c r="F133" s="274" t="s">
        <v>425</v>
      </c>
      <c r="G133" s="275" t="b">
        <f t="shared" si="4"/>
        <v>1</v>
      </c>
      <c r="H133" s="275" t="b">
        <f t="shared" si="5"/>
        <v>1</v>
      </c>
    </row>
    <row r="134" spans="1:8" ht="15.75" thickBot="1">
      <c r="A134" s="269">
        <v>311</v>
      </c>
      <c r="B134" s="126" t="s">
        <v>416</v>
      </c>
      <c r="C134" s="126" t="s">
        <v>426</v>
      </c>
      <c r="D134" s="272">
        <v>169</v>
      </c>
      <c r="E134" s="126" t="s">
        <v>416</v>
      </c>
      <c r="F134" s="126" t="s">
        <v>426</v>
      </c>
      <c r="G134" s="275" t="b">
        <f t="shared" si="4"/>
        <v>1</v>
      </c>
      <c r="H134" s="275" t="b">
        <f t="shared" si="5"/>
        <v>1</v>
      </c>
    </row>
    <row r="135" spans="1:8" ht="15.75" thickBot="1">
      <c r="A135" s="269">
        <v>314</v>
      </c>
      <c r="B135" s="185" t="s">
        <v>414</v>
      </c>
      <c r="C135" s="185" t="s">
        <v>427</v>
      </c>
      <c r="D135" s="272">
        <v>158</v>
      </c>
      <c r="E135" s="274" t="s">
        <v>414</v>
      </c>
      <c r="F135" s="274" t="s">
        <v>427</v>
      </c>
      <c r="G135" s="275" t="b">
        <f t="shared" si="4"/>
        <v>1</v>
      </c>
      <c r="H135" s="275" t="b">
        <f t="shared" si="5"/>
        <v>1</v>
      </c>
    </row>
    <row r="136" spans="1:8" ht="15.75" thickBot="1">
      <c r="A136" s="269">
        <v>326</v>
      </c>
      <c r="B136" s="126" t="s">
        <v>428</v>
      </c>
      <c r="C136" s="126" t="s">
        <v>429</v>
      </c>
      <c r="D136" s="272">
        <v>8</v>
      </c>
      <c r="E136" s="126" t="s">
        <v>428</v>
      </c>
      <c r="F136" s="126" t="s">
        <v>429</v>
      </c>
      <c r="G136" s="275" t="b">
        <f t="shared" si="4"/>
        <v>1</v>
      </c>
      <c r="H136" s="275" t="b">
        <f t="shared" si="5"/>
        <v>1</v>
      </c>
    </row>
    <row r="137" spans="1:8" ht="15.75" thickBot="1">
      <c r="A137" s="269">
        <v>329</v>
      </c>
      <c r="B137" s="185" t="s">
        <v>428</v>
      </c>
      <c r="C137" s="185" t="s">
        <v>430</v>
      </c>
      <c r="D137" s="272">
        <v>9</v>
      </c>
      <c r="E137" s="274" t="s">
        <v>428</v>
      </c>
      <c r="F137" s="274" t="s">
        <v>430</v>
      </c>
      <c r="G137" s="275" t="b">
        <f t="shared" si="4"/>
        <v>1</v>
      </c>
      <c r="H137" s="275" t="b">
        <f t="shared" si="5"/>
        <v>1</v>
      </c>
    </row>
    <row r="138" spans="1:8" ht="15.75" thickBot="1">
      <c r="A138" s="269">
        <v>330</v>
      </c>
      <c r="B138" s="126" t="s">
        <v>121</v>
      </c>
      <c r="C138" s="126" t="s">
        <v>431</v>
      </c>
      <c r="D138" s="272">
        <v>120</v>
      </c>
      <c r="E138" s="126" t="s">
        <v>121</v>
      </c>
      <c r="F138" s="126" t="s">
        <v>431</v>
      </c>
      <c r="G138" s="275" t="b">
        <f t="shared" si="4"/>
        <v>1</v>
      </c>
      <c r="H138" s="275" t="b">
        <f t="shared" si="5"/>
        <v>1</v>
      </c>
    </row>
    <row r="139" spans="1:8" ht="15.75" thickBot="1">
      <c r="A139" s="269">
        <v>332</v>
      </c>
      <c r="B139" s="185" t="s">
        <v>120</v>
      </c>
      <c r="C139" s="185" t="s">
        <v>432</v>
      </c>
      <c r="D139" s="272">
        <v>118</v>
      </c>
      <c r="E139" s="274" t="s">
        <v>120</v>
      </c>
      <c r="F139" s="274" t="s">
        <v>432</v>
      </c>
      <c r="G139" s="275" t="b">
        <f t="shared" si="4"/>
        <v>1</v>
      </c>
      <c r="H139" s="275" t="b">
        <f t="shared" si="5"/>
        <v>1</v>
      </c>
    </row>
    <row r="140" spans="1:8" ht="15.75" thickBot="1">
      <c r="A140" s="269">
        <v>332.1</v>
      </c>
      <c r="B140" s="126" t="s">
        <v>120</v>
      </c>
      <c r="C140" s="126" t="s">
        <v>432</v>
      </c>
      <c r="D140" s="272">
        <v>119</v>
      </c>
      <c r="E140" s="126" t="s">
        <v>120</v>
      </c>
      <c r="F140" s="126" t="s">
        <v>432</v>
      </c>
      <c r="G140" s="275" t="b">
        <f t="shared" si="4"/>
        <v>1</v>
      </c>
      <c r="H140" s="275" t="b">
        <f t="shared" si="5"/>
        <v>1</v>
      </c>
    </row>
    <row r="141" spans="1:8" ht="15.75" thickBot="1">
      <c r="A141" s="269">
        <v>334</v>
      </c>
      <c r="B141" s="126" t="s">
        <v>89</v>
      </c>
      <c r="C141" s="126" t="s">
        <v>433</v>
      </c>
      <c r="D141" s="272">
        <v>123</v>
      </c>
      <c r="E141" s="274" t="s">
        <v>89</v>
      </c>
      <c r="F141" s="274" t="s">
        <v>433</v>
      </c>
      <c r="G141" s="275" t="b">
        <f t="shared" si="4"/>
        <v>1</v>
      </c>
      <c r="H141" s="275" t="b">
        <f t="shared" si="5"/>
        <v>1</v>
      </c>
    </row>
    <row r="142" spans="1:8" ht="15.75" thickBot="1">
      <c r="A142" s="269">
        <v>336</v>
      </c>
      <c r="B142" s="185" t="s">
        <v>89</v>
      </c>
      <c r="C142" s="185" t="s">
        <v>434</v>
      </c>
      <c r="D142" s="272">
        <v>124</v>
      </c>
      <c r="E142" s="126" t="s">
        <v>89</v>
      </c>
      <c r="F142" s="126" t="s">
        <v>434</v>
      </c>
      <c r="G142" s="275" t="b">
        <f t="shared" si="4"/>
        <v>1</v>
      </c>
      <c r="H142" s="275" t="b">
        <f t="shared" si="5"/>
        <v>1</v>
      </c>
    </row>
    <row r="143" spans="1:8" ht="15.75" thickBot="1">
      <c r="A143" s="269">
        <v>340</v>
      </c>
      <c r="B143" s="126" t="s">
        <v>43</v>
      </c>
      <c r="C143" s="126" t="s">
        <v>435</v>
      </c>
      <c r="D143" s="272">
        <v>105</v>
      </c>
      <c r="E143" s="274" t="s">
        <v>43</v>
      </c>
      <c r="F143" s="274" t="s">
        <v>435</v>
      </c>
      <c r="G143" s="275" t="b">
        <f t="shared" si="4"/>
        <v>1</v>
      </c>
      <c r="H143" s="275" t="b">
        <f t="shared" si="5"/>
        <v>1</v>
      </c>
    </row>
    <row r="144" spans="1:8" ht="15.75" thickBot="1">
      <c r="A144" s="269">
        <v>342</v>
      </c>
      <c r="B144" s="185" t="s">
        <v>43</v>
      </c>
      <c r="C144" s="185" t="s">
        <v>436</v>
      </c>
      <c r="D144" s="272">
        <v>106</v>
      </c>
      <c r="E144" s="126" t="s">
        <v>43</v>
      </c>
      <c r="F144" s="126" t="s">
        <v>436</v>
      </c>
      <c r="G144" s="275" t="b">
        <f t="shared" si="4"/>
        <v>1</v>
      </c>
      <c r="H144" s="275" t="b">
        <f t="shared" si="5"/>
        <v>1</v>
      </c>
    </row>
    <row r="145" spans="1:8" ht="15.75" thickBot="1">
      <c r="A145" s="269">
        <v>344</v>
      </c>
      <c r="B145" s="126" t="s">
        <v>115</v>
      </c>
      <c r="C145" s="126" t="s">
        <v>437</v>
      </c>
      <c r="D145" s="272">
        <v>107</v>
      </c>
      <c r="E145" s="274" t="s">
        <v>115</v>
      </c>
      <c r="F145" s="274" t="s">
        <v>437</v>
      </c>
      <c r="G145" s="275" t="b">
        <f t="shared" si="4"/>
        <v>1</v>
      </c>
      <c r="H145" s="275" t="b">
        <f t="shared" si="5"/>
        <v>1</v>
      </c>
    </row>
    <row r="146" spans="1:8" ht="15.75" thickBot="1">
      <c r="A146" s="269">
        <v>348</v>
      </c>
      <c r="B146" s="185" t="s">
        <v>438</v>
      </c>
      <c r="C146" s="185" t="s">
        <v>439</v>
      </c>
      <c r="D146" s="272">
        <v>152</v>
      </c>
      <c r="E146" s="126" t="s">
        <v>438</v>
      </c>
      <c r="F146" s="126" t="s">
        <v>439</v>
      </c>
      <c r="G146" s="275" t="b">
        <f t="shared" si="4"/>
        <v>1</v>
      </c>
      <c r="H146" s="275" t="b">
        <f t="shared" si="5"/>
        <v>1</v>
      </c>
    </row>
    <row r="147" spans="1:8" ht="15.75" thickBot="1">
      <c r="A147" s="269">
        <v>350</v>
      </c>
      <c r="B147" s="126" t="s">
        <v>438</v>
      </c>
      <c r="C147" s="126" t="s">
        <v>440</v>
      </c>
      <c r="D147" s="272">
        <v>153</v>
      </c>
      <c r="E147" s="274" t="s">
        <v>438</v>
      </c>
      <c r="F147" s="274" t="s">
        <v>440</v>
      </c>
      <c r="G147" s="275" t="b">
        <f t="shared" si="4"/>
        <v>1</v>
      </c>
      <c r="H147" s="275" t="b">
        <f t="shared" si="5"/>
        <v>1</v>
      </c>
    </row>
    <row r="148" spans="1:8" ht="15.75" thickBot="1">
      <c r="A148" s="269">
        <v>352</v>
      </c>
      <c r="B148" s="185" t="s">
        <v>441</v>
      </c>
      <c r="C148" s="185" t="s">
        <v>442</v>
      </c>
      <c r="D148" s="272">
        <v>134</v>
      </c>
      <c r="E148" s="126" t="s">
        <v>441</v>
      </c>
      <c r="F148" s="126" t="s">
        <v>442</v>
      </c>
      <c r="G148" s="275" t="b">
        <f t="shared" si="4"/>
        <v>1</v>
      </c>
      <c r="H148" s="275" t="b">
        <f t="shared" si="5"/>
        <v>1</v>
      </c>
    </row>
    <row r="149" spans="1:8" ht="15.75" thickBot="1">
      <c r="A149" s="269">
        <v>354</v>
      </c>
      <c r="B149" s="126" t="s">
        <v>24</v>
      </c>
      <c r="C149" s="126" t="s">
        <v>443</v>
      </c>
      <c r="D149" s="272">
        <v>14</v>
      </c>
      <c r="E149" s="347" t="s">
        <v>24</v>
      </c>
      <c r="F149" s="347" t="s">
        <v>787</v>
      </c>
      <c r="G149" s="275" t="b">
        <f t="shared" si="4"/>
        <v>1</v>
      </c>
      <c r="H149" s="275" t="b">
        <f t="shared" si="5"/>
        <v>0</v>
      </c>
    </row>
    <row r="150" spans="1:8">
      <c r="A150" s="269">
        <v>356</v>
      </c>
      <c r="B150" s="185" t="s">
        <v>444</v>
      </c>
      <c r="C150" s="185" t="s">
        <v>445</v>
      </c>
      <c r="D150" s="272">
        <v>21</v>
      </c>
      <c r="E150" s="126" t="s">
        <v>444</v>
      </c>
      <c r="F150" s="126" t="s">
        <v>445</v>
      </c>
      <c r="G150" s="275" t="b">
        <f t="shared" si="4"/>
        <v>1</v>
      </c>
      <c r="H150" s="275" t="b">
        <f t="shared" si="5"/>
        <v>1</v>
      </c>
    </row>
    <row r="151" spans="1:8">
      <c r="A151" s="269">
        <v>358</v>
      </c>
      <c r="B151" s="126" t="s">
        <v>27</v>
      </c>
      <c r="C151" s="126" t="s">
        <v>446</v>
      </c>
      <c r="D151" t="s">
        <v>588</v>
      </c>
      <c r="G151" s="275" t="b">
        <f t="shared" si="4"/>
        <v>0</v>
      </c>
      <c r="H151" s="275" t="b">
        <f t="shared" si="5"/>
        <v>0</v>
      </c>
    </row>
    <row r="152" spans="1:8" ht="15.75" thickBot="1">
      <c r="A152" s="269">
        <v>360</v>
      </c>
      <c r="B152" s="185" t="s">
        <v>421</v>
      </c>
      <c r="C152" s="185" t="s">
        <v>447</v>
      </c>
      <c r="D152" t="s">
        <v>137</v>
      </c>
      <c r="G152" s="275" t="b">
        <f t="shared" si="4"/>
        <v>0</v>
      </c>
      <c r="H152" s="275" t="b">
        <f t="shared" si="5"/>
        <v>0</v>
      </c>
    </row>
    <row r="153" spans="1:8" ht="15.75" thickBot="1">
      <c r="A153" s="269">
        <v>362</v>
      </c>
      <c r="B153" s="126" t="s">
        <v>79</v>
      </c>
      <c r="C153" s="126" t="s">
        <v>448</v>
      </c>
      <c r="D153" s="272">
        <v>55</v>
      </c>
      <c r="E153" s="274" t="s">
        <v>79</v>
      </c>
      <c r="F153" s="274" t="s">
        <v>448</v>
      </c>
      <c r="G153" s="275" t="b">
        <f t="shared" si="4"/>
        <v>1</v>
      </c>
      <c r="H153" s="275" t="b">
        <f t="shared" si="5"/>
        <v>1</v>
      </c>
    </row>
    <row r="154" spans="1:8" ht="15.75" thickBot="1">
      <c r="A154" s="269">
        <v>364</v>
      </c>
      <c r="B154" s="185" t="s">
        <v>82</v>
      </c>
      <c r="C154" s="185" t="s">
        <v>449</v>
      </c>
      <c r="D154" s="272">
        <v>56</v>
      </c>
      <c r="E154" s="126" t="s">
        <v>82</v>
      </c>
      <c r="F154" s="126" t="s">
        <v>449</v>
      </c>
      <c r="G154" s="275" t="b">
        <f t="shared" si="4"/>
        <v>1</v>
      </c>
      <c r="H154" s="275" t="b">
        <f t="shared" si="5"/>
        <v>1</v>
      </c>
    </row>
    <row r="155" spans="1:8" ht="15.75" thickBot="1">
      <c r="A155" s="269">
        <v>366</v>
      </c>
      <c r="B155" s="126" t="s">
        <v>450</v>
      </c>
      <c r="C155" s="126" t="s">
        <v>451</v>
      </c>
      <c r="D155" s="272">
        <v>54</v>
      </c>
      <c r="E155" s="274" t="s">
        <v>450</v>
      </c>
      <c r="F155" s="274" t="s">
        <v>451</v>
      </c>
      <c r="G155" s="275" t="b">
        <f t="shared" si="4"/>
        <v>1</v>
      </c>
      <c r="H155" s="275" t="b">
        <f t="shared" si="5"/>
        <v>1</v>
      </c>
    </row>
    <row r="156" spans="1:8" ht="15.75" thickBot="1">
      <c r="A156" s="269">
        <v>368</v>
      </c>
      <c r="B156" s="185" t="s">
        <v>452</v>
      </c>
      <c r="C156" s="185" t="s">
        <v>453</v>
      </c>
      <c r="D156" s="272">
        <v>71</v>
      </c>
      <c r="E156" s="126" t="s">
        <v>452</v>
      </c>
      <c r="F156" s="126" t="s">
        <v>453</v>
      </c>
      <c r="G156" s="275" t="b">
        <f t="shared" si="4"/>
        <v>1</v>
      </c>
      <c r="H156" s="275" t="b">
        <f t="shared" si="5"/>
        <v>1</v>
      </c>
    </row>
    <row r="157" spans="1:8" ht="15.75" thickBot="1">
      <c r="A157" s="269">
        <v>370</v>
      </c>
      <c r="B157" s="126" t="s">
        <v>64</v>
      </c>
      <c r="C157" s="126" t="s">
        <v>454</v>
      </c>
      <c r="D157" s="272">
        <v>72</v>
      </c>
      <c r="E157" s="274" t="s">
        <v>64</v>
      </c>
      <c r="F157" s="274" t="s">
        <v>454</v>
      </c>
      <c r="G157" s="275" t="b">
        <f t="shared" si="4"/>
        <v>1</v>
      </c>
      <c r="H157" s="275" t="b">
        <f t="shared" si="5"/>
        <v>1</v>
      </c>
    </row>
    <row r="158" spans="1:8" ht="15.75" thickBot="1">
      <c r="A158" s="269">
        <v>372</v>
      </c>
      <c r="B158" s="185" t="s">
        <v>64</v>
      </c>
      <c r="C158" s="185" t="s">
        <v>455</v>
      </c>
      <c r="D158" s="272">
        <v>73</v>
      </c>
      <c r="E158" s="126" t="s">
        <v>64</v>
      </c>
      <c r="F158" s="126" t="s">
        <v>455</v>
      </c>
      <c r="G158" s="275" t="b">
        <f t="shared" si="4"/>
        <v>1</v>
      </c>
      <c r="H158" s="275" t="b">
        <f t="shared" si="5"/>
        <v>1</v>
      </c>
    </row>
    <row r="159" spans="1:8">
      <c r="A159" s="269">
        <v>374</v>
      </c>
      <c r="B159" s="126" t="s">
        <v>456</v>
      </c>
      <c r="C159" s="126" t="s">
        <v>457</v>
      </c>
      <c r="D159" s="272">
        <v>74</v>
      </c>
      <c r="E159" s="274" t="s">
        <v>456</v>
      </c>
      <c r="F159" s="274" t="s">
        <v>457</v>
      </c>
      <c r="G159" s="275" t="b">
        <f t="shared" si="4"/>
        <v>1</v>
      </c>
      <c r="H159" s="275" t="b">
        <f t="shared" si="5"/>
        <v>1</v>
      </c>
    </row>
    <row r="160" spans="1:8">
      <c r="A160" s="269">
        <v>376</v>
      </c>
      <c r="B160" s="185" t="s">
        <v>64</v>
      </c>
      <c r="C160" s="185" t="s">
        <v>458</v>
      </c>
      <c r="D160" t="s">
        <v>588</v>
      </c>
      <c r="G160" s="275" t="b">
        <f t="shared" si="4"/>
        <v>0</v>
      </c>
      <c r="H160" s="275" t="b">
        <f t="shared" si="5"/>
        <v>0</v>
      </c>
    </row>
    <row r="161" spans="1:8" ht="15.75" thickBot="1">
      <c r="A161" s="269">
        <v>378</v>
      </c>
      <c r="B161" s="126" t="s">
        <v>64</v>
      </c>
      <c r="C161" s="126" t="s">
        <v>459</v>
      </c>
      <c r="D161" t="s">
        <v>588</v>
      </c>
      <c r="G161" s="275" t="b">
        <f t="shared" si="4"/>
        <v>0</v>
      </c>
      <c r="H161" s="275" t="b">
        <f t="shared" si="5"/>
        <v>0</v>
      </c>
    </row>
    <row r="162" spans="1:8" ht="15.75" thickBot="1">
      <c r="A162" s="269">
        <v>382</v>
      </c>
      <c r="B162" s="185" t="s">
        <v>111</v>
      </c>
      <c r="C162" s="185" t="s">
        <v>460</v>
      </c>
      <c r="D162" s="272">
        <v>99</v>
      </c>
      <c r="E162" s="126" t="s">
        <v>111</v>
      </c>
      <c r="F162" s="126" t="s">
        <v>460</v>
      </c>
      <c r="G162" s="275" t="b">
        <f t="shared" si="4"/>
        <v>1</v>
      </c>
      <c r="H162" s="275" t="b">
        <f t="shared" si="5"/>
        <v>1</v>
      </c>
    </row>
    <row r="163" spans="1:8" ht="15.75" thickBot="1">
      <c r="A163" s="269">
        <v>386</v>
      </c>
      <c r="B163" s="126" t="s">
        <v>86</v>
      </c>
      <c r="C163" s="126" t="s">
        <v>461</v>
      </c>
      <c r="D163" s="272">
        <v>112</v>
      </c>
      <c r="E163" s="274" t="s">
        <v>86</v>
      </c>
      <c r="F163" s="274" t="s">
        <v>461</v>
      </c>
      <c r="G163" s="275" t="b">
        <f t="shared" si="4"/>
        <v>1</v>
      </c>
      <c r="H163" s="275" t="b">
        <f t="shared" si="5"/>
        <v>1</v>
      </c>
    </row>
    <row r="164" spans="1:8" ht="15.75" thickBot="1">
      <c r="A164" s="269">
        <v>388</v>
      </c>
      <c r="B164" s="185" t="s">
        <v>63</v>
      </c>
      <c r="C164" s="185" t="s">
        <v>462</v>
      </c>
      <c r="D164" s="272">
        <v>121</v>
      </c>
      <c r="E164" s="126" t="s">
        <v>63</v>
      </c>
      <c r="F164" s="126" t="s">
        <v>462</v>
      </c>
      <c r="G164" s="275" t="b">
        <f t="shared" si="4"/>
        <v>1</v>
      </c>
      <c r="H164" s="275" t="b">
        <f t="shared" si="5"/>
        <v>1</v>
      </c>
    </row>
    <row r="165" spans="1:8">
      <c r="A165" s="269">
        <v>390</v>
      </c>
      <c r="B165" s="126" t="s">
        <v>463</v>
      </c>
      <c r="C165" s="126" t="s">
        <v>464</v>
      </c>
      <c r="D165" s="272">
        <v>53</v>
      </c>
      <c r="E165" s="274" t="s">
        <v>463</v>
      </c>
      <c r="F165" s="274" t="s">
        <v>464</v>
      </c>
      <c r="G165" s="275" t="b">
        <f t="shared" si="4"/>
        <v>1</v>
      </c>
      <c r="H165" s="275" t="b">
        <f t="shared" si="5"/>
        <v>1</v>
      </c>
    </row>
    <row r="166" spans="1:8">
      <c r="A166" s="269">
        <v>392</v>
      </c>
      <c r="B166" s="185" t="s">
        <v>23</v>
      </c>
      <c r="C166" s="185" t="s">
        <v>465</v>
      </c>
      <c r="D166" t="s">
        <v>137</v>
      </c>
      <c r="G166" s="275" t="b">
        <f t="shared" si="4"/>
        <v>0</v>
      </c>
      <c r="H166" s="275" t="b">
        <f t="shared" si="5"/>
        <v>0</v>
      </c>
    </row>
    <row r="167" spans="1:8">
      <c r="A167" s="269">
        <v>394</v>
      </c>
      <c r="B167" s="126" t="s">
        <v>23</v>
      </c>
      <c r="C167" s="126" t="s">
        <v>466</v>
      </c>
      <c r="D167" t="s">
        <v>137</v>
      </c>
      <c r="G167" s="275" t="b">
        <f t="shared" si="4"/>
        <v>0</v>
      </c>
      <c r="H167" s="275" t="b">
        <f t="shared" si="5"/>
        <v>0</v>
      </c>
    </row>
    <row r="168" spans="1:8">
      <c r="A168" s="269">
        <v>396</v>
      </c>
      <c r="B168" s="185" t="s">
        <v>23</v>
      </c>
      <c r="C168" s="185" t="s">
        <v>467</v>
      </c>
      <c r="D168" t="s">
        <v>137</v>
      </c>
      <c r="G168" s="275" t="b">
        <f t="shared" si="4"/>
        <v>0</v>
      </c>
      <c r="H168" s="275" t="b">
        <f t="shared" si="5"/>
        <v>0</v>
      </c>
    </row>
    <row r="169" spans="1:8">
      <c r="A169" s="269">
        <v>398</v>
      </c>
      <c r="B169" s="126" t="s">
        <v>23</v>
      </c>
      <c r="C169" s="126" t="s">
        <v>468</v>
      </c>
      <c r="D169" t="s">
        <v>137</v>
      </c>
      <c r="G169" s="275" t="b">
        <f t="shared" si="4"/>
        <v>0</v>
      </c>
      <c r="H169" s="275" t="b">
        <f t="shared" si="5"/>
        <v>0</v>
      </c>
    </row>
    <row r="170" spans="1:8">
      <c r="A170" s="269">
        <v>400</v>
      </c>
      <c r="B170" s="185" t="s">
        <v>421</v>
      </c>
      <c r="C170" s="185" t="s">
        <v>470</v>
      </c>
      <c r="D170" t="s">
        <v>137</v>
      </c>
      <c r="G170" s="275" t="b">
        <f t="shared" si="4"/>
        <v>0</v>
      </c>
      <c r="H170" s="275" t="b">
        <f t="shared" si="5"/>
        <v>0</v>
      </c>
    </row>
    <row r="171" spans="1:8">
      <c r="A171" s="269">
        <v>402</v>
      </c>
      <c r="B171" s="126" t="s">
        <v>81</v>
      </c>
      <c r="C171" s="126" t="s">
        <v>471</v>
      </c>
      <c r="D171" t="s">
        <v>137</v>
      </c>
      <c r="G171" s="275" t="b">
        <f t="shared" si="4"/>
        <v>0</v>
      </c>
      <c r="H171" s="275" t="b">
        <f t="shared" si="5"/>
        <v>0</v>
      </c>
    </row>
    <row r="172" spans="1:8">
      <c r="A172" s="269">
        <v>404</v>
      </c>
      <c r="B172" s="185" t="s">
        <v>81</v>
      </c>
      <c r="C172" s="185" t="s">
        <v>472</v>
      </c>
      <c r="D172" t="s">
        <v>137</v>
      </c>
      <c r="G172" s="275" t="b">
        <f t="shared" si="4"/>
        <v>0</v>
      </c>
      <c r="H172" s="275" t="b">
        <f t="shared" si="5"/>
        <v>0</v>
      </c>
    </row>
    <row r="173" spans="1:8">
      <c r="A173" s="269">
        <v>406</v>
      </c>
      <c r="B173" s="126" t="s">
        <v>81</v>
      </c>
      <c r="C173" s="126" t="s">
        <v>473</v>
      </c>
      <c r="D173" t="s">
        <v>137</v>
      </c>
      <c r="G173" s="275" t="b">
        <f t="shared" si="4"/>
        <v>0</v>
      </c>
      <c r="H173" s="275" t="b">
        <f t="shared" si="5"/>
        <v>0</v>
      </c>
    </row>
    <row r="174" spans="1:8" ht="15.75" thickBot="1">
      <c r="A174" s="269">
        <v>408</v>
      </c>
      <c r="B174" s="185" t="s">
        <v>81</v>
      </c>
      <c r="C174" s="185" t="s">
        <v>474</v>
      </c>
      <c r="D174" t="s">
        <v>137</v>
      </c>
      <c r="G174" s="275" t="b">
        <f t="shared" si="4"/>
        <v>0</v>
      </c>
      <c r="H174" s="275" t="b">
        <f t="shared" si="5"/>
        <v>0</v>
      </c>
    </row>
    <row r="175" spans="1:8">
      <c r="A175" s="269">
        <v>410</v>
      </c>
      <c r="B175" s="126" t="s">
        <v>146</v>
      </c>
      <c r="C175" s="126" t="s">
        <v>475</v>
      </c>
      <c r="D175" s="272">
        <v>173</v>
      </c>
      <c r="E175" s="274" t="s">
        <v>146</v>
      </c>
      <c r="F175" s="274" t="s">
        <v>475</v>
      </c>
      <c r="G175" s="275" t="b">
        <f t="shared" si="4"/>
        <v>1</v>
      </c>
      <c r="H175" s="275" t="b">
        <f t="shared" si="5"/>
        <v>1</v>
      </c>
    </row>
    <row r="176" spans="1:8" ht="15.75" thickBot="1">
      <c r="A176" s="269">
        <v>412</v>
      </c>
      <c r="B176" s="185" t="s">
        <v>146</v>
      </c>
      <c r="C176" s="185" t="s">
        <v>476</v>
      </c>
      <c r="D176" t="s">
        <v>137</v>
      </c>
      <c r="G176" s="275" t="b">
        <f t="shared" si="4"/>
        <v>0</v>
      </c>
      <c r="H176" s="275" t="b">
        <f t="shared" si="5"/>
        <v>0</v>
      </c>
    </row>
    <row r="177" spans="1:8" ht="15.75" thickBot="1">
      <c r="A177" s="269">
        <v>414</v>
      </c>
      <c r="B177" s="126" t="s">
        <v>146</v>
      </c>
      <c r="C177" s="126" t="s">
        <v>477</v>
      </c>
      <c r="D177" s="272">
        <v>174</v>
      </c>
      <c r="E177" s="274" t="s">
        <v>146</v>
      </c>
      <c r="F177" s="274" t="s">
        <v>477</v>
      </c>
      <c r="G177" s="275" t="b">
        <f t="shared" si="4"/>
        <v>1</v>
      </c>
      <c r="H177" s="275" t="b">
        <f t="shared" si="5"/>
        <v>1</v>
      </c>
    </row>
    <row r="178" spans="1:8">
      <c r="A178" s="269">
        <v>416</v>
      </c>
      <c r="B178" s="185" t="s">
        <v>150</v>
      </c>
      <c r="C178" s="185" t="s">
        <v>478</v>
      </c>
      <c r="D178" s="272">
        <v>175</v>
      </c>
      <c r="E178" s="126" t="s">
        <v>150</v>
      </c>
      <c r="F178" s="126" t="s">
        <v>478</v>
      </c>
      <c r="G178" s="275" t="b">
        <f t="shared" si="4"/>
        <v>1</v>
      </c>
      <c r="H178" s="275" t="b">
        <f t="shared" si="5"/>
        <v>1</v>
      </c>
    </row>
    <row r="179" spans="1:8">
      <c r="A179" s="269">
        <v>418</v>
      </c>
      <c r="B179" s="126" t="s">
        <v>36</v>
      </c>
      <c r="C179" s="126" t="s">
        <v>479</v>
      </c>
      <c r="D179" t="s">
        <v>137</v>
      </c>
      <c r="G179" s="275" t="b">
        <f t="shared" si="4"/>
        <v>0</v>
      </c>
      <c r="H179" s="275" t="b">
        <f t="shared" si="5"/>
        <v>0</v>
      </c>
    </row>
    <row r="180" spans="1:8">
      <c r="A180" s="269">
        <v>420</v>
      </c>
      <c r="B180" s="185" t="s">
        <v>421</v>
      </c>
      <c r="C180" s="185" t="s">
        <v>480</v>
      </c>
      <c r="D180" t="s">
        <v>137</v>
      </c>
      <c r="G180" s="275" t="b">
        <f t="shared" si="4"/>
        <v>0</v>
      </c>
      <c r="H180" s="275" t="b">
        <f t="shared" si="5"/>
        <v>0</v>
      </c>
    </row>
    <row r="181" spans="1:8">
      <c r="A181" s="269">
        <v>422</v>
      </c>
      <c r="B181" s="126" t="s">
        <v>162</v>
      </c>
      <c r="C181" s="126" t="s">
        <v>481</v>
      </c>
      <c r="D181" t="s">
        <v>137</v>
      </c>
      <c r="G181" s="275" t="b">
        <f t="shared" si="4"/>
        <v>0</v>
      </c>
      <c r="H181" s="275" t="b">
        <f t="shared" si="5"/>
        <v>0</v>
      </c>
    </row>
    <row r="182" spans="1:8">
      <c r="A182" s="269">
        <v>424</v>
      </c>
      <c r="B182" s="185" t="s">
        <v>164</v>
      </c>
      <c r="C182" s="185" t="s">
        <v>482</v>
      </c>
      <c r="D182" t="s">
        <v>137</v>
      </c>
      <c r="G182" s="275" t="b">
        <f t="shared" si="4"/>
        <v>0</v>
      </c>
      <c r="H182" s="275" t="b">
        <f t="shared" si="5"/>
        <v>0</v>
      </c>
    </row>
    <row r="183" spans="1:8">
      <c r="A183" s="269">
        <v>426</v>
      </c>
      <c r="B183" s="126" t="s">
        <v>164</v>
      </c>
      <c r="C183" s="126" t="s">
        <v>483</v>
      </c>
      <c r="D183" t="s">
        <v>137</v>
      </c>
      <c r="G183" s="275" t="b">
        <f t="shared" si="4"/>
        <v>0</v>
      </c>
      <c r="H183" s="275" t="b">
        <f t="shared" si="5"/>
        <v>0</v>
      </c>
    </row>
    <row r="184" spans="1:8">
      <c r="A184" s="269">
        <v>428</v>
      </c>
      <c r="B184" s="185" t="s">
        <v>40</v>
      </c>
      <c r="C184" s="185" t="s">
        <v>484</v>
      </c>
      <c r="D184" t="s">
        <v>137</v>
      </c>
      <c r="G184" s="275" t="b">
        <f t="shared" si="4"/>
        <v>0</v>
      </c>
      <c r="H184" s="275" t="b">
        <f t="shared" si="5"/>
        <v>0</v>
      </c>
    </row>
    <row r="185" spans="1:8">
      <c r="A185" s="269">
        <v>430</v>
      </c>
      <c r="B185" s="126" t="s">
        <v>40</v>
      </c>
      <c r="C185" s="126" t="s">
        <v>474</v>
      </c>
      <c r="D185" t="s">
        <v>137</v>
      </c>
      <c r="G185" s="275" t="b">
        <f t="shared" si="4"/>
        <v>0</v>
      </c>
      <c r="H185" s="275" t="b">
        <f t="shared" si="5"/>
        <v>0</v>
      </c>
    </row>
    <row r="186" spans="1:8">
      <c r="A186" s="269">
        <v>432</v>
      </c>
      <c r="B186" s="185" t="s">
        <v>40</v>
      </c>
      <c r="C186" s="185" t="s">
        <v>485</v>
      </c>
      <c r="D186" t="s">
        <v>137</v>
      </c>
      <c r="G186" s="275" t="b">
        <f t="shared" si="4"/>
        <v>0</v>
      </c>
      <c r="H186" s="275" t="b">
        <f t="shared" si="5"/>
        <v>0</v>
      </c>
    </row>
    <row r="187" spans="1:8">
      <c r="A187" s="269">
        <v>434</v>
      </c>
      <c r="B187" s="126" t="s">
        <v>40</v>
      </c>
      <c r="C187" s="126" t="s">
        <v>486</v>
      </c>
      <c r="D187" t="s">
        <v>137</v>
      </c>
      <c r="G187" s="275" t="b">
        <f t="shared" si="4"/>
        <v>0</v>
      </c>
      <c r="H187" s="275" t="b">
        <f t="shared" si="5"/>
        <v>0</v>
      </c>
    </row>
    <row r="188" spans="1:8">
      <c r="A188" s="269">
        <v>436</v>
      </c>
      <c r="B188" s="185" t="s">
        <v>40</v>
      </c>
      <c r="C188" s="185" t="s">
        <v>487</v>
      </c>
      <c r="D188" t="s">
        <v>137</v>
      </c>
      <c r="G188" s="275" t="b">
        <f t="shared" si="4"/>
        <v>0</v>
      </c>
      <c r="H188" s="275" t="b">
        <f t="shared" si="5"/>
        <v>0</v>
      </c>
    </row>
    <row r="189" spans="1:8">
      <c r="A189" s="269">
        <v>438</v>
      </c>
      <c r="B189" s="126" t="s">
        <v>167</v>
      </c>
      <c r="C189" s="126" t="s">
        <v>488</v>
      </c>
      <c r="D189" t="s">
        <v>137</v>
      </c>
      <c r="G189" s="275" t="b">
        <f t="shared" si="4"/>
        <v>0</v>
      </c>
      <c r="H189" s="275" t="b">
        <f t="shared" si="5"/>
        <v>0</v>
      </c>
    </row>
    <row r="190" spans="1:8">
      <c r="A190" s="269">
        <v>440</v>
      </c>
      <c r="B190" s="185" t="s">
        <v>421</v>
      </c>
      <c r="C190" s="185" t="s">
        <v>489</v>
      </c>
      <c r="D190" t="s">
        <v>137</v>
      </c>
      <c r="G190" s="275" t="b">
        <f t="shared" si="4"/>
        <v>0</v>
      </c>
      <c r="H190" s="275" t="b">
        <f t="shared" si="5"/>
        <v>0</v>
      </c>
    </row>
    <row r="191" spans="1:8">
      <c r="A191" s="269">
        <v>442</v>
      </c>
      <c r="B191" s="126" t="s">
        <v>40</v>
      </c>
      <c r="C191" s="126" t="s">
        <v>490</v>
      </c>
      <c r="D191" t="s">
        <v>137</v>
      </c>
      <c r="G191" s="275" t="b">
        <f t="shared" si="4"/>
        <v>0</v>
      </c>
      <c r="H191" s="275" t="b">
        <f t="shared" si="5"/>
        <v>0</v>
      </c>
    </row>
    <row r="192" spans="1:8">
      <c r="A192" s="269">
        <v>446</v>
      </c>
      <c r="B192" s="185" t="s">
        <v>40</v>
      </c>
      <c r="C192" s="185" t="s">
        <v>491</v>
      </c>
      <c r="D192" t="s">
        <v>137</v>
      </c>
      <c r="G192" s="275" t="b">
        <f t="shared" si="4"/>
        <v>0</v>
      </c>
      <c r="H192" s="275" t="b">
        <f t="shared" si="5"/>
        <v>0</v>
      </c>
    </row>
    <row r="193" spans="1:8">
      <c r="A193" s="269">
        <v>448</v>
      </c>
      <c r="B193" s="126" t="s">
        <v>40</v>
      </c>
      <c r="C193" s="126" t="s">
        <v>492</v>
      </c>
      <c r="D193" t="s">
        <v>137</v>
      </c>
      <c r="G193" s="275" t="b">
        <f t="shared" si="4"/>
        <v>0</v>
      </c>
      <c r="H193" s="275" t="b">
        <f t="shared" si="5"/>
        <v>0</v>
      </c>
    </row>
    <row r="194" spans="1:8" ht="15.75" thickBot="1">
      <c r="A194" s="269">
        <v>450</v>
      </c>
      <c r="B194" s="185" t="s">
        <v>40</v>
      </c>
      <c r="C194" s="185" t="s">
        <v>493</v>
      </c>
      <c r="D194" t="s">
        <v>137</v>
      </c>
      <c r="G194" s="275" t="b">
        <f t="shared" si="4"/>
        <v>0</v>
      </c>
      <c r="H194" s="275" t="b">
        <f t="shared" si="5"/>
        <v>0</v>
      </c>
    </row>
    <row r="195" spans="1:8" ht="15.75" thickBot="1">
      <c r="A195" s="269">
        <v>452</v>
      </c>
      <c r="B195" s="126" t="s">
        <v>61</v>
      </c>
      <c r="C195" s="126" t="s">
        <v>494</v>
      </c>
      <c r="D195" s="272">
        <v>38</v>
      </c>
      <c r="E195" s="274" t="s">
        <v>61</v>
      </c>
      <c r="F195" s="274" t="s">
        <v>494</v>
      </c>
      <c r="G195" s="275" t="b">
        <f t="shared" si="4"/>
        <v>1</v>
      </c>
      <c r="H195" s="275" t="b">
        <f t="shared" si="5"/>
        <v>1</v>
      </c>
    </row>
    <row r="196" spans="1:8">
      <c r="A196" s="269">
        <v>454</v>
      </c>
      <c r="B196" s="185" t="s">
        <v>110</v>
      </c>
      <c r="C196" s="185" t="s">
        <v>440</v>
      </c>
      <c r="D196" s="272">
        <v>98</v>
      </c>
      <c r="E196" s="126" t="s">
        <v>110</v>
      </c>
      <c r="F196" s="126" t="s">
        <v>440</v>
      </c>
      <c r="G196" s="275" t="b">
        <f t="shared" ref="G196:G235" si="6">B196=E196</f>
        <v>1</v>
      </c>
      <c r="H196" s="275" t="b">
        <f t="shared" ref="H196:H235" si="7">C196=F196</f>
        <v>1</v>
      </c>
    </row>
    <row r="197" spans="1:8">
      <c r="A197" s="269">
        <v>456</v>
      </c>
      <c r="B197" s="126" t="s">
        <v>23</v>
      </c>
      <c r="C197" s="126" t="s">
        <v>495</v>
      </c>
      <c r="D197" t="s">
        <v>137</v>
      </c>
      <c r="G197" s="275" t="b">
        <f t="shared" si="6"/>
        <v>0</v>
      </c>
      <c r="H197" s="275" t="b">
        <f t="shared" si="7"/>
        <v>0</v>
      </c>
    </row>
    <row r="198" spans="1:8">
      <c r="A198" s="269">
        <v>458</v>
      </c>
      <c r="B198" s="185" t="s">
        <v>36</v>
      </c>
      <c r="C198" s="185" t="s">
        <v>496</v>
      </c>
      <c r="D198" t="s">
        <v>137</v>
      </c>
      <c r="G198" s="275" t="b">
        <f t="shared" si="6"/>
        <v>0</v>
      </c>
      <c r="H198" s="275" t="b">
        <f t="shared" si="7"/>
        <v>0</v>
      </c>
    </row>
    <row r="199" spans="1:8" ht="15.75" thickBot="1">
      <c r="A199" s="269">
        <v>460</v>
      </c>
      <c r="B199" s="126" t="s">
        <v>162</v>
      </c>
      <c r="C199" s="126" t="s">
        <v>497</v>
      </c>
      <c r="D199" t="s">
        <v>137</v>
      </c>
      <c r="G199" s="275" t="b">
        <f t="shared" si="6"/>
        <v>0</v>
      </c>
      <c r="H199" s="275" t="b">
        <f t="shared" si="7"/>
        <v>0</v>
      </c>
    </row>
    <row r="200" spans="1:8" ht="15.75" thickBot="1">
      <c r="A200" s="269">
        <v>462</v>
      </c>
      <c r="B200" s="185" t="s">
        <v>46</v>
      </c>
      <c r="C200" s="185" t="s">
        <v>498</v>
      </c>
      <c r="D200" s="272">
        <v>101</v>
      </c>
      <c r="E200" s="126" t="s">
        <v>46</v>
      </c>
      <c r="F200" s="126" t="s">
        <v>498</v>
      </c>
      <c r="G200" s="275" t="b">
        <f t="shared" si="6"/>
        <v>1</v>
      </c>
      <c r="H200" s="275" t="b">
        <f t="shared" si="7"/>
        <v>1</v>
      </c>
    </row>
    <row r="201" spans="1:8" ht="15.75" thickBot="1">
      <c r="A201" s="269">
        <v>464</v>
      </c>
      <c r="B201" s="126" t="s">
        <v>48</v>
      </c>
      <c r="C201" s="126" t="s">
        <v>499</v>
      </c>
      <c r="D201" s="272">
        <v>96</v>
      </c>
      <c r="E201" s="274" t="s">
        <v>48</v>
      </c>
      <c r="F201" s="274" t="s">
        <v>499</v>
      </c>
      <c r="G201" s="275" t="b">
        <f t="shared" si="6"/>
        <v>1</v>
      </c>
      <c r="H201" s="275" t="b">
        <f t="shared" si="7"/>
        <v>1</v>
      </c>
    </row>
    <row r="202" spans="1:8" ht="15.75" thickBot="1">
      <c r="A202" s="269">
        <v>466</v>
      </c>
      <c r="B202" s="185" t="s">
        <v>107</v>
      </c>
      <c r="C202" s="185" t="s">
        <v>500</v>
      </c>
      <c r="D202" s="272">
        <v>92</v>
      </c>
      <c r="E202" s="126" t="s">
        <v>107</v>
      </c>
      <c r="F202" s="126" t="s">
        <v>500</v>
      </c>
      <c r="G202" s="275" t="b">
        <f t="shared" si="6"/>
        <v>1</v>
      </c>
      <c r="H202" s="275" t="b">
        <f t="shared" si="7"/>
        <v>1</v>
      </c>
    </row>
    <row r="203" spans="1:8" ht="15.75" thickBot="1">
      <c r="A203" s="269">
        <v>468</v>
      </c>
      <c r="B203" s="126" t="s">
        <v>108</v>
      </c>
      <c r="C203" s="126" t="s">
        <v>500</v>
      </c>
      <c r="D203" s="272">
        <v>94</v>
      </c>
      <c r="E203" s="274" t="s">
        <v>108</v>
      </c>
      <c r="F203" s="274" t="s">
        <v>500</v>
      </c>
      <c r="G203" s="275" t="b">
        <f t="shared" si="6"/>
        <v>1</v>
      </c>
      <c r="H203" s="275" t="b">
        <f t="shared" si="7"/>
        <v>1</v>
      </c>
    </row>
    <row r="204" spans="1:8" ht="15.75" thickBot="1">
      <c r="A204" s="269">
        <v>470</v>
      </c>
      <c r="B204" s="185" t="s">
        <v>501</v>
      </c>
      <c r="C204" s="185" t="s">
        <v>502</v>
      </c>
      <c r="D204" s="272">
        <v>178</v>
      </c>
      <c r="E204" s="126" t="s">
        <v>501</v>
      </c>
      <c r="F204" s="126" t="s">
        <v>502</v>
      </c>
      <c r="G204" s="275" t="b">
        <f t="shared" si="6"/>
        <v>1</v>
      </c>
      <c r="H204" s="275" t="b">
        <f t="shared" si="7"/>
        <v>1</v>
      </c>
    </row>
    <row r="205" spans="1:8" ht="15.75" thickBot="1">
      <c r="A205" s="269">
        <v>472</v>
      </c>
      <c r="B205" s="126" t="s">
        <v>503</v>
      </c>
      <c r="C205" s="126" t="s">
        <v>504</v>
      </c>
      <c r="D205" s="272">
        <v>176</v>
      </c>
      <c r="E205" s="274" t="s">
        <v>503</v>
      </c>
      <c r="F205" s="274" t="s">
        <v>504</v>
      </c>
      <c r="G205" s="275" t="b">
        <f t="shared" si="6"/>
        <v>1</v>
      </c>
      <c r="H205" s="275" t="b">
        <f t="shared" si="7"/>
        <v>1</v>
      </c>
    </row>
    <row r="206" spans="1:8" ht="15.75" thickBot="1">
      <c r="A206" s="269">
        <v>474</v>
      </c>
      <c r="B206" s="185" t="s">
        <v>505</v>
      </c>
      <c r="C206" s="185" t="s">
        <v>502</v>
      </c>
      <c r="D206" s="272">
        <v>177</v>
      </c>
      <c r="E206" s="126" t="s">
        <v>505</v>
      </c>
      <c r="F206" s="126" t="s">
        <v>502</v>
      </c>
      <c r="G206" s="275" t="b">
        <f t="shared" si="6"/>
        <v>1</v>
      </c>
      <c r="H206" s="275" t="b">
        <f t="shared" si="7"/>
        <v>1</v>
      </c>
    </row>
    <row r="207" spans="1:8" ht="15.75" thickBot="1">
      <c r="A207" s="269">
        <v>476</v>
      </c>
      <c r="B207" s="126" t="s">
        <v>506</v>
      </c>
      <c r="C207" s="126" t="s">
        <v>507</v>
      </c>
      <c r="D207" s="272">
        <v>183</v>
      </c>
      <c r="E207" s="274" t="s">
        <v>506</v>
      </c>
      <c r="F207" s="274" t="s">
        <v>507</v>
      </c>
      <c r="G207" s="275" t="b">
        <f t="shared" si="6"/>
        <v>1</v>
      </c>
      <c r="H207" s="275" t="b">
        <f t="shared" si="7"/>
        <v>1</v>
      </c>
    </row>
    <row r="208" spans="1:8" ht="15.75" thickBot="1">
      <c r="A208" s="269">
        <v>478</v>
      </c>
      <c r="B208" s="185" t="s">
        <v>508</v>
      </c>
      <c r="C208" s="185" t="s">
        <v>509</v>
      </c>
      <c r="D208" s="272">
        <v>11</v>
      </c>
      <c r="E208" s="126" t="s">
        <v>508</v>
      </c>
      <c r="F208" s="126" t="s">
        <v>509</v>
      </c>
      <c r="G208" s="275" t="b">
        <f t="shared" si="6"/>
        <v>1</v>
      </c>
      <c r="H208" s="275" t="b">
        <f t="shared" si="7"/>
        <v>1</v>
      </c>
    </row>
    <row r="209" spans="1:8" ht="15.75" thickBot="1">
      <c r="A209" s="269">
        <v>480</v>
      </c>
      <c r="B209" s="126" t="s">
        <v>510</v>
      </c>
      <c r="C209" s="126" t="s">
        <v>511</v>
      </c>
      <c r="D209" s="272">
        <v>148</v>
      </c>
      <c r="E209" s="274" t="s">
        <v>510</v>
      </c>
      <c r="F209" s="274" t="s">
        <v>511</v>
      </c>
      <c r="G209" s="275" t="b">
        <f t="shared" si="6"/>
        <v>1</v>
      </c>
      <c r="H209" s="275" t="b">
        <f t="shared" si="7"/>
        <v>1</v>
      </c>
    </row>
    <row r="210" spans="1:8" ht="15.75" thickBot="1">
      <c r="A210" s="269">
        <v>482</v>
      </c>
      <c r="B210" s="185" t="s">
        <v>389</v>
      </c>
      <c r="C210" s="185" t="s">
        <v>512</v>
      </c>
      <c r="D210" s="272">
        <v>146</v>
      </c>
      <c r="E210" s="126" t="s">
        <v>389</v>
      </c>
      <c r="F210" s="126" t="s">
        <v>512</v>
      </c>
      <c r="G210" s="275" t="b">
        <f t="shared" si="6"/>
        <v>1</v>
      </c>
      <c r="H210" s="275" t="b">
        <f t="shared" si="7"/>
        <v>1</v>
      </c>
    </row>
    <row r="211" spans="1:8" ht="15.75" thickBot="1">
      <c r="A211" s="269">
        <v>483</v>
      </c>
      <c r="B211" s="126" t="s">
        <v>668</v>
      </c>
      <c r="C211" s="126" t="s">
        <v>513</v>
      </c>
      <c r="D211" s="272">
        <v>129</v>
      </c>
      <c r="E211" s="274" t="s">
        <v>668</v>
      </c>
      <c r="F211" s="274" t="s">
        <v>513</v>
      </c>
      <c r="G211" s="275" t="b">
        <f t="shared" si="6"/>
        <v>1</v>
      </c>
      <c r="H211" s="275" t="b">
        <f t="shared" si="7"/>
        <v>1</v>
      </c>
    </row>
    <row r="212" spans="1:8" ht="15.75" thickBot="1">
      <c r="A212" s="269">
        <v>484</v>
      </c>
      <c r="B212" s="185" t="s">
        <v>46</v>
      </c>
      <c r="C212" s="185" t="s">
        <v>470</v>
      </c>
      <c r="D212" s="272">
        <v>102</v>
      </c>
      <c r="E212" s="126" t="s">
        <v>46</v>
      </c>
      <c r="F212" s="126" t="s">
        <v>470</v>
      </c>
      <c r="G212" s="275" t="b">
        <f t="shared" si="6"/>
        <v>1</v>
      </c>
      <c r="H212" s="275" t="b">
        <f t="shared" si="7"/>
        <v>1</v>
      </c>
    </row>
    <row r="213" spans="1:8" ht="15.75" thickBot="1">
      <c r="A213" s="269">
        <v>485</v>
      </c>
      <c r="B213" s="126" t="s">
        <v>669</v>
      </c>
      <c r="C213" s="126" t="s">
        <v>514</v>
      </c>
      <c r="D213" s="272">
        <v>132</v>
      </c>
      <c r="E213" s="274" t="s">
        <v>669</v>
      </c>
      <c r="F213" s="274" t="s">
        <v>514</v>
      </c>
      <c r="G213" s="275" t="b">
        <f t="shared" si="6"/>
        <v>1</v>
      </c>
      <c r="H213" s="275" t="b">
        <f t="shared" si="7"/>
        <v>1</v>
      </c>
    </row>
    <row r="214" spans="1:8" ht="15.75" thickBot="1">
      <c r="A214" s="269">
        <v>486</v>
      </c>
      <c r="B214" s="185" t="s">
        <v>515</v>
      </c>
      <c r="C214" s="185" t="s">
        <v>516</v>
      </c>
      <c r="D214" s="272">
        <v>1</v>
      </c>
      <c r="E214" s="126" t="s">
        <v>515</v>
      </c>
      <c r="F214" s="126" t="s">
        <v>516</v>
      </c>
      <c r="G214" s="275" t="b">
        <f t="shared" si="6"/>
        <v>1</v>
      </c>
      <c r="H214" s="275" t="b">
        <f t="shared" si="7"/>
        <v>1</v>
      </c>
    </row>
    <row r="215" spans="1:8" ht="15.75" thickBot="1">
      <c r="A215" s="269">
        <v>487</v>
      </c>
      <c r="B215" s="126" t="s">
        <v>517</v>
      </c>
      <c r="C215" s="126" t="s">
        <v>516</v>
      </c>
      <c r="D215" s="272">
        <v>88</v>
      </c>
      <c r="E215" s="274" t="s">
        <v>517</v>
      </c>
      <c r="F215" s="274" t="s">
        <v>516</v>
      </c>
      <c r="G215" s="275" t="b">
        <f t="shared" si="6"/>
        <v>1</v>
      </c>
      <c r="H215" s="275" t="b">
        <f t="shared" si="7"/>
        <v>1</v>
      </c>
    </row>
    <row r="216" spans="1:8" ht="15.75" thickBot="1">
      <c r="A216" s="269">
        <v>488</v>
      </c>
      <c r="B216" s="185" t="s">
        <v>670</v>
      </c>
      <c r="C216" s="185" t="s">
        <v>513</v>
      </c>
      <c r="D216" s="272">
        <v>149</v>
      </c>
      <c r="E216" s="126" t="s">
        <v>670</v>
      </c>
      <c r="F216" s="126" t="s">
        <v>513</v>
      </c>
      <c r="G216" s="275" t="b">
        <f t="shared" si="6"/>
        <v>1</v>
      </c>
      <c r="H216" s="275" t="b">
        <f t="shared" si="7"/>
        <v>1</v>
      </c>
    </row>
    <row r="217" spans="1:8" ht="15.75" thickBot="1">
      <c r="A217" s="269">
        <v>489</v>
      </c>
      <c r="B217" s="126" t="s">
        <v>671</v>
      </c>
      <c r="C217" s="126" t="s">
        <v>518</v>
      </c>
      <c r="D217" s="272">
        <v>182</v>
      </c>
      <c r="E217" s="274" t="s">
        <v>671</v>
      </c>
      <c r="F217" s="274" t="s">
        <v>518</v>
      </c>
      <c r="G217" s="275" t="b">
        <f t="shared" si="6"/>
        <v>1</v>
      </c>
      <c r="H217" s="275" t="b">
        <f t="shared" si="7"/>
        <v>1</v>
      </c>
    </row>
    <row r="218" spans="1:8">
      <c r="A218" s="269">
        <v>490</v>
      </c>
      <c r="B218" s="185" t="s">
        <v>669</v>
      </c>
      <c r="C218" s="185" t="s">
        <v>519</v>
      </c>
      <c r="D218" s="272">
        <v>133</v>
      </c>
      <c r="E218" s="126" t="s">
        <v>669</v>
      </c>
      <c r="F218" s="126" t="s">
        <v>519</v>
      </c>
      <c r="G218" s="275" t="b">
        <f t="shared" si="6"/>
        <v>1</v>
      </c>
      <c r="H218" s="275" t="b">
        <f t="shared" si="7"/>
        <v>1</v>
      </c>
    </row>
    <row r="219" spans="1:8" ht="15.75" thickBot="1">
      <c r="A219" s="269">
        <v>491</v>
      </c>
      <c r="B219" s="126" t="s">
        <v>672</v>
      </c>
      <c r="C219" s="126" t="s">
        <v>520</v>
      </c>
      <c r="D219" t="s">
        <v>588</v>
      </c>
      <c r="G219" s="275" t="b">
        <f t="shared" si="6"/>
        <v>0</v>
      </c>
      <c r="H219" s="275" t="b">
        <f t="shared" si="7"/>
        <v>0</v>
      </c>
    </row>
    <row r="220" spans="1:8">
      <c r="A220" s="269">
        <v>492</v>
      </c>
      <c r="B220" s="185" t="s">
        <v>673</v>
      </c>
      <c r="C220" s="185" t="s">
        <v>521</v>
      </c>
      <c r="D220" s="272">
        <v>147</v>
      </c>
      <c r="E220" s="126" t="s">
        <v>673</v>
      </c>
      <c r="F220" s="126" t="s">
        <v>521</v>
      </c>
      <c r="G220" s="275" t="b">
        <f t="shared" si="6"/>
        <v>1</v>
      </c>
      <c r="H220" s="275" t="b">
        <f t="shared" si="7"/>
        <v>1</v>
      </c>
    </row>
    <row r="221" spans="1:8" ht="15.75" thickBot="1">
      <c r="A221" s="269">
        <v>493</v>
      </c>
      <c r="B221" s="126" t="s">
        <v>674</v>
      </c>
      <c r="C221" s="126" t="s">
        <v>522</v>
      </c>
      <c r="D221" t="s">
        <v>588</v>
      </c>
      <c r="G221" s="275" t="b">
        <f t="shared" si="6"/>
        <v>0</v>
      </c>
      <c r="H221" s="275" t="b">
        <f t="shared" si="7"/>
        <v>0</v>
      </c>
    </row>
    <row r="222" spans="1:8">
      <c r="A222" s="269">
        <v>500</v>
      </c>
      <c r="B222" s="185" t="s">
        <v>41</v>
      </c>
      <c r="C222" s="185" t="s">
        <v>523</v>
      </c>
      <c r="D222" s="272">
        <v>97</v>
      </c>
      <c r="E222" s="126" t="s">
        <v>41</v>
      </c>
      <c r="F222" s="126" t="s">
        <v>523</v>
      </c>
      <c r="G222" s="275" t="b">
        <f t="shared" si="6"/>
        <v>1</v>
      </c>
      <c r="H222" s="275" t="b">
        <f t="shared" si="7"/>
        <v>1</v>
      </c>
    </row>
    <row r="223" spans="1:8">
      <c r="A223" s="269">
        <v>800</v>
      </c>
      <c r="B223" s="126" t="s">
        <v>72</v>
      </c>
      <c r="C223" s="126" t="s">
        <v>524</v>
      </c>
      <c r="D223" t="s">
        <v>588</v>
      </c>
      <c r="G223" s="275" t="b">
        <f t="shared" si="6"/>
        <v>0</v>
      </c>
      <c r="H223" s="275" t="b">
        <f t="shared" si="7"/>
        <v>0</v>
      </c>
    </row>
    <row r="224" spans="1:8" ht="15.75" thickBot="1">
      <c r="A224" s="269">
        <v>1100</v>
      </c>
      <c r="B224" s="185" t="s">
        <v>24</v>
      </c>
      <c r="C224" s="185" t="s">
        <v>525</v>
      </c>
      <c r="D224" s="276" t="s">
        <v>588</v>
      </c>
      <c r="G224" s="275" t="b">
        <f t="shared" si="6"/>
        <v>0</v>
      </c>
      <c r="H224" s="275" t="b">
        <f t="shared" si="7"/>
        <v>0</v>
      </c>
    </row>
    <row r="225" spans="1:8">
      <c r="A225" s="269">
        <v>1120</v>
      </c>
      <c r="B225" s="126" t="s">
        <v>24</v>
      </c>
      <c r="C225" s="126" t="s">
        <v>526</v>
      </c>
      <c r="D225" s="272">
        <v>15</v>
      </c>
      <c r="E225" s="274" t="s">
        <v>24</v>
      </c>
      <c r="F225" s="274" t="s">
        <v>526</v>
      </c>
      <c r="G225" s="275" t="b">
        <f t="shared" si="6"/>
        <v>1</v>
      </c>
      <c r="H225" s="275" t="b">
        <f t="shared" si="7"/>
        <v>1</v>
      </c>
    </row>
    <row r="226" spans="1:8">
      <c r="A226" s="269">
        <v>1200</v>
      </c>
      <c r="B226" s="185" t="s">
        <v>23</v>
      </c>
      <c r="C226" s="185" t="s">
        <v>527</v>
      </c>
      <c r="D226" t="s">
        <v>137</v>
      </c>
      <c r="G226" s="275" t="b">
        <f t="shared" si="6"/>
        <v>0</v>
      </c>
      <c r="H226" s="275" t="b">
        <f t="shared" si="7"/>
        <v>0</v>
      </c>
    </row>
    <row r="227" spans="1:8">
      <c r="A227" s="269">
        <v>1220</v>
      </c>
      <c r="B227" s="126" t="s">
        <v>23</v>
      </c>
      <c r="C227" s="126" t="s">
        <v>528</v>
      </c>
      <c r="D227" t="s">
        <v>137</v>
      </c>
      <c r="G227" s="275" t="b">
        <f t="shared" si="6"/>
        <v>0</v>
      </c>
      <c r="H227" s="275" t="b">
        <f t="shared" si="7"/>
        <v>0</v>
      </c>
    </row>
    <row r="228" spans="1:8" ht="15.75" thickBot="1">
      <c r="A228" s="269">
        <v>1240</v>
      </c>
      <c r="B228" s="185" t="s">
        <v>23</v>
      </c>
      <c r="C228" s="185" t="s">
        <v>529</v>
      </c>
      <c r="D228" t="s">
        <v>137</v>
      </c>
      <c r="G228" s="275" t="b">
        <f t="shared" si="6"/>
        <v>0</v>
      </c>
      <c r="H228" s="275" t="b">
        <f t="shared" si="7"/>
        <v>0</v>
      </c>
    </row>
    <row r="229" spans="1:8" ht="15.75" thickBot="1">
      <c r="A229" s="269">
        <v>1402</v>
      </c>
      <c r="B229" s="126" t="s">
        <v>46</v>
      </c>
      <c r="C229" s="126" t="s">
        <v>489</v>
      </c>
      <c r="D229" s="272">
        <v>103</v>
      </c>
      <c r="E229" s="274" t="s">
        <v>46</v>
      </c>
      <c r="F229" s="274" t="s">
        <v>784</v>
      </c>
      <c r="G229" s="275" t="b">
        <f t="shared" si="6"/>
        <v>1</v>
      </c>
      <c r="H229" s="275" t="b">
        <f t="shared" si="7"/>
        <v>0</v>
      </c>
    </row>
    <row r="230" spans="1:8" ht="15.75" thickBot="1">
      <c r="A230" s="269">
        <v>1250</v>
      </c>
      <c r="B230" s="185" t="s">
        <v>532</v>
      </c>
      <c r="C230" s="185" t="s">
        <v>533</v>
      </c>
      <c r="D230" s="272">
        <v>184</v>
      </c>
      <c r="E230" s="126" t="s">
        <v>532</v>
      </c>
      <c r="F230" s="126" t="s">
        <v>533</v>
      </c>
      <c r="G230" s="275" t="b">
        <f t="shared" si="6"/>
        <v>1</v>
      </c>
      <c r="H230" s="275" t="b">
        <f t="shared" si="7"/>
        <v>1</v>
      </c>
    </row>
    <row r="231" spans="1:8" ht="15.75" thickBot="1">
      <c r="A231" s="269">
        <v>1260</v>
      </c>
      <c r="B231" s="126" t="s">
        <v>675</v>
      </c>
      <c r="C231" s="126" t="s">
        <v>534</v>
      </c>
      <c r="D231" s="272">
        <v>154</v>
      </c>
      <c r="E231" s="274" t="s">
        <v>675</v>
      </c>
      <c r="F231" s="274" t="s">
        <v>534</v>
      </c>
      <c r="G231" s="275" t="b">
        <f t="shared" si="6"/>
        <v>1</v>
      </c>
      <c r="H231" s="275" t="b">
        <f t="shared" si="7"/>
        <v>1</v>
      </c>
    </row>
    <row r="232" spans="1:8" ht="15.75" thickBot="1">
      <c r="A232" s="269">
        <v>1270</v>
      </c>
      <c r="B232" s="185" t="s">
        <v>675</v>
      </c>
      <c r="C232" s="185" t="s">
        <v>535</v>
      </c>
      <c r="D232" s="272">
        <v>155</v>
      </c>
      <c r="E232" s="126" t="s">
        <v>675</v>
      </c>
      <c r="F232" s="126" t="s">
        <v>535</v>
      </c>
      <c r="G232" s="275" t="b">
        <f>B232=E232</f>
        <v>1</v>
      </c>
      <c r="H232" s="275" t="b">
        <f>C232=F232</f>
        <v>1</v>
      </c>
    </row>
    <row r="233" spans="1:8" ht="15.75" thickBot="1">
      <c r="A233" s="270">
        <v>1271</v>
      </c>
      <c r="B233" s="203" t="s">
        <v>536</v>
      </c>
      <c r="C233" s="203" t="s">
        <v>537</v>
      </c>
      <c r="D233" s="272">
        <v>130</v>
      </c>
      <c r="E233" s="274" t="s">
        <v>536</v>
      </c>
      <c r="F233" s="274" t="s">
        <v>537</v>
      </c>
      <c r="G233" s="275" t="b">
        <f t="shared" si="6"/>
        <v>1</v>
      </c>
      <c r="H233" s="275" t="b">
        <f t="shared" si="7"/>
        <v>1</v>
      </c>
    </row>
    <row r="234" spans="1:8">
      <c r="A234" s="269">
        <v>3202</v>
      </c>
      <c r="B234" s="185" t="s">
        <v>421</v>
      </c>
      <c r="C234" s="185" t="s">
        <v>530</v>
      </c>
      <c r="D234" t="s">
        <v>137</v>
      </c>
      <c r="G234" s="275" t="b">
        <f t="shared" si="6"/>
        <v>0</v>
      </c>
      <c r="H234" s="275" t="b">
        <f t="shared" si="7"/>
        <v>0</v>
      </c>
    </row>
    <row r="235" spans="1:8">
      <c r="A235" s="269">
        <v>3402</v>
      </c>
      <c r="B235" s="126" t="s">
        <v>421</v>
      </c>
      <c r="C235" s="126" t="s">
        <v>531</v>
      </c>
      <c r="D235" t="s">
        <v>137</v>
      </c>
      <c r="G235" s="275" t="b">
        <f t="shared" si="6"/>
        <v>0</v>
      </c>
      <c r="H235" s="275" t="b">
        <f t="shared" si="7"/>
        <v>0</v>
      </c>
    </row>
    <row r="236" spans="1:8">
      <c r="A236" s="249">
        <v>80037</v>
      </c>
      <c r="D236" s="249">
        <v>80037</v>
      </c>
    </row>
    <row r="237" spans="1:8">
      <c r="A237" s="157">
        <v>85307</v>
      </c>
      <c r="D237" s="157">
        <v>85307</v>
      </c>
    </row>
    <row r="238" spans="1:8">
      <c r="A238" s="157">
        <v>118009</v>
      </c>
      <c r="D238" s="157">
        <v>118009</v>
      </c>
    </row>
    <row r="239" spans="1:8">
      <c r="A239" s="157">
        <v>180001</v>
      </c>
      <c r="D239" s="157">
        <v>180001</v>
      </c>
    </row>
    <row r="240" spans="1:8">
      <c r="A240" s="157">
        <v>180002</v>
      </c>
      <c r="D240" s="157">
        <v>180002</v>
      </c>
    </row>
    <row r="241" spans="1:4">
      <c r="A241" s="157">
        <v>180005</v>
      </c>
      <c r="D241" s="157">
        <v>180005</v>
      </c>
    </row>
    <row r="242" spans="1:4">
      <c r="A242" s="157">
        <v>180006</v>
      </c>
      <c r="D242" s="157">
        <v>180006</v>
      </c>
    </row>
    <row r="243" spans="1:4">
      <c r="A243" s="157">
        <v>180009</v>
      </c>
      <c r="D243" s="157">
        <v>180009</v>
      </c>
    </row>
    <row r="244" spans="1:4">
      <c r="A244" s="157">
        <v>180016</v>
      </c>
      <c r="D244" s="157">
        <v>180016</v>
      </c>
    </row>
    <row r="245" spans="1:4">
      <c r="A245" s="157">
        <v>180017</v>
      </c>
      <c r="D245" s="157">
        <v>180017</v>
      </c>
    </row>
    <row r="246" spans="1:4">
      <c r="A246" s="157">
        <v>180020</v>
      </c>
      <c r="D246" s="157">
        <v>180020</v>
      </c>
    </row>
    <row r="247" spans="1:4">
      <c r="A247" s="157">
        <v>180021</v>
      </c>
      <c r="D247" s="157">
        <v>180021</v>
      </c>
    </row>
    <row r="248" spans="1:4">
      <c r="A248" s="157">
        <v>180026</v>
      </c>
      <c r="D248" s="157">
        <v>180026</v>
      </c>
    </row>
    <row r="249" spans="1:4">
      <c r="A249" s="157">
        <v>180041</v>
      </c>
      <c r="D249" s="157">
        <v>180041</v>
      </c>
    </row>
    <row r="250" spans="1:4">
      <c r="A250" s="157">
        <v>180042</v>
      </c>
      <c r="D250" s="157">
        <v>180042</v>
      </c>
    </row>
    <row r="251" spans="1:4">
      <c r="A251" s="157">
        <v>180061</v>
      </c>
      <c r="D251" s="157">
        <v>180061</v>
      </c>
    </row>
    <row r="252" spans="1:4">
      <c r="A252" s="157">
        <v>180077</v>
      </c>
      <c r="D252" s="157">
        <v>180077</v>
      </c>
    </row>
    <row r="253" spans="1:4">
      <c r="A253" s="157">
        <v>180083</v>
      </c>
      <c r="D253" s="157">
        <v>180083</v>
      </c>
    </row>
    <row r="254" spans="1:4">
      <c r="A254" s="157">
        <v>180088</v>
      </c>
      <c r="D254" s="157">
        <v>180088</v>
      </c>
    </row>
    <row r="255" spans="1:4">
      <c r="A255" s="157">
        <v>180089</v>
      </c>
      <c r="D255" s="157">
        <v>180089</v>
      </c>
    </row>
    <row r="256" spans="1:4">
      <c r="A256" s="157">
        <v>180100</v>
      </c>
      <c r="D256" s="157">
        <v>180100</v>
      </c>
    </row>
    <row r="257" spans="1:4">
      <c r="A257" s="157">
        <v>180102</v>
      </c>
      <c r="D257" s="157">
        <v>180102</v>
      </c>
    </row>
    <row r="258" spans="1:4">
      <c r="A258" s="257">
        <v>180112</v>
      </c>
      <c r="D258" s="257">
        <v>180112</v>
      </c>
    </row>
    <row r="259" spans="1:4">
      <c r="A259" s="157">
        <v>180117</v>
      </c>
      <c r="D259" s="157">
        <v>180117</v>
      </c>
    </row>
    <row r="260" spans="1:4">
      <c r="A260" s="157">
        <v>180118</v>
      </c>
      <c r="D260" s="157">
        <v>180118</v>
      </c>
    </row>
    <row r="261" spans="1:4">
      <c r="A261" s="157">
        <v>180122</v>
      </c>
      <c r="D261" s="157">
        <v>180122</v>
      </c>
    </row>
    <row r="262" spans="1:4">
      <c r="A262" s="157">
        <v>180186</v>
      </c>
      <c r="D262" s="157">
        <v>180186</v>
      </c>
    </row>
    <row r="263" spans="1:4">
      <c r="A263" s="157">
        <v>180188</v>
      </c>
      <c r="D263" s="157">
        <v>180188</v>
      </c>
    </row>
    <row r="264" spans="1:4">
      <c r="A264" s="243">
        <v>180194</v>
      </c>
      <c r="D264" s="243">
        <v>180194</v>
      </c>
    </row>
    <row r="265" spans="1:4">
      <c r="A265" s="157">
        <v>180197</v>
      </c>
      <c r="D265" s="157">
        <v>180197</v>
      </c>
    </row>
    <row r="266" spans="1:4">
      <c r="A266" s="157">
        <v>180201</v>
      </c>
      <c r="D266" s="157">
        <v>180201</v>
      </c>
    </row>
    <row r="267" spans="1:4">
      <c r="A267" s="157">
        <v>180202</v>
      </c>
      <c r="D267" s="157">
        <v>180202</v>
      </c>
    </row>
    <row r="268" spans="1:4">
      <c r="A268" s="157">
        <v>180203</v>
      </c>
      <c r="D268" s="157">
        <v>180203</v>
      </c>
    </row>
    <row r="269" spans="1:4">
      <c r="A269" s="258">
        <v>180204</v>
      </c>
      <c r="D269" s="258">
        <v>180204</v>
      </c>
    </row>
    <row r="270" spans="1:4">
      <c r="A270" s="157">
        <v>180206</v>
      </c>
      <c r="D270" s="157">
        <v>180206</v>
      </c>
    </row>
    <row r="271" spans="1:4">
      <c r="A271" s="157">
        <v>180207</v>
      </c>
      <c r="D271" s="157">
        <v>180207</v>
      </c>
    </row>
    <row r="272" spans="1:4">
      <c r="A272" s="157">
        <v>180208</v>
      </c>
      <c r="D272" s="157">
        <v>180208</v>
      </c>
    </row>
    <row r="273" spans="1:4">
      <c r="A273" s="157">
        <v>180209</v>
      </c>
      <c r="D273" s="157">
        <v>180209</v>
      </c>
    </row>
    <row r="274" spans="1:4">
      <c r="A274" s="157">
        <v>180210</v>
      </c>
      <c r="D274" s="157">
        <v>180210</v>
      </c>
    </row>
    <row r="275" spans="1:4">
      <c r="A275" s="157">
        <v>180358</v>
      </c>
      <c r="D275" s="157">
        <v>180358</v>
      </c>
    </row>
    <row r="276" spans="1:4">
      <c r="A276" s="157">
        <v>181001</v>
      </c>
      <c r="D276" s="157">
        <v>181001</v>
      </c>
    </row>
    <row r="277" spans="1:4">
      <c r="A277" s="157">
        <v>181003</v>
      </c>
      <c r="D277" s="157">
        <v>181003</v>
      </c>
    </row>
    <row r="278" spans="1:4">
      <c r="A278" s="157">
        <v>185008</v>
      </c>
      <c r="D278" s="157">
        <v>185008</v>
      </c>
    </row>
    <row r="279" spans="1:4">
      <c r="A279" s="157">
        <v>185016</v>
      </c>
      <c r="D279" s="157">
        <v>185016</v>
      </c>
    </row>
    <row r="280" spans="1:4">
      <c r="A280" s="157">
        <v>187003</v>
      </c>
      <c r="D280" s="157">
        <v>187003</v>
      </c>
    </row>
    <row r="281" spans="1:4">
      <c r="A281" s="157">
        <v>187006</v>
      </c>
      <c r="D281" s="157">
        <v>187006</v>
      </c>
    </row>
    <row r="282" spans="1:4">
      <c r="A282" s="157">
        <v>188006</v>
      </c>
      <c r="D282" s="157">
        <v>188006</v>
      </c>
    </row>
    <row r="283" spans="1:4">
      <c r="A283" s="157">
        <v>188007</v>
      </c>
      <c r="D283" s="157">
        <v>188007</v>
      </c>
    </row>
    <row r="284" spans="1:4">
      <c r="A284" s="157">
        <v>188011</v>
      </c>
      <c r="D284" s="157">
        <v>188011</v>
      </c>
    </row>
    <row r="285" spans="1:4">
      <c r="A285" s="157">
        <v>188014</v>
      </c>
      <c r="D285" s="157">
        <v>188014</v>
      </c>
    </row>
    <row r="286" spans="1:4">
      <c r="A286" s="157">
        <v>188030</v>
      </c>
      <c r="D286" s="157">
        <v>188030</v>
      </c>
    </row>
    <row r="287" spans="1:4">
      <c r="A287" s="157">
        <v>188037</v>
      </c>
      <c r="D287" s="157">
        <v>188037</v>
      </c>
    </row>
    <row r="288" spans="1:4">
      <c r="A288" s="157">
        <v>188040</v>
      </c>
      <c r="D288" s="157">
        <v>188040</v>
      </c>
    </row>
    <row r="289" spans="1:4">
      <c r="A289" s="157">
        <v>188048</v>
      </c>
      <c r="D289" s="157">
        <v>188048</v>
      </c>
    </row>
    <row r="290" spans="1:4">
      <c r="A290" s="157">
        <v>189920</v>
      </c>
      <c r="D290" s="157">
        <v>189920</v>
      </c>
    </row>
    <row r="291" spans="1:4">
      <c r="A291" s="157">
        <v>972200</v>
      </c>
      <c r="D291" s="157">
        <v>972200</v>
      </c>
    </row>
    <row r="292" spans="1:4">
      <c r="A292" s="157">
        <v>972210</v>
      </c>
      <c r="D292" s="157">
        <v>972210</v>
      </c>
    </row>
    <row r="293" spans="1:4">
      <c r="A293" s="15" t="s">
        <v>546</v>
      </c>
      <c r="D293" s="15" t="s">
        <v>546</v>
      </c>
    </row>
    <row r="294" spans="1:4">
      <c r="A294" s="259" t="s">
        <v>172</v>
      </c>
      <c r="D294" s="259" t="s">
        <v>172</v>
      </c>
    </row>
    <row r="295" spans="1:4">
      <c r="A295" s="259" t="s">
        <v>149</v>
      </c>
      <c r="D295" s="259" t="s">
        <v>149</v>
      </c>
    </row>
    <row r="296" spans="1:4">
      <c r="A296" s="259" t="s">
        <v>166</v>
      </c>
      <c r="D296" s="259" t="s">
        <v>166</v>
      </c>
    </row>
    <row r="297" spans="1:4">
      <c r="A297" s="259" t="s">
        <v>168</v>
      </c>
      <c r="D297" s="259" t="s">
        <v>168</v>
      </c>
    </row>
    <row r="298" spans="1:4">
      <c r="A298" s="259" t="s">
        <v>140</v>
      </c>
      <c r="D298" s="259" t="s">
        <v>140</v>
      </c>
    </row>
  </sheetData>
  <mergeCells count="2">
    <mergeCell ref="A1:A2"/>
    <mergeCell ref="D1:D2"/>
  </mergeCells>
  <conditionalFormatting sqref="G3:H235">
    <cfRule type="containsText" dxfId="16" priority="11" operator="containsText" text="false">
      <formula>NOT(ISERROR(SEARCH("false",G3)))</formula>
    </cfRule>
  </conditionalFormatting>
  <conditionalFormatting sqref="A250:A251">
    <cfRule type="duplicateValues" dxfId="15" priority="6"/>
  </conditionalFormatting>
  <conditionalFormatting sqref="A236:A249">
    <cfRule type="duplicateValues" dxfId="14" priority="7"/>
  </conditionalFormatting>
  <conditionalFormatting sqref="A258">
    <cfRule type="duplicateValues" dxfId="13" priority="8"/>
  </conditionalFormatting>
  <conditionalFormatting sqref="A252:A257">
    <cfRule type="duplicateValues" dxfId="12" priority="9"/>
  </conditionalFormatting>
  <conditionalFormatting sqref="A250:A258">
    <cfRule type="duplicateValues" dxfId="11" priority="10"/>
  </conditionalFormatting>
  <conditionalFormatting sqref="D250:D251">
    <cfRule type="duplicateValues" dxfId="10" priority="1"/>
  </conditionalFormatting>
  <conditionalFormatting sqref="D236:D249">
    <cfRule type="duplicateValues" dxfId="9" priority="2"/>
  </conditionalFormatting>
  <conditionalFormatting sqref="D258">
    <cfRule type="duplicateValues" dxfId="8" priority="3"/>
  </conditionalFormatting>
  <conditionalFormatting sqref="D252:D257">
    <cfRule type="duplicateValues" dxfId="7" priority="4"/>
  </conditionalFormatting>
  <conditionalFormatting sqref="D250:D258">
    <cfRule type="duplicateValues" dxfId="6" priority="5"/>
  </conditionalFormatting>
  <pageMargins left="0.7" right="0.7" top="0.75" bottom="0.75" header="0.3" footer="0.3"/>
  <pageSetup orientation="portrait" horizontalDpi="30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F44DB-07E7-4863-A4B9-415AD70DC763}">
  <dimension ref="A1:F234"/>
  <sheetViews>
    <sheetView workbookViewId="0">
      <selection activeCell="A260" sqref="A1:A260"/>
    </sheetView>
  </sheetViews>
  <sheetFormatPr defaultRowHeight="15"/>
  <cols>
    <col min="1" max="1" width="17.7109375" customWidth="1"/>
    <col min="2" max="2" width="15.7109375" customWidth="1"/>
    <col min="3" max="3" width="23" customWidth="1"/>
    <col min="4" max="4" width="19.85546875" customWidth="1"/>
    <col min="5" max="5" width="20.28515625" customWidth="1"/>
    <col min="6" max="6" width="22.85546875" customWidth="1"/>
  </cols>
  <sheetData>
    <row r="1" spans="1:6">
      <c r="A1" t="s">
        <v>870</v>
      </c>
      <c r="B1" t="s">
        <v>871</v>
      </c>
      <c r="C1" t="s">
        <v>872</v>
      </c>
      <c r="D1" t="s">
        <v>873</v>
      </c>
      <c r="E1" t="s">
        <v>874</v>
      </c>
      <c r="F1" t="s">
        <v>875</v>
      </c>
    </row>
    <row r="2" spans="1:6">
      <c r="A2">
        <v>7</v>
      </c>
      <c r="B2" t="s">
        <v>24</v>
      </c>
      <c r="C2" t="s">
        <v>266</v>
      </c>
      <c r="D2" t="s">
        <v>588</v>
      </c>
    </row>
    <row r="3" spans="1:6">
      <c r="A3">
        <v>8</v>
      </c>
      <c r="B3" t="s">
        <v>24</v>
      </c>
      <c r="C3" t="s">
        <v>269</v>
      </c>
      <c r="D3">
        <v>12</v>
      </c>
      <c r="E3" t="s">
        <v>24</v>
      </c>
      <c r="F3" t="s">
        <v>269</v>
      </c>
    </row>
    <row r="4" spans="1:6">
      <c r="A4">
        <v>9</v>
      </c>
      <c r="B4" t="s">
        <v>24</v>
      </c>
      <c r="C4" t="s">
        <v>270</v>
      </c>
      <c r="D4">
        <v>13</v>
      </c>
      <c r="E4" t="s">
        <v>24</v>
      </c>
      <c r="F4" t="s">
        <v>270</v>
      </c>
    </row>
    <row r="5" spans="1:6">
      <c r="A5">
        <v>10</v>
      </c>
      <c r="B5" t="s">
        <v>666</v>
      </c>
      <c r="C5" t="s">
        <v>271</v>
      </c>
      <c r="D5" t="s">
        <v>588</v>
      </c>
    </row>
    <row r="6" spans="1:6">
      <c r="A6">
        <v>11</v>
      </c>
      <c r="B6" t="s">
        <v>272</v>
      </c>
      <c r="C6" t="s">
        <v>273</v>
      </c>
      <c r="D6">
        <v>16</v>
      </c>
      <c r="E6" t="s">
        <v>779</v>
      </c>
      <c r="F6" t="s">
        <v>273</v>
      </c>
    </row>
    <row r="7" spans="1:6">
      <c r="A7">
        <v>12</v>
      </c>
      <c r="B7" t="s">
        <v>274</v>
      </c>
      <c r="C7" t="s">
        <v>275</v>
      </c>
      <c r="D7" t="s">
        <v>588</v>
      </c>
    </row>
    <row r="8" spans="1:6">
      <c r="A8">
        <v>13</v>
      </c>
      <c r="B8" t="s">
        <v>274</v>
      </c>
      <c r="C8" t="s">
        <v>276</v>
      </c>
      <c r="D8">
        <v>17</v>
      </c>
      <c r="E8" t="s">
        <v>779</v>
      </c>
      <c r="F8" t="s">
        <v>276</v>
      </c>
    </row>
    <row r="9" spans="1:6">
      <c r="A9">
        <v>14</v>
      </c>
      <c r="B9" t="s">
        <v>274</v>
      </c>
      <c r="C9" t="s">
        <v>277</v>
      </c>
      <c r="D9">
        <v>18</v>
      </c>
      <c r="E9" t="s">
        <v>779</v>
      </c>
      <c r="F9" t="s">
        <v>277</v>
      </c>
    </row>
    <row r="10" spans="1:6">
      <c r="A10">
        <v>15</v>
      </c>
      <c r="B10" t="s">
        <v>274</v>
      </c>
      <c r="C10" t="s">
        <v>278</v>
      </c>
      <c r="D10">
        <v>19</v>
      </c>
      <c r="E10" t="s">
        <v>779</v>
      </c>
      <c r="F10" t="s">
        <v>278</v>
      </c>
    </row>
    <row r="11" spans="1:6">
      <c r="A11">
        <v>16</v>
      </c>
      <c r="B11" t="s">
        <v>274</v>
      </c>
      <c r="C11" t="s">
        <v>279</v>
      </c>
      <c r="D11" t="s">
        <v>137</v>
      </c>
    </row>
    <row r="12" spans="1:6">
      <c r="A12">
        <v>17</v>
      </c>
      <c r="B12" t="s">
        <v>274</v>
      </c>
      <c r="C12" t="s">
        <v>280</v>
      </c>
      <c r="D12">
        <v>20</v>
      </c>
      <c r="E12" t="s">
        <v>779</v>
      </c>
      <c r="F12" t="s">
        <v>280</v>
      </c>
    </row>
    <row r="13" spans="1:6">
      <c r="A13">
        <v>18</v>
      </c>
      <c r="B13" t="s">
        <v>281</v>
      </c>
      <c r="C13" t="s">
        <v>282</v>
      </c>
      <c r="D13" t="s">
        <v>588</v>
      </c>
    </row>
    <row r="14" spans="1:6">
      <c r="A14">
        <v>19</v>
      </c>
      <c r="B14" t="s">
        <v>16</v>
      </c>
      <c r="C14" t="s">
        <v>283</v>
      </c>
      <c r="D14">
        <v>22</v>
      </c>
      <c r="E14" t="s">
        <v>780</v>
      </c>
      <c r="F14" t="s">
        <v>283</v>
      </c>
    </row>
    <row r="15" spans="1:6">
      <c r="A15">
        <v>20</v>
      </c>
      <c r="B15" t="s">
        <v>16</v>
      </c>
      <c r="C15" t="s">
        <v>284</v>
      </c>
      <c r="D15">
        <v>23</v>
      </c>
      <c r="E15" t="s">
        <v>780</v>
      </c>
      <c r="F15" t="s">
        <v>284</v>
      </c>
    </row>
    <row r="16" spans="1:6">
      <c r="A16">
        <v>22</v>
      </c>
      <c r="B16" t="s">
        <v>16</v>
      </c>
      <c r="C16" t="s">
        <v>285</v>
      </c>
      <c r="D16">
        <v>24</v>
      </c>
      <c r="E16" t="s">
        <v>780</v>
      </c>
      <c r="F16" t="s">
        <v>285</v>
      </c>
    </row>
    <row r="17" spans="1:6">
      <c r="A17">
        <v>25</v>
      </c>
      <c r="B17" t="s">
        <v>16</v>
      </c>
      <c r="C17" t="s">
        <v>286</v>
      </c>
      <c r="D17" t="s">
        <v>588</v>
      </c>
    </row>
    <row r="18" spans="1:6">
      <c r="A18">
        <v>28</v>
      </c>
      <c r="B18" t="s">
        <v>16</v>
      </c>
      <c r="C18" t="s">
        <v>287</v>
      </c>
      <c r="D18">
        <v>25</v>
      </c>
      <c r="E18" t="s">
        <v>780</v>
      </c>
      <c r="F18" t="s">
        <v>287</v>
      </c>
    </row>
    <row r="19" spans="1:6">
      <c r="A19">
        <v>31</v>
      </c>
      <c r="B19" t="s">
        <v>16</v>
      </c>
      <c r="C19" t="s">
        <v>288</v>
      </c>
      <c r="D19">
        <v>26</v>
      </c>
      <c r="E19" t="s">
        <v>780</v>
      </c>
      <c r="F19" t="s">
        <v>288</v>
      </c>
    </row>
    <row r="20" spans="1:6">
      <c r="A20">
        <v>34</v>
      </c>
      <c r="B20" t="s">
        <v>16</v>
      </c>
      <c r="C20" t="s">
        <v>289</v>
      </c>
      <c r="D20">
        <v>27</v>
      </c>
      <c r="E20" t="s">
        <v>780</v>
      </c>
      <c r="F20" t="s">
        <v>289</v>
      </c>
    </row>
    <row r="21" spans="1:6">
      <c r="A21">
        <v>37</v>
      </c>
      <c r="B21" t="s">
        <v>16</v>
      </c>
      <c r="C21" t="s">
        <v>290</v>
      </c>
      <c r="D21">
        <v>28</v>
      </c>
      <c r="E21" t="s">
        <v>780</v>
      </c>
      <c r="F21" t="s">
        <v>290</v>
      </c>
    </row>
    <row r="22" spans="1:6">
      <c r="A22">
        <v>40</v>
      </c>
      <c r="B22" t="s">
        <v>291</v>
      </c>
      <c r="C22" t="s">
        <v>292</v>
      </c>
      <c r="D22">
        <v>33</v>
      </c>
      <c r="E22" t="s">
        <v>291</v>
      </c>
      <c r="F22" t="s">
        <v>292</v>
      </c>
    </row>
    <row r="23" spans="1:6">
      <c r="A23">
        <v>41</v>
      </c>
      <c r="B23" t="s">
        <v>27</v>
      </c>
      <c r="C23" t="s">
        <v>293</v>
      </c>
      <c r="D23">
        <v>29</v>
      </c>
      <c r="E23" t="s">
        <v>27</v>
      </c>
      <c r="F23" t="s">
        <v>293</v>
      </c>
    </row>
    <row r="24" spans="1:6">
      <c r="A24">
        <v>43</v>
      </c>
      <c r="B24" t="s">
        <v>27</v>
      </c>
      <c r="C24" t="s">
        <v>294</v>
      </c>
      <c r="D24">
        <v>30</v>
      </c>
      <c r="E24" t="s">
        <v>27</v>
      </c>
      <c r="F24" t="s">
        <v>294</v>
      </c>
    </row>
    <row r="25" spans="1:6">
      <c r="A25">
        <v>46</v>
      </c>
      <c r="B25" t="s">
        <v>27</v>
      </c>
      <c r="C25" t="s">
        <v>295</v>
      </c>
      <c r="D25">
        <v>31</v>
      </c>
      <c r="E25" t="s">
        <v>27</v>
      </c>
      <c r="F25" t="s">
        <v>295</v>
      </c>
    </row>
    <row r="26" spans="1:6">
      <c r="A26">
        <v>49</v>
      </c>
      <c r="B26" t="s">
        <v>27</v>
      </c>
      <c r="C26" t="s">
        <v>296</v>
      </c>
      <c r="D26">
        <v>32</v>
      </c>
      <c r="E26" t="s">
        <v>27</v>
      </c>
      <c r="F26" t="s">
        <v>296</v>
      </c>
    </row>
    <row r="27" spans="1:6">
      <c r="A27">
        <v>50</v>
      </c>
      <c r="B27" t="s">
        <v>57</v>
      </c>
      <c r="C27" t="s">
        <v>297</v>
      </c>
      <c r="D27">
        <v>34</v>
      </c>
      <c r="E27" t="s">
        <v>57</v>
      </c>
      <c r="F27" t="s">
        <v>297</v>
      </c>
    </row>
    <row r="28" spans="1:6">
      <c r="A28">
        <v>51</v>
      </c>
      <c r="B28" t="s">
        <v>57</v>
      </c>
      <c r="C28" t="s">
        <v>298</v>
      </c>
      <c r="D28">
        <v>35</v>
      </c>
      <c r="E28" t="s">
        <v>57</v>
      </c>
      <c r="F28" t="s">
        <v>298</v>
      </c>
    </row>
    <row r="29" spans="1:6">
      <c r="A29">
        <v>52</v>
      </c>
      <c r="B29" t="s">
        <v>57</v>
      </c>
      <c r="C29" t="s">
        <v>299</v>
      </c>
      <c r="D29" t="s">
        <v>588</v>
      </c>
    </row>
    <row r="30" spans="1:6">
      <c r="A30">
        <v>53</v>
      </c>
      <c r="B30" t="s">
        <v>57</v>
      </c>
      <c r="C30" t="s">
        <v>300</v>
      </c>
      <c r="D30">
        <v>36</v>
      </c>
      <c r="E30" t="s">
        <v>57</v>
      </c>
      <c r="F30" t="s">
        <v>300</v>
      </c>
    </row>
    <row r="31" spans="1:6">
      <c r="A31">
        <v>54</v>
      </c>
      <c r="B31" t="s">
        <v>61</v>
      </c>
      <c r="C31" t="s">
        <v>301</v>
      </c>
      <c r="D31">
        <v>37</v>
      </c>
      <c r="E31" t="s">
        <v>61</v>
      </c>
      <c r="F31" t="s">
        <v>301</v>
      </c>
    </row>
    <row r="32" spans="1:6">
      <c r="A32">
        <v>55</v>
      </c>
      <c r="B32" t="s">
        <v>117</v>
      </c>
      <c r="C32" t="s">
        <v>302</v>
      </c>
      <c r="D32">
        <v>39</v>
      </c>
      <c r="E32" t="s">
        <v>117</v>
      </c>
      <c r="F32" t="s">
        <v>302</v>
      </c>
    </row>
    <row r="33" spans="1:6">
      <c r="A33">
        <v>56</v>
      </c>
      <c r="B33" t="s">
        <v>117</v>
      </c>
      <c r="C33" t="s">
        <v>303</v>
      </c>
      <c r="D33" t="s">
        <v>137</v>
      </c>
    </row>
    <row r="34" spans="1:6">
      <c r="A34">
        <v>58</v>
      </c>
      <c r="B34" t="s">
        <v>117</v>
      </c>
      <c r="C34" t="s">
        <v>304</v>
      </c>
      <c r="D34">
        <v>40</v>
      </c>
      <c r="E34" t="s">
        <v>117</v>
      </c>
      <c r="F34" t="s">
        <v>304</v>
      </c>
    </row>
    <row r="35" spans="1:6">
      <c r="A35">
        <v>59</v>
      </c>
      <c r="B35" t="s">
        <v>117</v>
      </c>
      <c r="C35" t="s">
        <v>305</v>
      </c>
      <c r="D35">
        <v>41</v>
      </c>
      <c r="E35" t="s">
        <v>117</v>
      </c>
      <c r="F35" t="s">
        <v>305</v>
      </c>
    </row>
    <row r="36" spans="1:6">
      <c r="A36">
        <v>60</v>
      </c>
      <c r="B36" t="s">
        <v>306</v>
      </c>
      <c r="C36" t="s">
        <v>307</v>
      </c>
      <c r="D36">
        <v>42</v>
      </c>
      <c r="E36" t="s">
        <v>306</v>
      </c>
      <c r="F36" t="s">
        <v>781</v>
      </c>
    </row>
    <row r="37" spans="1:6">
      <c r="A37">
        <v>62</v>
      </c>
      <c r="B37" t="s">
        <v>306</v>
      </c>
      <c r="C37" t="s">
        <v>308</v>
      </c>
      <c r="D37">
        <v>43</v>
      </c>
      <c r="E37" t="s">
        <v>306</v>
      </c>
      <c r="F37" t="s">
        <v>308</v>
      </c>
    </row>
    <row r="38" spans="1:6">
      <c r="A38">
        <v>64</v>
      </c>
      <c r="B38" t="s">
        <v>306</v>
      </c>
      <c r="C38" t="s">
        <v>309</v>
      </c>
      <c r="D38">
        <v>44</v>
      </c>
      <c r="E38" t="s">
        <v>306</v>
      </c>
      <c r="F38" t="s">
        <v>309</v>
      </c>
    </row>
    <row r="39" spans="1:6">
      <c r="A39">
        <v>65</v>
      </c>
      <c r="B39" t="s">
        <v>306</v>
      </c>
      <c r="C39" t="s">
        <v>310</v>
      </c>
      <c r="D39">
        <v>45</v>
      </c>
      <c r="E39" t="s">
        <v>306</v>
      </c>
      <c r="F39" t="s">
        <v>310</v>
      </c>
    </row>
    <row r="40" spans="1:6">
      <c r="A40">
        <v>66</v>
      </c>
      <c r="B40" t="s">
        <v>72</v>
      </c>
      <c r="C40" t="s">
        <v>311</v>
      </c>
      <c r="D40">
        <v>46</v>
      </c>
      <c r="E40" t="s">
        <v>72</v>
      </c>
      <c r="F40" t="s">
        <v>311</v>
      </c>
    </row>
    <row r="41" spans="1:6">
      <c r="A41">
        <v>67</v>
      </c>
      <c r="B41" t="s">
        <v>72</v>
      </c>
      <c r="C41" t="s">
        <v>312</v>
      </c>
      <c r="D41">
        <v>47</v>
      </c>
      <c r="E41" t="s">
        <v>72</v>
      </c>
      <c r="F41" t="s">
        <v>312</v>
      </c>
    </row>
    <row r="42" spans="1:6">
      <c r="A42">
        <v>75</v>
      </c>
      <c r="B42" t="s">
        <v>313</v>
      </c>
      <c r="C42" t="s">
        <v>314</v>
      </c>
      <c r="D42">
        <v>48</v>
      </c>
      <c r="E42" t="s">
        <v>313</v>
      </c>
      <c r="F42" t="s">
        <v>314</v>
      </c>
    </row>
    <row r="43" spans="1:6">
      <c r="A43">
        <v>76</v>
      </c>
      <c r="B43" t="s">
        <v>313</v>
      </c>
      <c r="C43" t="s">
        <v>315</v>
      </c>
      <c r="D43" t="s">
        <v>588</v>
      </c>
    </row>
    <row r="44" spans="1:6">
      <c r="A44">
        <v>77</v>
      </c>
      <c r="B44" t="s">
        <v>313</v>
      </c>
      <c r="C44" t="s">
        <v>316</v>
      </c>
      <c r="D44">
        <v>49</v>
      </c>
      <c r="E44" t="s">
        <v>313</v>
      </c>
      <c r="F44" t="s">
        <v>316</v>
      </c>
    </row>
    <row r="45" spans="1:6">
      <c r="A45">
        <v>78</v>
      </c>
      <c r="B45" t="s">
        <v>317</v>
      </c>
      <c r="C45" t="s">
        <v>318</v>
      </c>
      <c r="D45">
        <v>50</v>
      </c>
      <c r="E45" t="s">
        <v>317</v>
      </c>
      <c r="F45" t="s">
        <v>318</v>
      </c>
    </row>
    <row r="46" spans="1:6">
      <c r="A46">
        <v>79</v>
      </c>
      <c r="B46" t="s">
        <v>317</v>
      </c>
      <c r="C46" t="s">
        <v>319</v>
      </c>
      <c r="D46">
        <v>51</v>
      </c>
      <c r="E46" t="s">
        <v>317</v>
      </c>
      <c r="F46" t="s">
        <v>319</v>
      </c>
    </row>
    <row r="47" spans="1:6">
      <c r="A47">
        <v>80</v>
      </c>
      <c r="B47" t="s">
        <v>317</v>
      </c>
      <c r="C47" t="s">
        <v>320</v>
      </c>
      <c r="D47">
        <v>52</v>
      </c>
      <c r="E47" t="s">
        <v>317</v>
      </c>
      <c r="F47" t="s">
        <v>320</v>
      </c>
    </row>
    <row r="48" spans="1:6">
      <c r="A48">
        <v>81</v>
      </c>
      <c r="B48" t="s">
        <v>317</v>
      </c>
      <c r="C48" t="s">
        <v>321</v>
      </c>
      <c r="D48" t="s">
        <v>137</v>
      </c>
    </row>
    <row r="49" spans="1:6">
      <c r="A49">
        <v>82</v>
      </c>
      <c r="B49" t="s">
        <v>322</v>
      </c>
      <c r="C49" t="s">
        <v>323</v>
      </c>
      <c r="D49">
        <v>59</v>
      </c>
      <c r="E49" t="s">
        <v>322</v>
      </c>
      <c r="F49" t="s">
        <v>323</v>
      </c>
    </row>
    <row r="50" spans="1:6">
      <c r="A50">
        <v>83</v>
      </c>
      <c r="B50" t="s">
        <v>324</v>
      </c>
      <c r="C50" t="s">
        <v>325</v>
      </c>
      <c r="D50">
        <v>60</v>
      </c>
      <c r="E50" t="s">
        <v>324</v>
      </c>
      <c r="F50" t="s">
        <v>325</v>
      </c>
    </row>
    <row r="51" spans="1:6">
      <c r="A51">
        <v>84</v>
      </c>
      <c r="B51" t="s">
        <v>324</v>
      </c>
      <c r="C51" t="s">
        <v>326</v>
      </c>
      <c r="D51">
        <v>61</v>
      </c>
      <c r="E51" t="s">
        <v>324</v>
      </c>
      <c r="F51" t="s">
        <v>326</v>
      </c>
    </row>
    <row r="52" spans="1:6">
      <c r="A52">
        <v>85</v>
      </c>
      <c r="B52" t="s">
        <v>324</v>
      </c>
      <c r="C52" t="s">
        <v>327</v>
      </c>
      <c r="D52">
        <v>62</v>
      </c>
      <c r="E52" t="s">
        <v>324</v>
      </c>
      <c r="F52" t="s">
        <v>327</v>
      </c>
    </row>
    <row r="53" spans="1:6">
      <c r="A53">
        <v>86</v>
      </c>
      <c r="B53" t="s">
        <v>324</v>
      </c>
      <c r="C53" t="s">
        <v>328</v>
      </c>
      <c r="D53">
        <v>63</v>
      </c>
      <c r="E53" t="s">
        <v>324</v>
      </c>
      <c r="F53" t="s">
        <v>328</v>
      </c>
    </row>
    <row r="54" spans="1:6">
      <c r="A54">
        <v>87</v>
      </c>
      <c r="B54" t="s">
        <v>329</v>
      </c>
      <c r="C54" t="s">
        <v>330</v>
      </c>
      <c r="D54">
        <v>57</v>
      </c>
      <c r="E54" t="s">
        <v>329</v>
      </c>
      <c r="F54" t="s">
        <v>330</v>
      </c>
    </row>
    <row r="55" spans="1:6">
      <c r="A55">
        <v>89</v>
      </c>
      <c r="B55" t="s">
        <v>85</v>
      </c>
      <c r="C55" t="s">
        <v>331</v>
      </c>
      <c r="D55" t="s">
        <v>588</v>
      </c>
    </row>
    <row r="56" spans="1:6">
      <c r="A56">
        <v>90</v>
      </c>
      <c r="B56" t="s">
        <v>85</v>
      </c>
      <c r="C56" t="s">
        <v>332</v>
      </c>
      <c r="D56">
        <v>58</v>
      </c>
      <c r="E56" t="s">
        <v>85</v>
      </c>
      <c r="F56" t="s">
        <v>332</v>
      </c>
    </row>
    <row r="57" spans="1:6">
      <c r="A57">
        <v>91</v>
      </c>
      <c r="B57" t="s">
        <v>333</v>
      </c>
      <c r="C57" t="s">
        <v>334</v>
      </c>
      <c r="D57">
        <v>66</v>
      </c>
      <c r="E57" t="s">
        <v>333</v>
      </c>
      <c r="F57" t="s">
        <v>334</v>
      </c>
    </row>
    <row r="58" spans="1:6">
      <c r="A58">
        <v>92</v>
      </c>
      <c r="B58" t="s">
        <v>333</v>
      </c>
      <c r="C58" t="s">
        <v>335</v>
      </c>
      <c r="D58">
        <v>67</v>
      </c>
      <c r="E58" t="s">
        <v>333</v>
      </c>
      <c r="F58" t="s">
        <v>335</v>
      </c>
    </row>
    <row r="59" spans="1:6">
      <c r="A59">
        <v>93</v>
      </c>
      <c r="B59" t="s">
        <v>333</v>
      </c>
      <c r="C59" t="s">
        <v>336</v>
      </c>
      <c r="D59">
        <v>68</v>
      </c>
      <c r="E59" t="s">
        <v>333</v>
      </c>
      <c r="F59" t="s">
        <v>336</v>
      </c>
    </row>
    <row r="60" spans="1:6">
      <c r="A60">
        <v>93.1</v>
      </c>
      <c r="B60" t="s">
        <v>333</v>
      </c>
      <c r="C60" t="s">
        <v>336</v>
      </c>
      <c r="D60">
        <v>69</v>
      </c>
      <c r="E60" t="s">
        <v>333</v>
      </c>
      <c r="F60" t="s">
        <v>336</v>
      </c>
    </row>
    <row r="61" spans="1:6">
      <c r="A61">
        <v>94</v>
      </c>
      <c r="B61" t="s">
        <v>337</v>
      </c>
      <c r="C61" t="s">
        <v>338</v>
      </c>
      <c r="D61">
        <v>70</v>
      </c>
      <c r="E61" t="s">
        <v>337</v>
      </c>
      <c r="F61" t="s">
        <v>338</v>
      </c>
    </row>
    <row r="62" spans="1:6">
      <c r="A62">
        <v>95</v>
      </c>
      <c r="B62" t="s">
        <v>92</v>
      </c>
      <c r="C62" t="s">
        <v>339</v>
      </c>
      <c r="D62">
        <v>64</v>
      </c>
      <c r="E62" t="s">
        <v>92</v>
      </c>
      <c r="F62" t="s">
        <v>339</v>
      </c>
    </row>
    <row r="63" spans="1:6">
      <c r="A63">
        <v>95.1</v>
      </c>
      <c r="B63" t="s">
        <v>92</v>
      </c>
      <c r="C63" t="s">
        <v>339</v>
      </c>
      <c r="D63">
        <v>65</v>
      </c>
      <c r="E63" t="s">
        <v>92</v>
      </c>
      <c r="F63" t="s">
        <v>339</v>
      </c>
    </row>
    <row r="64" spans="1:6">
      <c r="A64">
        <v>97</v>
      </c>
      <c r="B64" t="s">
        <v>340</v>
      </c>
      <c r="C64" t="s">
        <v>341</v>
      </c>
      <c r="D64">
        <v>75</v>
      </c>
      <c r="E64" t="s">
        <v>340</v>
      </c>
      <c r="F64" t="s">
        <v>341</v>
      </c>
    </row>
    <row r="65" spans="1:6">
      <c r="A65">
        <v>98</v>
      </c>
      <c r="B65" t="s">
        <v>340</v>
      </c>
      <c r="C65" t="s">
        <v>342</v>
      </c>
      <c r="D65">
        <v>76</v>
      </c>
      <c r="E65" t="s">
        <v>340</v>
      </c>
      <c r="F65" t="s">
        <v>342</v>
      </c>
    </row>
    <row r="66" spans="1:6">
      <c r="A66">
        <v>99</v>
      </c>
      <c r="B66" t="s">
        <v>340</v>
      </c>
      <c r="C66" t="s">
        <v>343</v>
      </c>
      <c r="D66">
        <v>77</v>
      </c>
      <c r="E66" t="s">
        <v>340</v>
      </c>
      <c r="F66" t="s">
        <v>343</v>
      </c>
    </row>
    <row r="67" spans="1:6">
      <c r="A67">
        <v>100</v>
      </c>
      <c r="B67" t="s">
        <v>340</v>
      </c>
      <c r="C67" t="s">
        <v>344</v>
      </c>
      <c r="D67">
        <v>78</v>
      </c>
      <c r="E67" t="s">
        <v>340</v>
      </c>
      <c r="F67" t="s">
        <v>344</v>
      </c>
    </row>
    <row r="68" spans="1:6">
      <c r="A68">
        <v>101</v>
      </c>
      <c r="B68" t="s">
        <v>340</v>
      </c>
      <c r="C68" t="s">
        <v>345</v>
      </c>
      <c r="D68">
        <v>79</v>
      </c>
      <c r="E68" t="s">
        <v>340</v>
      </c>
      <c r="F68" t="s">
        <v>345</v>
      </c>
    </row>
    <row r="69" spans="1:6">
      <c r="A69">
        <v>102</v>
      </c>
      <c r="B69" t="s">
        <v>346</v>
      </c>
      <c r="C69" t="s">
        <v>347</v>
      </c>
      <c r="D69">
        <v>80</v>
      </c>
      <c r="E69" t="s">
        <v>346</v>
      </c>
      <c r="F69" t="s">
        <v>347</v>
      </c>
    </row>
    <row r="70" spans="1:6">
      <c r="A70">
        <v>103</v>
      </c>
      <c r="B70" t="s">
        <v>346</v>
      </c>
      <c r="C70" t="s">
        <v>348</v>
      </c>
      <c r="D70">
        <v>81</v>
      </c>
      <c r="E70" t="s">
        <v>346</v>
      </c>
      <c r="F70" t="s">
        <v>348</v>
      </c>
    </row>
    <row r="71" spans="1:6">
      <c r="A71">
        <v>105</v>
      </c>
      <c r="B71" t="s">
        <v>346</v>
      </c>
      <c r="C71" t="s">
        <v>349</v>
      </c>
      <c r="D71" t="s">
        <v>588</v>
      </c>
    </row>
    <row r="72" spans="1:6">
      <c r="A72">
        <v>108</v>
      </c>
      <c r="B72" t="s">
        <v>346</v>
      </c>
      <c r="C72" t="s">
        <v>350</v>
      </c>
      <c r="D72">
        <v>82</v>
      </c>
      <c r="E72" t="s">
        <v>346</v>
      </c>
      <c r="F72" t="s">
        <v>350</v>
      </c>
    </row>
    <row r="73" spans="1:6">
      <c r="A73">
        <v>111</v>
      </c>
      <c r="B73" t="s">
        <v>84</v>
      </c>
      <c r="C73" t="s">
        <v>351</v>
      </c>
      <c r="D73">
        <v>83</v>
      </c>
      <c r="E73" t="s">
        <v>84</v>
      </c>
      <c r="F73" t="s">
        <v>351</v>
      </c>
    </row>
    <row r="74" spans="1:6">
      <c r="A74">
        <v>112</v>
      </c>
      <c r="B74" t="s">
        <v>84</v>
      </c>
      <c r="C74" t="s">
        <v>352</v>
      </c>
      <c r="D74">
        <v>84</v>
      </c>
      <c r="E74" t="s">
        <v>84</v>
      </c>
      <c r="F74" t="s">
        <v>352</v>
      </c>
    </row>
    <row r="75" spans="1:6">
      <c r="A75">
        <v>113</v>
      </c>
      <c r="B75" t="s">
        <v>59</v>
      </c>
      <c r="C75" t="s">
        <v>353</v>
      </c>
      <c r="D75">
        <v>108</v>
      </c>
      <c r="E75" t="s">
        <v>59</v>
      </c>
      <c r="F75" t="s">
        <v>353</v>
      </c>
    </row>
    <row r="76" spans="1:6">
      <c r="A76">
        <v>114</v>
      </c>
      <c r="B76" t="s">
        <v>59</v>
      </c>
      <c r="C76" t="s">
        <v>354</v>
      </c>
      <c r="D76">
        <v>109</v>
      </c>
      <c r="E76" t="s">
        <v>59</v>
      </c>
      <c r="F76" t="s">
        <v>354</v>
      </c>
    </row>
    <row r="77" spans="1:6">
      <c r="A77">
        <v>115</v>
      </c>
      <c r="B77" t="s">
        <v>118</v>
      </c>
      <c r="C77" t="s">
        <v>355</v>
      </c>
      <c r="D77">
        <v>113</v>
      </c>
      <c r="E77" t="s">
        <v>118</v>
      </c>
      <c r="F77" t="s">
        <v>355</v>
      </c>
    </row>
    <row r="78" spans="1:6">
      <c r="A78">
        <v>116</v>
      </c>
      <c r="B78" t="s">
        <v>118</v>
      </c>
      <c r="C78" t="s">
        <v>356</v>
      </c>
      <c r="D78">
        <v>114</v>
      </c>
      <c r="E78" t="s">
        <v>118</v>
      </c>
      <c r="F78" t="s">
        <v>356</v>
      </c>
    </row>
    <row r="79" spans="1:6">
      <c r="A79">
        <v>119</v>
      </c>
      <c r="B79" t="s">
        <v>357</v>
      </c>
      <c r="C79" t="s">
        <v>358</v>
      </c>
      <c r="D79">
        <v>137</v>
      </c>
      <c r="E79" t="s">
        <v>357</v>
      </c>
      <c r="F79" t="s">
        <v>358</v>
      </c>
    </row>
    <row r="80" spans="1:6">
      <c r="A80">
        <v>120</v>
      </c>
      <c r="B80" t="s">
        <v>46</v>
      </c>
      <c r="C80" t="s">
        <v>359</v>
      </c>
      <c r="D80">
        <v>100</v>
      </c>
      <c r="E80" t="s">
        <v>46</v>
      </c>
      <c r="F80" t="s">
        <v>359</v>
      </c>
    </row>
    <row r="81" spans="1:6">
      <c r="A81">
        <v>128</v>
      </c>
      <c r="B81" t="s">
        <v>360</v>
      </c>
      <c r="C81" t="s">
        <v>361</v>
      </c>
      <c r="D81">
        <v>138</v>
      </c>
      <c r="E81" t="s">
        <v>360</v>
      </c>
      <c r="F81" t="s">
        <v>361</v>
      </c>
    </row>
    <row r="82" spans="1:6">
      <c r="A82">
        <v>131</v>
      </c>
      <c r="B82" t="s">
        <v>362</v>
      </c>
      <c r="C82" t="s">
        <v>363</v>
      </c>
      <c r="D82">
        <v>151</v>
      </c>
      <c r="E82" t="s">
        <v>362</v>
      </c>
      <c r="F82" t="s">
        <v>363</v>
      </c>
    </row>
    <row r="83" spans="1:6">
      <c r="A83">
        <v>134</v>
      </c>
      <c r="B83" t="s">
        <v>364</v>
      </c>
      <c r="C83" t="s">
        <v>365</v>
      </c>
      <c r="D83">
        <v>125</v>
      </c>
      <c r="E83" t="s">
        <v>364</v>
      </c>
      <c r="F83" t="s">
        <v>365</v>
      </c>
    </row>
    <row r="84" spans="1:6">
      <c r="A84">
        <v>137</v>
      </c>
      <c r="B84" t="s">
        <v>364</v>
      </c>
      <c r="C84" t="s">
        <v>366</v>
      </c>
      <c r="D84">
        <v>126</v>
      </c>
      <c r="E84" t="s">
        <v>364</v>
      </c>
      <c r="F84" t="s">
        <v>366</v>
      </c>
    </row>
    <row r="85" spans="1:6">
      <c r="A85">
        <v>140</v>
      </c>
      <c r="B85" t="s">
        <v>364</v>
      </c>
      <c r="C85" t="s">
        <v>367</v>
      </c>
      <c r="D85">
        <v>127</v>
      </c>
      <c r="E85" t="s">
        <v>364</v>
      </c>
      <c r="F85" t="s">
        <v>367</v>
      </c>
    </row>
    <row r="86" spans="1:6">
      <c r="A86">
        <v>143</v>
      </c>
      <c r="B86" t="s">
        <v>364</v>
      </c>
      <c r="C86" t="s">
        <v>368</v>
      </c>
      <c r="D86">
        <v>128</v>
      </c>
      <c r="E86" t="s">
        <v>364</v>
      </c>
      <c r="F86" t="s">
        <v>368</v>
      </c>
    </row>
    <row r="87" spans="1:6">
      <c r="A87">
        <v>146</v>
      </c>
      <c r="B87" t="s">
        <v>369</v>
      </c>
      <c r="C87" t="s">
        <v>370</v>
      </c>
      <c r="D87">
        <v>10</v>
      </c>
      <c r="E87" t="s">
        <v>369</v>
      </c>
      <c r="F87" t="s">
        <v>370</v>
      </c>
    </row>
    <row r="88" spans="1:6">
      <c r="A88">
        <v>149</v>
      </c>
      <c r="B88" t="s">
        <v>371</v>
      </c>
      <c r="C88" t="s">
        <v>372</v>
      </c>
      <c r="D88">
        <v>135</v>
      </c>
      <c r="E88" t="s">
        <v>371</v>
      </c>
      <c r="F88" t="s">
        <v>372</v>
      </c>
    </row>
    <row r="89" spans="1:6">
      <c r="A89">
        <v>155</v>
      </c>
      <c r="B89" t="s">
        <v>371</v>
      </c>
      <c r="C89" t="s">
        <v>373</v>
      </c>
      <c r="D89">
        <v>136</v>
      </c>
      <c r="E89" t="s">
        <v>371</v>
      </c>
      <c r="F89" t="s">
        <v>373</v>
      </c>
    </row>
    <row r="90" spans="1:6">
      <c r="A90">
        <v>158</v>
      </c>
      <c r="B90" t="s">
        <v>374</v>
      </c>
      <c r="C90" t="s">
        <v>375</v>
      </c>
      <c r="D90">
        <v>159</v>
      </c>
      <c r="E90" t="s">
        <v>374</v>
      </c>
      <c r="F90" t="s">
        <v>375</v>
      </c>
    </row>
    <row r="91" spans="1:6">
      <c r="A91">
        <v>164</v>
      </c>
      <c r="B91" t="s">
        <v>374</v>
      </c>
      <c r="C91" t="s">
        <v>376</v>
      </c>
      <c r="D91">
        <v>160</v>
      </c>
      <c r="E91" t="s">
        <v>374</v>
      </c>
      <c r="F91" t="s">
        <v>376</v>
      </c>
    </row>
    <row r="92" spans="1:6">
      <c r="A92">
        <v>170</v>
      </c>
      <c r="B92" t="s">
        <v>377</v>
      </c>
      <c r="C92" t="s">
        <v>378</v>
      </c>
      <c r="D92">
        <v>170</v>
      </c>
      <c r="E92" t="s">
        <v>377</v>
      </c>
      <c r="F92" t="s">
        <v>378</v>
      </c>
    </row>
    <row r="93" spans="1:6">
      <c r="A93">
        <v>176</v>
      </c>
      <c r="B93" t="s">
        <v>374</v>
      </c>
      <c r="C93" t="s">
        <v>379</v>
      </c>
      <c r="D93">
        <v>161</v>
      </c>
      <c r="E93" t="s">
        <v>374</v>
      </c>
      <c r="F93" t="s">
        <v>379</v>
      </c>
    </row>
    <row r="94" spans="1:6">
      <c r="A94">
        <v>182</v>
      </c>
      <c r="B94" t="s">
        <v>377</v>
      </c>
      <c r="C94" t="s">
        <v>380</v>
      </c>
      <c r="D94">
        <v>171</v>
      </c>
      <c r="E94" t="s">
        <v>377</v>
      </c>
      <c r="F94" t="s">
        <v>380</v>
      </c>
    </row>
    <row r="95" spans="1:6">
      <c r="A95">
        <v>185</v>
      </c>
      <c r="B95" t="s">
        <v>381</v>
      </c>
      <c r="C95" t="s">
        <v>382</v>
      </c>
      <c r="D95">
        <v>6</v>
      </c>
      <c r="E95" t="s">
        <v>381</v>
      </c>
      <c r="F95" t="s">
        <v>382</v>
      </c>
    </row>
    <row r="96" spans="1:6">
      <c r="A96">
        <v>187</v>
      </c>
      <c r="B96" t="s">
        <v>381</v>
      </c>
      <c r="C96" t="s">
        <v>383</v>
      </c>
      <c r="D96">
        <v>7</v>
      </c>
      <c r="E96" t="s">
        <v>381</v>
      </c>
      <c r="F96" t="s">
        <v>383</v>
      </c>
    </row>
    <row r="97" spans="1:6">
      <c r="A97">
        <v>198</v>
      </c>
      <c r="B97" t="s">
        <v>384</v>
      </c>
      <c r="C97" t="s">
        <v>385</v>
      </c>
      <c r="D97" t="s">
        <v>588</v>
      </c>
    </row>
    <row r="98" spans="1:6">
      <c r="A98">
        <v>200</v>
      </c>
      <c r="B98" t="s">
        <v>39</v>
      </c>
      <c r="C98" t="s">
        <v>386</v>
      </c>
      <c r="D98">
        <v>104</v>
      </c>
      <c r="E98" t="s">
        <v>39</v>
      </c>
      <c r="F98" t="s">
        <v>386</v>
      </c>
    </row>
    <row r="99" spans="1:6">
      <c r="A99">
        <v>204</v>
      </c>
      <c r="B99" t="s">
        <v>384</v>
      </c>
      <c r="C99" t="s">
        <v>387</v>
      </c>
      <c r="D99">
        <v>85</v>
      </c>
      <c r="E99" t="s">
        <v>384</v>
      </c>
      <c r="F99" t="s">
        <v>387</v>
      </c>
    </row>
    <row r="100" spans="1:6">
      <c r="A100">
        <v>213</v>
      </c>
      <c r="B100" t="s">
        <v>384</v>
      </c>
      <c r="C100" t="s">
        <v>388</v>
      </c>
      <c r="D100">
        <v>86</v>
      </c>
      <c r="E100" t="s">
        <v>384</v>
      </c>
      <c r="F100" t="s">
        <v>388</v>
      </c>
    </row>
    <row r="101" spans="1:6">
      <c r="A101">
        <v>216</v>
      </c>
      <c r="B101" t="s">
        <v>384</v>
      </c>
      <c r="C101" t="s">
        <v>380</v>
      </c>
      <c r="D101">
        <v>87</v>
      </c>
      <c r="E101" t="s">
        <v>384</v>
      </c>
      <c r="F101" t="s">
        <v>380</v>
      </c>
    </row>
    <row r="102" spans="1:6">
      <c r="A102">
        <v>222</v>
      </c>
      <c r="B102" t="s">
        <v>389</v>
      </c>
      <c r="C102" t="s">
        <v>390</v>
      </c>
      <c r="D102">
        <v>139</v>
      </c>
      <c r="E102" t="s">
        <v>389</v>
      </c>
      <c r="F102" t="s">
        <v>390</v>
      </c>
    </row>
    <row r="103" spans="1:6">
      <c r="A103">
        <v>228</v>
      </c>
      <c r="B103" t="s">
        <v>389</v>
      </c>
      <c r="C103" t="s">
        <v>391</v>
      </c>
      <c r="D103">
        <v>140</v>
      </c>
      <c r="E103" t="s">
        <v>389</v>
      </c>
      <c r="F103" t="s">
        <v>391</v>
      </c>
    </row>
    <row r="104" spans="1:6">
      <c r="A104">
        <v>231</v>
      </c>
      <c r="B104" t="s">
        <v>389</v>
      </c>
      <c r="C104" t="s">
        <v>392</v>
      </c>
      <c r="D104">
        <v>141</v>
      </c>
      <c r="E104" t="s">
        <v>389</v>
      </c>
      <c r="F104" t="s">
        <v>392</v>
      </c>
    </row>
    <row r="105" spans="1:6">
      <c r="A105">
        <v>237</v>
      </c>
      <c r="B105" t="s">
        <v>389</v>
      </c>
      <c r="C105" t="s">
        <v>393</v>
      </c>
      <c r="D105">
        <v>142</v>
      </c>
      <c r="E105" t="s">
        <v>389</v>
      </c>
      <c r="F105" t="s">
        <v>393</v>
      </c>
    </row>
    <row r="106" spans="1:6">
      <c r="A106">
        <v>240</v>
      </c>
      <c r="B106" t="s">
        <v>389</v>
      </c>
      <c r="C106" t="s">
        <v>394</v>
      </c>
      <c r="D106">
        <v>143</v>
      </c>
      <c r="E106" t="s">
        <v>389</v>
      </c>
      <c r="F106" t="s">
        <v>394</v>
      </c>
    </row>
    <row r="107" spans="1:6">
      <c r="A107">
        <v>243</v>
      </c>
      <c r="B107" t="s">
        <v>389</v>
      </c>
      <c r="C107" t="s">
        <v>395</v>
      </c>
      <c r="D107">
        <v>144</v>
      </c>
      <c r="E107" t="s">
        <v>389</v>
      </c>
      <c r="F107" t="s">
        <v>395</v>
      </c>
    </row>
    <row r="108" spans="1:6">
      <c r="A108">
        <v>246</v>
      </c>
      <c r="B108" t="s">
        <v>389</v>
      </c>
      <c r="C108" t="s">
        <v>396</v>
      </c>
      <c r="D108">
        <v>145</v>
      </c>
      <c r="E108" t="s">
        <v>389</v>
      </c>
      <c r="F108" t="s">
        <v>396</v>
      </c>
    </row>
    <row r="109" spans="1:6">
      <c r="A109">
        <v>249</v>
      </c>
      <c r="B109" t="s">
        <v>397</v>
      </c>
      <c r="C109" t="s">
        <v>398</v>
      </c>
      <c r="D109">
        <v>2</v>
      </c>
      <c r="E109" t="s">
        <v>397</v>
      </c>
      <c r="F109" t="s">
        <v>398</v>
      </c>
    </row>
    <row r="110" spans="1:6">
      <c r="A110">
        <v>252</v>
      </c>
      <c r="B110" t="s">
        <v>397</v>
      </c>
      <c r="C110" t="s">
        <v>399</v>
      </c>
      <c r="D110">
        <v>3</v>
      </c>
      <c r="E110" t="s">
        <v>397</v>
      </c>
      <c r="F110" t="s">
        <v>399</v>
      </c>
    </row>
    <row r="111" spans="1:6">
      <c r="A111">
        <v>255</v>
      </c>
      <c r="B111" t="s">
        <v>397</v>
      </c>
      <c r="C111" t="s">
        <v>400</v>
      </c>
      <c r="D111">
        <v>4</v>
      </c>
      <c r="E111" t="s">
        <v>397</v>
      </c>
      <c r="F111" t="s">
        <v>400</v>
      </c>
    </row>
    <row r="112" spans="1:6">
      <c r="A112">
        <v>258</v>
      </c>
      <c r="B112" t="s">
        <v>397</v>
      </c>
      <c r="C112" t="s">
        <v>401</v>
      </c>
      <c r="D112">
        <v>5</v>
      </c>
      <c r="E112" t="s">
        <v>397</v>
      </c>
      <c r="F112" t="s">
        <v>401</v>
      </c>
    </row>
    <row r="113" spans="1:6">
      <c r="A113">
        <v>261</v>
      </c>
      <c r="B113" t="s">
        <v>402</v>
      </c>
      <c r="C113" t="s">
        <v>403</v>
      </c>
      <c r="D113">
        <v>179</v>
      </c>
      <c r="E113" t="s">
        <v>402</v>
      </c>
      <c r="F113" t="s">
        <v>403</v>
      </c>
    </row>
    <row r="114" spans="1:6">
      <c r="A114">
        <v>264</v>
      </c>
      <c r="B114" t="s">
        <v>402</v>
      </c>
      <c r="C114" t="s">
        <v>404</v>
      </c>
      <c r="D114">
        <v>180</v>
      </c>
      <c r="E114" t="s">
        <v>402</v>
      </c>
      <c r="F114" t="s">
        <v>404</v>
      </c>
    </row>
    <row r="115" spans="1:6">
      <c r="A115">
        <v>267</v>
      </c>
      <c r="B115" t="s">
        <v>402</v>
      </c>
      <c r="C115" t="s">
        <v>405</v>
      </c>
      <c r="D115">
        <v>181</v>
      </c>
      <c r="E115" t="s">
        <v>402</v>
      </c>
      <c r="F115" t="s">
        <v>405</v>
      </c>
    </row>
    <row r="116" spans="1:6">
      <c r="A116">
        <v>270</v>
      </c>
      <c r="B116" t="s">
        <v>402</v>
      </c>
      <c r="C116" t="s">
        <v>406</v>
      </c>
      <c r="D116" t="s">
        <v>588</v>
      </c>
    </row>
    <row r="117" spans="1:6">
      <c r="A117">
        <v>273</v>
      </c>
      <c r="B117" t="s">
        <v>54</v>
      </c>
      <c r="C117" t="s">
        <v>407</v>
      </c>
      <c r="D117">
        <v>90</v>
      </c>
      <c r="E117" t="s">
        <v>54</v>
      </c>
      <c r="F117" t="s">
        <v>407</v>
      </c>
    </row>
    <row r="118" spans="1:6">
      <c r="A118">
        <v>274</v>
      </c>
      <c r="B118" t="s">
        <v>54</v>
      </c>
      <c r="C118" t="s">
        <v>408</v>
      </c>
      <c r="D118">
        <v>91</v>
      </c>
      <c r="E118" t="s">
        <v>54</v>
      </c>
      <c r="F118" t="s">
        <v>408</v>
      </c>
    </row>
    <row r="119" spans="1:6">
      <c r="A119">
        <v>275</v>
      </c>
      <c r="B119" t="s">
        <v>409</v>
      </c>
      <c r="C119" t="s">
        <v>410</v>
      </c>
      <c r="D119">
        <v>89</v>
      </c>
      <c r="E119" t="s">
        <v>409</v>
      </c>
      <c r="F119" t="s">
        <v>410</v>
      </c>
    </row>
    <row r="120" spans="1:6">
      <c r="A120">
        <v>276</v>
      </c>
      <c r="B120" t="s">
        <v>53</v>
      </c>
      <c r="C120" t="s">
        <v>411</v>
      </c>
      <c r="D120">
        <v>93</v>
      </c>
      <c r="E120" t="s">
        <v>53</v>
      </c>
      <c r="F120" t="s">
        <v>411</v>
      </c>
    </row>
    <row r="121" spans="1:6">
      <c r="A121">
        <v>278</v>
      </c>
      <c r="B121" t="s">
        <v>53</v>
      </c>
      <c r="C121" t="s">
        <v>412</v>
      </c>
      <c r="D121" t="s">
        <v>588</v>
      </c>
    </row>
    <row r="122" spans="1:6">
      <c r="A122">
        <v>281</v>
      </c>
      <c r="B122" t="s">
        <v>87</v>
      </c>
      <c r="C122" t="s">
        <v>413</v>
      </c>
      <c r="D122">
        <v>111</v>
      </c>
      <c r="E122" t="s">
        <v>87</v>
      </c>
      <c r="F122" t="s">
        <v>413</v>
      </c>
    </row>
    <row r="123" spans="1:6">
      <c r="A123">
        <v>283</v>
      </c>
      <c r="B123" t="s">
        <v>414</v>
      </c>
      <c r="C123" t="s">
        <v>415</v>
      </c>
      <c r="D123">
        <v>156</v>
      </c>
      <c r="E123" t="s">
        <v>414</v>
      </c>
      <c r="F123" t="s">
        <v>415</v>
      </c>
    </row>
    <row r="124" spans="1:6">
      <c r="A124">
        <v>286</v>
      </c>
      <c r="B124" t="s">
        <v>416</v>
      </c>
      <c r="C124" t="s">
        <v>417</v>
      </c>
      <c r="D124">
        <v>162</v>
      </c>
      <c r="E124" t="s">
        <v>416</v>
      </c>
      <c r="F124" t="s">
        <v>417</v>
      </c>
    </row>
    <row r="125" spans="1:6">
      <c r="A125">
        <v>289</v>
      </c>
      <c r="B125" t="s">
        <v>416</v>
      </c>
      <c r="C125" t="s">
        <v>667</v>
      </c>
      <c r="D125">
        <v>163</v>
      </c>
      <c r="E125" t="s">
        <v>416</v>
      </c>
      <c r="F125" t="s">
        <v>667</v>
      </c>
    </row>
    <row r="126" spans="1:6">
      <c r="A126">
        <v>292</v>
      </c>
      <c r="B126" t="s">
        <v>416</v>
      </c>
      <c r="C126" t="s">
        <v>418</v>
      </c>
      <c r="D126">
        <v>164</v>
      </c>
      <c r="E126" t="s">
        <v>416</v>
      </c>
      <c r="F126" t="s">
        <v>418</v>
      </c>
    </row>
    <row r="127" spans="1:6">
      <c r="A127">
        <v>295</v>
      </c>
      <c r="B127" t="s">
        <v>416</v>
      </c>
      <c r="C127" t="s">
        <v>419</v>
      </c>
      <c r="D127">
        <v>165</v>
      </c>
      <c r="E127" t="s">
        <v>416</v>
      </c>
      <c r="F127" t="s">
        <v>419</v>
      </c>
    </row>
    <row r="128" spans="1:6">
      <c r="A128">
        <v>299</v>
      </c>
      <c r="B128" t="s">
        <v>416</v>
      </c>
      <c r="C128" t="s">
        <v>420</v>
      </c>
      <c r="D128">
        <v>166</v>
      </c>
      <c r="E128" t="s">
        <v>416</v>
      </c>
      <c r="F128" t="s">
        <v>420</v>
      </c>
    </row>
    <row r="129" spans="1:6">
      <c r="A129">
        <v>300</v>
      </c>
      <c r="B129" t="s">
        <v>421</v>
      </c>
      <c r="C129" t="s">
        <v>422</v>
      </c>
      <c r="D129" t="s">
        <v>137</v>
      </c>
    </row>
    <row r="130" spans="1:6">
      <c r="A130">
        <v>302</v>
      </c>
      <c r="B130" t="s">
        <v>416</v>
      </c>
      <c r="C130" t="s">
        <v>423</v>
      </c>
      <c r="D130">
        <v>167</v>
      </c>
      <c r="E130" t="s">
        <v>416</v>
      </c>
      <c r="F130" t="s">
        <v>423</v>
      </c>
    </row>
    <row r="131" spans="1:6">
      <c r="A131">
        <v>305</v>
      </c>
      <c r="B131" t="s">
        <v>414</v>
      </c>
      <c r="C131" t="s">
        <v>424</v>
      </c>
      <c r="D131">
        <v>157</v>
      </c>
      <c r="E131" t="s">
        <v>414</v>
      </c>
      <c r="F131" t="s">
        <v>424</v>
      </c>
    </row>
    <row r="132" spans="1:6">
      <c r="A132">
        <v>308</v>
      </c>
      <c r="B132" t="s">
        <v>416</v>
      </c>
      <c r="C132" t="s">
        <v>425</v>
      </c>
      <c r="D132">
        <v>168</v>
      </c>
      <c r="E132" t="s">
        <v>416</v>
      </c>
      <c r="F132" t="s">
        <v>425</v>
      </c>
    </row>
    <row r="133" spans="1:6">
      <c r="A133">
        <v>311</v>
      </c>
      <c r="B133" t="s">
        <v>416</v>
      </c>
      <c r="C133" t="s">
        <v>426</v>
      </c>
      <c r="D133">
        <v>169</v>
      </c>
      <c r="E133" t="s">
        <v>416</v>
      </c>
      <c r="F133" t="s">
        <v>426</v>
      </c>
    </row>
    <row r="134" spans="1:6">
      <c r="A134">
        <v>314</v>
      </c>
      <c r="B134" t="s">
        <v>414</v>
      </c>
      <c r="C134" t="s">
        <v>427</v>
      </c>
      <c r="D134">
        <v>158</v>
      </c>
      <c r="E134" t="s">
        <v>414</v>
      </c>
      <c r="F134" t="s">
        <v>427</v>
      </c>
    </row>
    <row r="135" spans="1:6">
      <c r="A135">
        <v>326</v>
      </c>
      <c r="B135" t="s">
        <v>428</v>
      </c>
      <c r="C135" t="s">
        <v>429</v>
      </c>
      <c r="D135">
        <v>8</v>
      </c>
      <c r="E135" t="s">
        <v>428</v>
      </c>
      <c r="F135" t="s">
        <v>429</v>
      </c>
    </row>
    <row r="136" spans="1:6">
      <c r="A136">
        <v>329</v>
      </c>
      <c r="B136" t="s">
        <v>428</v>
      </c>
      <c r="C136" t="s">
        <v>430</v>
      </c>
      <c r="D136">
        <v>9</v>
      </c>
      <c r="E136" t="s">
        <v>428</v>
      </c>
      <c r="F136" t="s">
        <v>430</v>
      </c>
    </row>
    <row r="137" spans="1:6">
      <c r="A137">
        <v>330</v>
      </c>
      <c r="B137" t="s">
        <v>121</v>
      </c>
      <c r="C137" t="s">
        <v>431</v>
      </c>
      <c r="D137">
        <v>120</v>
      </c>
      <c r="E137" t="s">
        <v>121</v>
      </c>
      <c r="F137" t="s">
        <v>431</v>
      </c>
    </row>
    <row r="138" spans="1:6">
      <c r="A138">
        <v>332</v>
      </c>
      <c r="B138" t="s">
        <v>120</v>
      </c>
      <c r="C138" t="s">
        <v>432</v>
      </c>
      <c r="D138">
        <v>118</v>
      </c>
      <c r="E138" t="s">
        <v>120</v>
      </c>
      <c r="F138" t="s">
        <v>432</v>
      </c>
    </row>
    <row r="139" spans="1:6">
      <c r="A139">
        <v>332.1</v>
      </c>
      <c r="B139" t="s">
        <v>120</v>
      </c>
      <c r="C139" t="s">
        <v>432</v>
      </c>
      <c r="D139">
        <v>119</v>
      </c>
      <c r="E139" t="s">
        <v>120</v>
      </c>
      <c r="F139" t="s">
        <v>432</v>
      </c>
    </row>
    <row r="140" spans="1:6">
      <c r="A140">
        <v>334</v>
      </c>
      <c r="B140" t="s">
        <v>89</v>
      </c>
      <c r="C140" t="s">
        <v>433</v>
      </c>
      <c r="D140">
        <v>123</v>
      </c>
      <c r="E140" t="s">
        <v>89</v>
      </c>
      <c r="F140" t="s">
        <v>433</v>
      </c>
    </row>
    <row r="141" spans="1:6">
      <c r="A141">
        <v>336</v>
      </c>
      <c r="B141" t="s">
        <v>89</v>
      </c>
      <c r="C141" t="s">
        <v>434</v>
      </c>
      <c r="D141">
        <v>124</v>
      </c>
      <c r="E141" t="s">
        <v>89</v>
      </c>
      <c r="F141" t="s">
        <v>434</v>
      </c>
    </row>
    <row r="142" spans="1:6">
      <c r="A142">
        <v>340</v>
      </c>
      <c r="B142" t="s">
        <v>43</v>
      </c>
      <c r="C142" t="s">
        <v>435</v>
      </c>
      <c r="D142">
        <v>105</v>
      </c>
      <c r="E142" t="s">
        <v>43</v>
      </c>
      <c r="F142" t="s">
        <v>435</v>
      </c>
    </row>
    <row r="143" spans="1:6">
      <c r="A143">
        <v>342</v>
      </c>
      <c r="B143" t="s">
        <v>43</v>
      </c>
      <c r="C143" t="s">
        <v>436</v>
      </c>
      <c r="D143">
        <v>106</v>
      </c>
      <c r="E143" t="s">
        <v>43</v>
      </c>
      <c r="F143" t="s">
        <v>436</v>
      </c>
    </row>
    <row r="144" spans="1:6">
      <c r="A144">
        <v>344</v>
      </c>
      <c r="B144" t="s">
        <v>115</v>
      </c>
      <c r="C144" t="s">
        <v>437</v>
      </c>
      <c r="D144">
        <v>107</v>
      </c>
      <c r="E144" t="s">
        <v>115</v>
      </c>
      <c r="F144" t="s">
        <v>437</v>
      </c>
    </row>
    <row r="145" spans="1:6">
      <c r="A145">
        <v>348</v>
      </c>
      <c r="B145" t="s">
        <v>438</v>
      </c>
      <c r="C145" t="s">
        <v>439</v>
      </c>
      <c r="D145">
        <v>152</v>
      </c>
      <c r="E145" t="s">
        <v>438</v>
      </c>
      <c r="F145" t="s">
        <v>439</v>
      </c>
    </row>
    <row r="146" spans="1:6">
      <c r="A146">
        <v>350</v>
      </c>
      <c r="B146" t="s">
        <v>438</v>
      </c>
      <c r="C146" t="s">
        <v>440</v>
      </c>
      <c r="D146">
        <v>153</v>
      </c>
      <c r="E146" t="s">
        <v>438</v>
      </c>
      <c r="F146" t="s">
        <v>440</v>
      </c>
    </row>
    <row r="147" spans="1:6">
      <c r="A147">
        <v>352</v>
      </c>
      <c r="B147" t="s">
        <v>441</v>
      </c>
      <c r="C147" t="s">
        <v>442</v>
      </c>
      <c r="D147">
        <v>134</v>
      </c>
      <c r="E147" t="s">
        <v>441</v>
      </c>
      <c r="F147" t="s">
        <v>442</v>
      </c>
    </row>
    <row r="148" spans="1:6">
      <c r="A148">
        <v>354</v>
      </c>
      <c r="B148" t="s">
        <v>24</v>
      </c>
      <c r="C148" t="s">
        <v>443</v>
      </c>
      <c r="D148">
        <v>14</v>
      </c>
      <c r="E148" t="s">
        <v>24</v>
      </c>
      <c r="F148" t="s">
        <v>787</v>
      </c>
    </row>
    <row r="149" spans="1:6">
      <c r="A149">
        <v>356</v>
      </c>
      <c r="B149" t="s">
        <v>444</v>
      </c>
      <c r="C149" t="s">
        <v>445</v>
      </c>
      <c r="D149">
        <v>21</v>
      </c>
      <c r="E149" t="s">
        <v>444</v>
      </c>
      <c r="F149" t="s">
        <v>445</v>
      </c>
    </row>
    <row r="150" spans="1:6">
      <c r="A150">
        <v>358</v>
      </c>
      <c r="B150" t="s">
        <v>27</v>
      </c>
      <c r="C150" t="s">
        <v>446</v>
      </c>
      <c r="D150" t="s">
        <v>588</v>
      </c>
    </row>
    <row r="151" spans="1:6">
      <c r="A151">
        <v>360</v>
      </c>
      <c r="B151" t="s">
        <v>421</v>
      </c>
      <c r="C151" t="s">
        <v>447</v>
      </c>
      <c r="D151" t="s">
        <v>137</v>
      </c>
    </row>
    <row r="152" spans="1:6">
      <c r="A152">
        <v>362</v>
      </c>
      <c r="B152" t="s">
        <v>79</v>
      </c>
      <c r="C152" t="s">
        <v>448</v>
      </c>
      <c r="D152">
        <v>55</v>
      </c>
      <c r="E152" t="s">
        <v>79</v>
      </c>
      <c r="F152" t="s">
        <v>448</v>
      </c>
    </row>
    <row r="153" spans="1:6">
      <c r="A153">
        <v>364</v>
      </c>
      <c r="B153" t="s">
        <v>82</v>
      </c>
      <c r="C153" t="s">
        <v>449</v>
      </c>
      <c r="D153">
        <v>56</v>
      </c>
      <c r="E153" t="s">
        <v>82</v>
      </c>
      <c r="F153" t="s">
        <v>449</v>
      </c>
    </row>
    <row r="154" spans="1:6">
      <c r="A154">
        <v>366</v>
      </c>
      <c r="B154" t="s">
        <v>450</v>
      </c>
      <c r="C154" t="s">
        <v>451</v>
      </c>
      <c r="D154">
        <v>54</v>
      </c>
      <c r="E154" t="s">
        <v>450</v>
      </c>
      <c r="F154" t="s">
        <v>451</v>
      </c>
    </row>
    <row r="155" spans="1:6">
      <c r="A155">
        <v>368</v>
      </c>
      <c r="B155" t="s">
        <v>452</v>
      </c>
      <c r="C155" t="s">
        <v>453</v>
      </c>
      <c r="D155">
        <v>71</v>
      </c>
      <c r="E155" t="s">
        <v>452</v>
      </c>
      <c r="F155" t="s">
        <v>453</v>
      </c>
    </row>
    <row r="156" spans="1:6">
      <c r="A156">
        <v>370</v>
      </c>
      <c r="B156" t="s">
        <v>64</v>
      </c>
      <c r="C156" t="s">
        <v>454</v>
      </c>
      <c r="D156">
        <v>72</v>
      </c>
      <c r="E156" t="s">
        <v>64</v>
      </c>
      <c r="F156" t="s">
        <v>454</v>
      </c>
    </row>
    <row r="157" spans="1:6">
      <c r="A157">
        <v>372</v>
      </c>
      <c r="B157" t="s">
        <v>64</v>
      </c>
      <c r="C157" t="s">
        <v>455</v>
      </c>
      <c r="D157">
        <v>73</v>
      </c>
      <c r="E157" t="s">
        <v>64</v>
      </c>
      <c r="F157" t="s">
        <v>455</v>
      </c>
    </row>
    <row r="158" spans="1:6">
      <c r="A158">
        <v>374</v>
      </c>
      <c r="B158" t="s">
        <v>456</v>
      </c>
      <c r="C158" t="s">
        <v>457</v>
      </c>
      <c r="D158">
        <v>74</v>
      </c>
      <c r="E158" t="s">
        <v>456</v>
      </c>
      <c r="F158" t="s">
        <v>457</v>
      </c>
    </row>
    <row r="159" spans="1:6">
      <c r="A159">
        <v>376</v>
      </c>
      <c r="B159" t="s">
        <v>64</v>
      </c>
      <c r="C159" t="s">
        <v>458</v>
      </c>
      <c r="D159" t="s">
        <v>588</v>
      </c>
    </row>
    <row r="160" spans="1:6">
      <c r="A160">
        <v>378</v>
      </c>
      <c r="B160" t="s">
        <v>64</v>
      </c>
      <c r="C160" t="s">
        <v>459</v>
      </c>
      <c r="D160" t="s">
        <v>588</v>
      </c>
    </row>
    <row r="161" spans="1:6">
      <c r="A161">
        <v>382</v>
      </c>
      <c r="B161" t="s">
        <v>111</v>
      </c>
      <c r="C161" t="s">
        <v>460</v>
      </c>
      <c r="D161">
        <v>99</v>
      </c>
      <c r="E161" t="s">
        <v>111</v>
      </c>
      <c r="F161" t="s">
        <v>460</v>
      </c>
    </row>
    <row r="162" spans="1:6">
      <c r="A162">
        <v>386</v>
      </c>
      <c r="B162" t="s">
        <v>86</v>
      </c>
      <c r="C162" t="s">
        <v>461</v>
      </c>
      <c r="D162">
        <v>112</v>
      </c>
      <c r="E162" t="s">
        <v>86</v>
      </c>
      <c r="F162" t="s">
        <v>461</v>
      </c>
    </row>
    <row r="163" spans="1:6">
      <c r="A163">
        <v>388</v>
      </c>
      <c r="B163" t="s">
        <v>63</v>
      </c>
      <c r="C163" t="s">
        <v>462</v>
      </c>
      <c r="D163">
        <v>121</v>
      </c>
      <c r="E163" t="s">
        <v>63</v>
      </c>
      <c r="F163" t="s">
        <v>462</v>
      </c>
    </row>
    <row r="164" spans="1:6">
      <c r="A164">
        <v>390</v>
      </c>
      <c r="B164" t="s">
        <v>463</v>
      </c>
      <c r="C164" t="s">
        <v>464</v>
      </c>
      <c r="D164">
        <v>53</v>
      </c>
      <c r="E164" t="s">
        <v>463</v>
      </c>
      <c r="F164" t="s">
        <v>464</v>
      </c>
    </row>
    <row r="165" spans="1:6">
      <c r="A165">
        <v>392</v>
      </c>
      <c r="B165" t="s">
        <v>23</v>
      </c>
      <c r="C165" t="s">
        <v>465</v>
      </c>
      <c r="D165" t="s">
        <v>137</v>
      </c>
    </row>
    <row r="166" spans="1:6">
      <c r="A166">
        <v>394</v>
      </c>
      <c r="B166" t="s">
        <v>23</v>
      </c>
      <c r="C166" t="s">
        <v>466</v>
      </c>
      <c r="D166" t="s">
        <v>137</v>
      </c>
    </row>
    <row r="167" spans="1:6">
      <c r="A167">
        <v>396</v>
      </c>
      <c r="B167" t="s">
        <v>23</v>
      </c>
      <c r="C167" t="s">
        <v>467</v>
      </c>
      <c r="D167" t="s">
        <v>137</v>
      </c>
    </row>
    <row r="168" spans="1:6">
      <c r="A168">
        <v>398</v>
      </c>
      <c r="B168" t="s">
        <v>23</v>
      </c>
      <c r="C168" t="s">
        <v>468</v>
      </c>
      <c r="D168" t="s">
        <v>137</v>
      </c>
    </row>
    <row r="169" spans="1:6">
      <c r="A169">
        <v>400</v>
      </c>
      <c r="B169" t="s">
        <v>421</v>
      </c>
      <c r="C169" t="s">
        <v>470</v>
      </c>
      <c r="D169" t="s">
        <v>137</v>
      </c>
    </row>
    <row r="170" spans="1:6">
      <c r="A170">
        <v>402</v>
      </c>
      <c r="B170" t="s">
        <v>81</v>
      </c>
      <c r="C170" t="s">
        <v>471</v>
      </c>
      <c r="D170" t="s">
        <v>137</v>
      </c>
    </row>
    <row r="171" spans="1:6">
      <c r="A171">
        <v>404</v>
      </c>
      <c r="B171" t="s">
        <v>81</v>
      </c>
      <c r="C171" t="s">
        <v>472</v>
      </c>
      <c r="D171" t="s">
        <v>137</v>
      </c>
    </row>
    <row r="172" spans="1:6">
      <c r="A172">
        <v>406</v>
      </c>
      <c r="B172" t="s">
        <v>81</v>
      </c>
      <c r="C172" t="s">
        <v>473</v>
      </c>
      <c r="D172" t="s">
        <v>137</v>
      </c>
    </row>
    <row r="173" spans="1:6">
      <c r="A173">
        <v>408</v>
      </c>
      <c r="B173" t="s">
        <v>81</v>
      </c>
      <c r="C173" t="s">
        <v>474</v>
      </c>
      <c r="D173" t="s">
        <v>137</v>
      </c>
    </row>
    <row r="174" spans="1:6">
      <c r="A174">
        <v>410</v>
      </c>
      <c r="B174" t="s">
        <v>146</v>
      </c>
      <c r="C174" t="s">
        <v>475</v>
      </c>
      <c r="D174">
        <v>173</v>
      </c>
      <c r="E174" t="s">
        <v>146</v>
      </c>
      <c r="F174" t="s">
        <v>475</v>
      </c>
    </row>
    <row r="175" spans="1:6">
      <c r="A175">
        <v>412</v>
      </c>
      <c r="B175" t="s">
        <v>146</v>
      </c>
      <c r="C175" t="s">
        <v>476</v>
      </c>
      <c r="D175" t="s">
        <v>137</v>
      </c>
    </row>
    <row r="176" spans="1:6">
      <c r="A176">
        <v>414</v>
      </c>
      <c r="B176" t="s">
        <v>146</v>
      </c>
      <c r="C176" t="s">
        <v>477</v>
      </c>
      <c r="D176">
        <v>174</v>
      </c>
      <c r="E176" t="s">
        <v>146</v>
      </c>
      <c r="F176" t="s">
        <v>477</v>
      </c>
    </row>
    <row r="177" spans="1:6">
      <c r="A177">
        <v>416</v>
      </c>
      <c r="B177" t="s">
        <v>150</v>
      </c>
      <c r="C177" t="s">
        <v>478</v>
      </c>
      <c r="D177">
        <v>175</v>
      </c>
      <c r="E177" t="s">
        <v>150</v>
      </c>
      <c r="F177" t="s">
        <v>478</v>
      </c>
    </row>
    <row r="178" spans="1:6">
      <c r="A178">
        <v>418</v>
      </c>
      <c r="B178" t="s">
        <v>36</v>
      </c>
      <c r="C178" t="s">
        <v>479</v>
      </c>
      <c r="D178" t="s">
        <v>137</v>
      </c>
    </row>
    <row r="179" spans="1:6">
      <c r="A179">
        <v>420</v>
      </c>
      <c r="B179" t="s">
        <v>421</v>
      </c>
      <c r="C179" t="s">
        <v>480</v>
      </c>
      <c r="D179" t="s">
        <v>137</v>
      </c>
    </row>
    <row r="180" spans="1:6">
      <c r="A180">
        <v>422</v>
      </c>
      <c r="B180" t="s">
        <v>162</v>
      </c>
      <c r="C180" t="s">
        <v>481</v>
      </c>
      <c r="D180" t="s">
        <v>137</v>
      </c>
    </row>
    <row r="181" spans="1:6">
      <c r="A181">
        <v>424</v>
      </c>
      <c r="B181" t="s">
        <v>164</v>
      </c>
      <c r="C181" t="s">
        <v>482</v>
      </c>
      <c r="D181" t="s">
        <v>137</v>
      </c>
    </row>
    <row r="182" spans="1:6">
      <c r="A182">
        <v>426</v>
      </c>
      <c r="B182" t="s">
        <v>164</v>
      </c>
      <c r="C182" t="s">
        <v>483</v>
      </c>
      <c r="D182" t="s">
        <v>137</v>
      </c>
    </row>
    <row r="183" spans="1:6">
      <c r="A183">
        <v>428</v>
      </c>
      <c r="B183" t="s">
        <v>40</v>
      </c>
      <c r="C183" t="s">
        <v>484</v>
      </c>
      <c r="D183" t="s">
        <v>137</v>
      </c>
    </row>
    <row r="184" spans="1:6">
      <c r="A184">
        <v>430</v>
      </c>
      <c r="B184" t="s">
        <v>40</v>
      </c>
      <c r="C184" t="s">
        <v>474</v>
      </c>
      <c r="D184" t="s">
        <v>137</v>
      </c>
    </row>
    <row r="185" spans="1:6">
      <c r="A185">
        <v>432</v>
      </c>
      <c r="B185" t="s">
        <v>40</v>
      </c>
      <c r="C185" t="s">
        <v>485</v>
      </c>
      <c r="D185" t="s">
        <v>137</v>
      </c>
    </row>
    <row r="186" spans="1:6">
      <c r="A186">
        <v>434</v>
      </c>
      <c r="B186" t="s">
        <v>40</v>
      </c>
      <c r="C186" t="s">
        <v>486</v>
      </c>
      <c r="D186" t="s">
        <v>137</v>
      </c>
    </row>
    <row r="187" spans="1:6">
      <c r="A187">
        <v>436</v>
      </c>
      <c r="B187" t="s">
        <v>40</v>
      </c>
      <c r="C187" t="s">
        <v>487</v>
      </c>
      <c r="D187" t="s">
        <v>137</v>
      </c>
    </row>
    <row r="188" spans="1:6">
      <c r="A188">
        <v>438</v>
      </c>
      <c r="B188" t="s">
        <v>167</v>
      </c>
      <c r="C188" t="s">
        <v>488</v>
      </c>
      <c r="D188" t="s">
        <v>137</v>
      </c>
    </row>
    <row r="189" spans="1:6">
      <c r="A189">
        <v>440</v>
      </c>
      <c r="B189" t="s">
        <v>421</v>
      </c>
      <c r="C189" t="s">
        <v>489</v>
      </c>
      <c r="D189" t="s">
        <v>137</v>
      </c>
    </row>
    <row r="190" spans="1:6">
      <c r="A190">
        <v>442</v>
      </c>
      <c r="B190" t="s">
        <v>40</v>
      </c>
      <c r="C190" t="s">
        <v>490</v>
      </c>
      <c r="D190" t="s">
        <v>137</v>
      </c>
    </row>
    <row r="191" spans="1:6">
      <c r="A191">
        <v>446</v>
      </c>
      <c r="B191" t="s">
        <v>40</v>
      </c>
      <c r="C191" t="s">
        <v>491</v>
      </c>
      <c r="D191" t="s">
        <v>137</v>
      </c>
    </row>
    <row r="192" spans="1:6">
      <c r="A192">
        <v>448</v>
      </c>
      <c r="B192" t="s">
        <v>40</v>
      </c>
      <c r="C192" t="s">
        <v>492</v>
      </c>
      <c r="D192" t="s">
        <v>137</v>
      </c>
    </row>
    <row r="193" spans="1:6">
      <c r="A193">
        <v>450</v>
      </c>
      <c r="B193" t="s">
        <v>40</v>
      </c>
      <c r="C193" t="s">
        <v>493</v>
      </c>
      <c r="D193" t="s">
        <v>137</v>
      </c>
    </row>
    <row r="194" spans="1:6">
      <c r="A194">
        <v>452</v>
      </c>
      <c r="B194" t="s">
        <v>61</v>
      </c>
      <c r="C194" t="s">
        <v>494</v>
      </c>
      <c r="D194">
        <v>38</v>
      </c>
      <c r="E194" t="s">
        <v>61</v>
      </c>
      <c r="F194" t="s">
        <v>494</v>
      </c>
    </row>
    <row r="195" spans="1:6">
      <c r="A195">
        <v>454</v>
      </c>
      <c r="B195" t="s">
        <v>110</v>
      </c>
      <c r="C195" t="s">
        <v>440</v>
      </c>
      <c r="D195">
        <v>98</v>
      </c>
      <c r="E195" t="s">
        <v>110</v>
      </c>
      <c r="F195" t="s">
        <v>440</v>
      </c>
    </row>
    <row r="196" spans="1:6">
      <c r="A196">
        <v>456</v>
      </c>
      <c r="B196" t="s">
        <v>23</v>
      </c>
      <c r="C196" t="s">
        <v>495</v>
      </c>
      <c r="D196" t="s">
        <v>137</v>
      </c>
    </row>
    <row r="197" spans="1:6">
      <c r="A197">
        <v>458</v>
      </c>
      <c r="B197" t="s">
        <v>36</v>
      </c>
      <c r="C197" t="s">
        <v>496</v>
      </c>
      <c r="D197" t="s">
        <v>137</v>
      </c>
    </row>
    <row r="198" spans="1:6">
      <c r="A198">
        <v>460</v>
      </c>
      <c r="B198" t="s">
        <v>162</v>
      </c>
      <c r="C198" t="s">
        <v>497</v>
      </c>
      <c r="D198" t="s">
        <v>137</v>
      </c>
    </row>
    <row r="199" spans="1:6">
      <c r="A199">
        <v>462</v>
      </c>
      <c r="B199" t="s">
        <v>46</v>
      </c>
      <c r="C199" t="s">
        <v>498</v>
      </c>
      <c r="D199">
        <v>101</v>
      </c>
      <c r="E199" t="s">
        <v>46</v>
      </c>
      <c r="F199" t="s">
        <v>498</v>
      </c>
    </row>
    <row r="200" spans="1:6">
      <c r="A200">
        <v>464</v>
      </c>
      <c r="B200" t="s">
        <v>48</v>
      </c>
      <c r="C200" t="s">
        <v>499</v>
      </c>
      <c r="D200">
        <v>96</v>
      </c>
      <c r="E200" t="s">
        <v>48</v>
      </c>
      <c r="F200" t="s">
        <v>499</v>
      </c>
    </row>
    <row r="201" spans="1:6">
      <c r="A201">
        <v>466</v>
      </c>
      <c r="B201" t="s">
        <v>107</v>
      </c>
      <c r="C201" t="s">
        <v>500</v>
      </c>
      <c r="D201">
        <v>92</v>
      </c>
      <c r="E201" t="s">
        <v>107</v>
      </c>
      <c r="F201" t="s">
        <v>500</v>
      </c>
    </row>
    <row r="202" spans="1:6">
      <c r="A202">
        <v>468</v>
      </c>
      <c r="B202" t="s">
        <v>108</v>
      </c>
      <c r="C202" t="s">
        <v>500</v>
      </c>
      <c r="D202">
        <v>94</v>
      </c>
      <c r="E202" t="s">
        <v>108</v>
      </c>
      <c r="F202" t="s">
        <v>500</v>
      </c>
    </row>
    <row r="203" spans="1:6">
      <c r="A203">
        <v>470</v>
      </c>
      <c r="B203" t="s">
        <v>501</v>
      </c>
      <c r="C203" t="s">
        <v>502</v>
      </c>
      <c r="D203">
        <v>178</v>
      </c>
      <c r="E203" t="s">
        <v>501</v>
      </c>
      <c r="F203" t="s">
        <v>502</v>
      </c>
    </row>
    <row r="204" spans="1:6">
      <c r="A204">
        <v>472</v>
      </c>
      <c r="B204" t="s">
        <v>503</v>
      </c>
      <c r="C204" t="s">
        <v>504</v>
      </c>
      <c r="D204">
        <v>176</v>
      </c>
      <c r="E204" t="s">
        <v>503</v>
      </c>
      <c r="F204" t="s">
        <v>504</v>
      </c>
    </row>
    <row r="205" spans="1:6">
      <c r="A205">
        <v>474</v>
      </c>
      <c r="B205" t="s">
        <v>505</v>
      </c>
      <c r="C205" t="s">
        <v>502</v>
      </c>
      <c r="D205">
        <v>177</v>
      </c>
      <c r="E205" t="s">
        <v>505</v>
      </c>
      <c r="F205" t="s">
        <v>502</v>
      </c>
    </row>
    <row r="206" spans="1:6">
      <c r="A206">
        <v>476</v>
      </c>
      <c r="B206" t="s">
        <v>506</v>
      </c>
      <c r="C206" t="s">
        <v>507</v>
      </c>
      <c r="D206">
        <v>183</v>
      </c>
      <c r="E206" t="s">
        <v>506</v>
      </c>
      <c r="F206" t="s">
        <v>507</v>
      </c>
    </row>
    <row r="207" spans="1:6">
      <c r="A207">
        <v>478</v>
      </c>
      <c r="B207" t="s">
        <v>508</v>
      </c>
      <c r="C207" t="s">
        <v>509</v>
      </c>
      <c r="D207">
        <v>11</v>
      </c>
      <c r="E207" t="s">
        <v>508</v>
      </c>
      <c r="F207" t="s">
        <v>509</v>
      </c>
    </row>
    <row r="208" spans="1:6">
      <c r="A208">
        <v>480</v>
      </c>
      <c r="B208" t="s">
        <v>510</v>
      </c>
      <c r="C208" t="s">
        <v>511</v>
      </c>
      <c r="D208">
        <v>148</v>
      </c>
      <c r="E208" t="s">
        <v>510</v>
      </c>
      <c r="F208" t="s">
        <v>511</v>
      </c>
    </row>
    <row r="209" spans="1:6">
      <c r="A209">
        <v>482</v>
      </c>
      <c r="B209" t="s">
        <v>389</v>
      </c>
      <c r="C209" t="s">
        <v>512</v>
      </c>
      <c r="D209">
        <v>146</v>
      </c>
      <c r="E209" t="s">
        <v>389</v>
      </c>
      <c r="F209" t="s">
        <v>512</v>
      </c>
    </row>
    <row r="210" spans="1:6">
      <c r="A210">
        <v>483</v>
      </c>
      <c r="B210" t="s">
        <v>668</v>
      </c>
      <c r="C210" t="s">
        <v>513</v>
      </c>
      <c r="D210">
        <v>129</v>
      </c>
      <c r="E210" t="s">
        <v>668</v>
      </c>
      <c r="F210" t="s">
        <v>513</v>
      </c>
    </row>
    <row r="211" spans="1:6">
      <c r="A211">
        <v>484</v>
      </c>
      <c r="B211" t="s">
        <v>46</v>
      </c>
      <c r="C211" t="s">
        <v>470</v>
      </c>
      <c r="D211">
        <v>102</v>
      </c>
      <c r="E211" t="s">
        <v>46</v>
      </c>
      <c r="F211" t="s">
        <v>470</v>
      </c>
    </row>
    <row r="212" spans="1:6">
      <c r="A212">
        <v>485</v>
      </c>
      <c r="B212" t="s">
        <v>669</v>
      </c>
      <c r="C212" t="s">
        <v>514</v>
      </c>
      <c r="D212">
        <v>132</v>
      </c>
      <c r="E212" t="s">
        <v>669</v>
      </c>
      <c r="F212" t="s">
        <v>514</v>
      </c>
    </row>
    <row r="213" spans="1:6">
      <c r="A213">
        <v>486</v>
      </c>
      <c r="B213" t="s">
        <v>515</v>
      </c>
      <c r="C213" t="s">
        <v>516</v>
      </c>
      <c r="D213">
        <v>1</v>
      </c>
      <c r="E213" t="s">
        <v>515</v>
      </c>
      <c r="F213" t="s">
        <v>516</v>
      </c>
    </row>
    <row r="214" spans="1:6">
      <c r="A214">
        <v>487</v>
      </c>
      <c r="B214" t="s">
        <v>517</v>
      </c>
      <c r="C214" t="s">
        <v>516</v>
      </c>
      <c r="D214">
        <v>88</v>
      </c>
      <c r="E214" t="s">
        <v>517</v>
      </c>
      <c r="F214" t="s">
        <v>516</v>
      </c>
    </row>
    <row r="215" spans="1:6">
      <c r="A215">
        <v>488</v>
      </c>
      <c r="B215" t="s">
        <v>670</v>
      </c>
      <c r="C215" t="s">
        <v>513</v>
      </c>
      <c r="D215">
        <v>149</v>
      </c>
      <c r="E215" t="s">
        <v>670</v>
      </c>
      <c r="F215" t="s">
        <v>513</v>
      </c>
    </row>
    <row r="216" spans="1:6">
      <c r="A216">
        <v>489</v>
      </c>
      <c r="B216" t="s">
        <v>671</v>
      </c>
      <c r="C216" t="s">
        <v>518</v>
      </c>
      <c r="D216">
        <v>182</v>
      </c>
      <c r="E216" t="s">
        <v>671</v>
      </c>
      <c r="F216" t="s">
        <v>518</v>
      </c>
    </row>
    <row r="217" spans="1:6">
      <c r="A217">
        <v>490</v>
      </c>
      <c r="B217" t="s">
        <v>669</v>
      </c>
      <c r="C217" t="s">
        <v>519</v>
      </c>
      <c r="D217">
        <v>133</v>
      </c>
      <c r="E217" t="s">
        <v>669</v>
      </c>
      <c r="F217" t="s">
        <v>519</v>
      </c>
    </row>
    <row r="218" spans="1:6">
      <c r="A218">
        <v>491</v>
      </c>
      <c r="B218" t="s">
        <v>672</v>
      </c>
      <c r="C218" t="s">
        <v>520</v>
      </c>
      <c r="D218" t="s">
        <v>588</v>
      </c>
    </row>
    <row r="219" spans="1:6">
      <c r="A219">
        <v>492</v>
      </c>
      <c r="B219" t="s">
        <v>673</v>
      </c>
      <c r="C219" t="s">
        <v>521</v>
      </c>
      <c r="D219">
        <v>147</v>
      </c>
      <c r="E219" t="s">
        <v>673</v>
      </c>
      <c r="F219" t="s">
        <v>521</v>
      </c>
    </row>
    <row r="220" spans="1:6">
      <c r="A220">
        <v>493</v>
      </c>
      <c r="B220" t="s">
        <v>674</v>
      </c>
      <c r="C220" t="s">
        <v>522</v>
      </c>
      <c r="D220" t="s">
        <v>588</v>
      </c>
    </row>
    <row r="221" spans="1:6">
      <c r="A221">
        <v>500</v>
      </c>
      <c r="B221" t="s">
        <v>41</v>
      </c>
      <c r="C221" t="s">
        <v>523</v>
      </c>
      <c r="D221">
        <v>97</v>
      </c>
      <c r="E221" t="s">
        <v>41</v>
      </c>
      <c r="F221" t="s">
        <v>523</v>
      </c>
    </row>
    <row r="222" spans="1:6">
      <c r="A222">
        <v>800</v>
      </c>
      <c r="B222" t="s">
        <v>72</v>
      </c>
      <c r="C222" t="s">
        <v>524</v>
      </c>
      <c r="D222" t="s">
        <v>588</v>
      </c>
    </row>
    <row r="223" spans="1:6">
      <c r="A223">
        <v>1100</v>
      </c>
      <c r="B223" t="s">
        <v>24</v>
      </c>
      <c r="C223" t="s">
        <v>525</v>
      </c>
      <c r="D223" t="s">
        <v>588</v>
      </c>
    </row>
    <row r="224" spans="1:6">
      <c r="A224">
        <v>1120</v>
      </c>
      <c r="B224" t="s">
        <v>24</v>
      </c>
      <c r="C224" t="s">
        <v>526</v>
      </c>
      <c r="D224">
        <v>15</v>
      </c>
      <c r="E224" t="s">
        <v>24</v>
      </c>
      <c r="F224" t="s">
        <v>526</v>
      </c>
    </row>
    <row r="225" spans="1:6">
      <c r="A225">
        <v>1200</v>
      </c>
      <c r="B225" t="s">
        <v>23</v>
      </c>
      <c r="C225" t="s">
        <v>527</v>
      </c>
      <c r="D225" t="s">
        <v>137</v>
      </c>
    </row>
    <row r="226" spans="1:6">
      <c r="A226">
        <v>1220</v>
      </c>
      <c r="B226" t="s">
        <v>23</v>
      </c>
      <c r="C226" t="s">
        <v>528</v>
      </c>
      <c r="D226" t="s">
        <v>137</v>
      </c>
    </row>
    <row r="227" spans="1:6">
      <c r="A227">
        <v>1240</v>
      </c>
      <c r="B227" t="s">
        <v>23</v>
      </c>
      <c r="C227" t="s">
        <v>529</v>
      </c>
      <c r="D227" t="s">
        <v>137</v>
      </c>
    </row>
    <row r="228" spans="1:6">
      <c r="A228">
        <v>1402</v>
      </c>
      <c r="B228" t="s">
        <v>46</v>
      </c>
      <c r="C228" t="s">
        <v>489</v>
      </c>
      <c r="D228">
        <v>103</v>
      </c>
      <c r="E228" t="s">
        <v>46</v>
      </c>
      <c r="F228" t="s">
        <v>784</v>
      </c>
    </row>
    <row r="229" spans="1:6">
      <c r="A229">
        <v>1250</v>
      </c>
      <c r="B229" t="s">
        <v>532</v>
      </c>
      <c r="C229" t="s">
        <v>533</v>
      </c>
      <c r="D229">
        <v>184</v>
      </c>
      <c r="E229" t="s">
        <v>532</v>
      </c>
      <c r="F229" t="s">
        <v>533</v>
      </c>
    </row>
    <row r="230" spans="1:6">
      <c r="A230">
        <v>1260</v>
      </c>
      <c r="B230" t="s">
        <v>675</v>
      </c>
      <c r="C230" t="s">
        <v>534</v>
      </c>
      <c r="D230">
        <v>154</v>
      </c>
      <c r="E230" t="s">
        <v>675</v>
      </c>
      <c r="F230" t="s">
        <v>534</v>
      </c>
    </row>
    <row r="231" spans="1:6">
      <c r="A231">
        <v>1270</v>
      </c>
      <c r="B231" t="s">
        <v>675</v>
      </c>
      <c r="C231" t="s">
        <v>535</v>
      </c>
      <c r="D231">
        <v>155</v>
      </c>
      <c r="E231" t="s">
        <v>675</v>
      </c>
      <c r="F231" t="s">
        <v>535</v>
      </c>
    </row>
    <row r="232" spans="1:6">
      <c r="A232">
        <v>1271</v>
      </c>
      <c r="B232" t="s">
        <v>536</v>
      </c>
      <c r="C232" t="s">
        <v>537</v>
      </c>
      <c r="D232">
        <v>130</v>
      </c>
      <c r="E232" t="s">
        <v>536</v>
      </c>
      <c r="F232" t="s">
        <v>537</v>
      </c>
    </row>
    <row r="233" spans="1:6">
      <c r="A233">
        <v>3202</v>
      </c>
      <c r="B233" t="s">
        <v>421</v>
      </c>
      <c r="C233" t="s">
        <v>530</v>
      </c>
      <c r="D233" t="s">
        <v>137</v>
      </c>
    </row>
    <row r="234" spans="1:6">
      <c r="A234">
        <v>3402</v>
      </c>
      <c r="B234" t="s">
        <v>421</v>
      </c>
      <c r="C234" t="s">
        <v>531</v>
      </c>
      <c r="D234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861A2-683E-474B-8793-A7C53089274C}">
  <sheetPr>
    <tabColor rgb="FF7030A0"/>
    <pageSetUpPr fitToPage="1"/>
  </sheetPr>
  <dimension ref="A1:AK260"/>
  <sheetViews>
    <sheetView tabSelected="1" view="pageLayout" zoomScale="55" zoomScaleNormal="55" zoomScalePageLayoutView="55" workbookViewId="0">
      <selection activeCell="X38" sqref="X38"/>
    </sheetView>
  </sheetViews>
  <sheetFormatPr defaultColWidth="9.140625" defaultRowHeight="12.75"/>
  <cols>
    <col min="1" max="1" width="10.85546875" style="29" customWidth="1"/>
    <col min="2" max="2" width="14.7109375" style="29" bestFit="1" customWidth="1"/>
    <col min="3" max="3" width="14.28515625" style="29" bestFit="1" customWidth="1"/>
    <col min="4" max="4" width="15.42578125" style="29" bestFit="1" customWidth="1"/>
    <col min="5" max="5" width="7.140625" style="29" bestFit="1" customWidth="1"/>
    <col min="6" max="6" width="10.85546875" style="29" customWidth="1"/>
    <col min="7" max="7" width="32" style="29" bestFit="1" customWidth="1"/>
    <col min="8" max="8" width="32.5703125" style="29" bestFit="1" customWidth="1"/>
    <col min="9" max="9" width="33.5703125" style="29" bestFit="1" customWidth="1"/>
    <col min="10" max="11" width="8.28515625" style="29" customWidth="1"/>
    <col min="12" max="12" width="8.5703125" style="29" bestFit="1" customWidth="1"/>
    <col min="13" max="13" width="10.85546875" style="29" bestFit="1" customWidth="1"/>
    <col min="14" max="15" width="14" style="153" hidden="1" customWidth="1"/>
    <col min="16" max="16" width="14.7109375" style="29" customWidth="1"/>
    <col min="17" max="17" width="35.42578125" style="29" bestFit="1" customWidth="1"/>
    <col min="18" max="18" width="11" style="29" customWidth="1"/>
    <col min="19" max="19" width="9" style="29" bestFit="1" customWidth="1"/>
    <col min="20" max="22" width="10.7109375" style="29" customWidth="1"/>
    <col min="23" max="23" width="17.7109375" style="29" customWidth="1"/>
    <col min="24" max="25" width="13.5703125" style="29" customWidth="1"/>
    <col min="26" max="26" width="10.140625" style="29" customWidth="1"/>
    <col min="27" max="27" width="10.7109375" style="29" customWidth="1"/>
    <col min="28" max="28" width="10.140625" style="149" customWidth="1"/>
    <col min="29" max="29" width="11.5703125" style="29" customWidth="1"/>
    <col min="30" max="30" width="10.42578125" style="29" customWidth="1"/>
    <col min="31" max="31" width="11.5703125" style="29" customWidth="1"/>
    <col min="32" max="32" width="8.5703125" style="29" customWidth="1"/>
    <col min="33" max="33" width="14.140625" style="29" customWidth="1"/>
    <col min="34" max="34" width="12.28515625" style="29" customWidth="1"/>
    <col min="35" max="35" width="13" style="29" customWidth="1"/>
    <col min="36" max="37" width="8.5703125" style="29" customWidth="1"/>
    <col min="38" max="16384" width="9.140625" style="29"/>
  </cols>
  <sheetData>
    <row r="1" spans="1:37" s="68" customFormat="1" ht="63.6" customHeight="1">
      <c r="A1" s="64" t="s">
        <v>632</v>
      </c>
      <c r="B1" s="65" t="s">
        <v>633</v>
      </c>
      <c r="C1" s="65" t="s">
        <v>634</v>
      </c>
      <c r="D1" s="65" t="s">
        <v>635</v>
      </c>
      <c r="E1" s="65" t="s">
        <v>636</v>
      </c>
      <c r="F1" s="65" t="s">
        <v>637</v>
      </c>
      <c r="G1" s="66" t="s">
        <v>638</v>
      </c>
      <c r="H1" s="66" t="s">
        <v>0</v>
      </c>
      <c r="I1" s="66" t="s">
        <v>1</v>
      </c>
      <c r="J1" s="65" t="s">
        <v>1154</v>
      </c>
      <c r="K1" s="65" t="s">
        <v>1155</v>
      </c>
      <c r="L1" s="65" t="s">
        <v>639</v>
      </c>
      <c r="M1" s="65" t="s">
        <v>640</v>
      </c>
      <c r="N1" s="151" t="s">
        <v>650</v>
      </c>
      <c r="O1" s="151" t="s">
        <v>653</v>
      </c>
      <c r="P1" s="65" t="s">
        <v>641</v>
      </c>
      <c r="Q1" s="65" t="s">
        <v>2</v>
      </c>
      <c r="R1" s="65" t="s">
        <v>642</v>
      </c>
      <c r="S1" s="65" t="s">
        <v>643</v>
      </c>
      <c r="T1" s="65" t="s">
        <v>1098</v>
      </c>
      <c r="U1" s="65" t="s">
        <v>1156</v>
      </c>
      <c r="V1" s="65" t="s">
        <v>1157</v>
      </c>
      <c r="W1" s="65" t="s">
        <v>644</v>
      </c>
      <c r="X1" s="65" t="s">
        <v>1158</v>
      </c>
      <c r="Y1" s="65" t="s">
        <v>1159</v>
      </c>
      <c r="Z1" s="65" t="s">
        <v>1160</v>
      </c>
      <c r="AA1" s="65" t="s">
        <v>1161</v>
      </c>
      <c r="AB1" s="65" t="s">
        <v>645</v>
      </c>
      <c r="AC1" s="65" t="s">
        <v>1171</v>
      </c>
      <c r="AD1" s="65" t="s">
        <v>1162</v>
      </c>
      <c r="AE1" s="65" t="s">
        <v>1163</v>
      </c>
      <c r="AF1" s="65" t="s">
        <v>1164</v>
      </c>
      <c r="AG1" s="65" t="s">
        <v>1165</v>
      </c>
      <c r="AH1" s="65" t="s">
        <v>1166</v>
      </c>
      <c r="AI1" s="65" t="s">
        <v>1167</v>
      </c>
      <c r="AJ1" s="65" t="s">
        <v>1168</v>
      </c>
      <c r="AK1" s="67" t="s">
        <v>1169</v>
      </c>
    </row>
    <row r="2" spans="1:37" ht="18.75" customHeight="1">
      <c r="A2" s="69">
        <f>'Cleanup TMS'!A2</f>
        <v>4000</v>
      </c>
      <c r="B2" s="70">
        <f>'Cleanup TMS'!B2</f>
        <v>177</v>
      </c>
      <c r="C2" s="70" t="str">
        <f>IF('Cleanup TMS'!E2="","",'Cleanup TMS'!E2)</f>
        <v/>
      </c>
      <c r="D2" s="70" t="str">
        <f>'Cleanup TMS'!F2</f>
        <v>SUMTER</v>
      </c>
      <c r="E2" s="70">
        <f>'Cleanup TMS'!G2</f>
        <v>20</v>
      </c>
      <c r="F2" s="71">
        <f>ROUND('Cleanup TMS'!H2,2)</f>
        <v>1.61</v>
      </c>
      <c r="G2" s="72" t="str">
        <f>'Cleanup TMS'!I2</f>
        <v>ST. CHARLES</v>
      </c>
      <c r="H2" s="72" t="str">
        <f>'Cleanup TMS'!J2</f>
        <v>BUENA VISTA BLVD</v>
      </c>
      <c r="I2" s="72" t="str">
        <f>'Cleanup TMS'!K2</f>
        <v>AMBERJACK TERR</v>
      </c>
      <c r="J2" s="70">
        <f>'Cleanup TMS'!L2</f>
        <v>2</v>
      </c>
      <c r="K2" s="70">
        <v>2</v>
      </c>
      <c r="L2" s="70" t="s">
        <v>646</v>
      </c>
      <c r="M2" s="70" t="s">
        <v>648</v>
      </c>
      <c r="N2" s="152" t="s">
        <v>651</v>
      </c>
      <c r="O2" s="152" t="s">
        <v>547</v>
      </c>
      <c r="P2" s="70" t="str">
        <f>'Cleanup TMS'!V2</f>
        <v>COUNTY</v>
      </c>
      <c r="Q2" s="70" t="str">
        <f>'Cleanup TMS'!W2</f>
        <v>UNINCORPORATED SUMTER COUNTY</v>
      </c>
      <c r="R2" s="70" t="s">
        <v>5</v>
      </c>
      <c r="S2" s="73">
        <f>IF('Cleanup TMS'!AO2=0,"-",'Cleanup TMS'!AO2)</f>
        <v>13320</v>
      </c>
      <c r="T2" s="73">
        <f>'Cleanup TMS'!AP2</f>
        <v>4638</v>
      </c>
      <c r="U2" s="71">
        <f>IF(OR('Cleanup TMS'!AQ2=0,'Cleanup TMS'!AQ2=""),"-",'Cleanup TMS'!AQ2)</f>
        <v>0.35</v>
      </c>
      <c r="V2" s="71" t="str">
        <f>IF(OR('Cleanup TMS'!AR2=0,'Cleanup TMS'!AR2=""),"-",'Cleanup TMS'!AR2)</f>
        <v>C</v>
      </c>
      <c r="W2" s="73">
        <f>IF('Cleanup TMS'!BB2=0,"-",'Cleanup TMS'!BB2)</f>
        <v>675</v>
      </c>
      <c r="X2" s="73">
        <f>'Cleanup TMS'!BC2</f>
        <v>264</v>
      </c>
      <c r="Y2" s="73">
        <f>'Cleanup TMS'!BD2</f>
        <v>259</v>
      </c>
      <c r="Z2" s="74">
        <f>IF(OR('Cleanup TMS'!BE2=0,'Cleanup TMS'!BE2=""),"-",'Cleanup TMS'!BE2)</f>
        <v>0.39</v>
      </c>
      <c r="AA2" s="74" t="str">
        <f>IF(OR('Cleanup TMS'!BF2=0,'Cleanup TMS'!BF2=""),"-",'Cleanup TMS'!BF2)</f>
        <v>C</v>
      </c>
      <c r="AB2" s="148">
        <f>IF(OR('Cleanup TMS'!BI2="",'Cleanup TMS'!BI2=0),"-",'Cleanup TMS'!BI2)</f>
        <v>0.01</v>
      </c>
      <c r="AC2" s="73">
        <f>'Cleanup TMS'!BS2</f>
        <v>13320</v>
      </c>
      <c r="AD2" s="73">
        <f>IF(T2="-","-",ROUND(T2*(1+AB2)^5,0))</f>
        <v>4875</v>
      </c>
      <c r="AE2" s="74">
        <f>IF(OR('Cleanup TMS'!BU2=0,'Cleanup TMS'!BU2=""),"-",'Cleanup TMS'!BU2)</f>
        <v>0.37</v>
      </c>
      <c r="AF2" s="74" t="str">
        <f>IF(OR('Cleanup TMS'!BV2=0,'Cleanup TMS'!BV2=""),"-",'Cleanup TMS'!BV2)</f>
        <v>C</v>
      </c>
      <c r="AG2" s="73">
        <f>'Cleanup TMS'!CF2</f>
        <v>675</v>
      </c>
      <c r="AH2" s="73">
        <f>IF(X2="-","-",ROUND(X2*(1+AB2)^5,0))</f>
        <v>277</v>
      </c>
      <c r="AI2" s="73">
        <f>IF(Y2="-","-",ROUND(Y2*(1+AB2)^5,0))</f>
        <v>272</v>
      </c>
      <c r="AJ2" s="71">
        <f>IF(OR('Cleanup TMS'!CI2=0,'Cleanup TMS'!CI2=""),"-",'Cleanup TMS'!CI2)</f>
        <v>0.41</v>
      </c>
      <c r="AK2" s="75" t="str">
        <f>IF(OR('Cleanup TMS'!CJ2=0,'Cleanup TMS'!CJ2=""),"-",'Cleanup TMS'!CJ2)</f>
        <v>C</v>
      </c>
    </row>
    <row r="3" spans="1:37" ht="18.75" customHeight="1">
      <c r="A3" s="69">
        <f>'Cleanup TMS'!A3</f>
        <v>4010</v>
      </c>
      <c r="B3" s="70">
        <f>'Cleanup TMS'!B3</f>
        <v>176</v>
      </c>
      <c r="C3" s="70" t="str">
        <f>IF('Cleanup TMS'!E3="","",'Cleanup TMS'!E3)</f>
        <v/>
      </c>
      <c r="D3" s="70" t="str">
        <f>'Cleanup TMS'!F3</f>
        <v>SUMTER</v>
      </c>
      <c r="E3" s="70">
        <f>'Cleanup TMS'!G3</f>
        <v>20</v>
      </c>
      <c r="F3" s="71">
        <f>ROUND('Cleanup TMS'!H3,2)</f>
        <v>0.66</v>
      </c>
      <c r="G3" s="72" t="str">
        <f>'Cleanup TMS'!I3</f>
        <v>ST. CHARLES</v>
      </c>
      <c r="H3" s="72" t="str">
        <f>'Cleanup TMS'!J3</f>
        <v>AMBERJACK TERR</v>
      </c>
      <c r="I3" s="72" t="str">
        <f>'Cleanup TMS'!K3</f>
        <v>BAILEY TRL</v>
      </c>
      <c r="J3" s="70">
        <f>'Cleanup TMS'!L3</f>
        <v>2</v>
      </c>
      <c r="K3" s="70">
        <v>2</v>
      </c>
      <c r="L3" s="70" t="s">
        <v>646</v>
      </c>
      <c r="M3" s="70" t="s">
        <v>648</v>
      </c>
      <c r="N3" s="152" t="s">
        <v>651</v>
      </c>
      <c r="O3" s="152" t="s">
        <v>547</v>
      </c>
      <c r="P3" s="70" t="str">
        <f>'Cleanup TMS'!V3</f>
        <v>COUNTY</v>
      </c>
      <c r="Q3" s="70" t="str">
        <f>'Cleanup TMS'!W3</f>
        <v>UNINCORPORATED SUMTER COUNTY</v>
      </c>
      <c r="R3" s="70" t="s">
        <v>5</v>
      </c>
      <c r="S3" s="73">
        <f>IF('Cleanup TMS'!AO3=0,"-",'Cleanup TMS'!AO3)</f>
        <v>13320</v>
      </c>
      <c r="T3" s="73">
        <f>'Cleanup TMS'!AP3</f>
        <v>8132</v>
      </c>
      <c r="U3" s="71">
        <f>IF(OR('Cleanup TMS'!AQ3=0,'Cleanup TMS'!AQ3=""),"-",'Cleanup TMS'!AQ3)</f>
        <v>0.61</v>
      </c>
      <c r="V3" s="71" t="str">
        <f>IF(OR('Cleanup TMS'!AR3=0,'Cleanup TMS'!AR3=""),"-",'Cleanup TMS'!AR3)</f>
        <v>D</v>
      </c>
      <c r="W3" s="73">
        <f>IF('Cleanup TMS'!BB3=0,"-",'Cleanup TMS'!BB3)</f>
        <v>675</v>
      </c>
      <c r="X3" s="73">
        <f>'Cleanup TMS'!BC3</f>
        <v>463</v>
      </c>
      <c r="Y3" s="73">
        <f>'Cleanup TMS'!BD3</f>
        <v>403</v>
      </c>
      <c r="Z3" s="74">
        <f>IF(OR('Cleanup TMS'!BE3=0,'Cleanup TMS'!BE3=""),"-",'Cleanup TMS'!BE3)</f>
        <v>0.69</v>
      </c>
      <c r="AA3" s="74" t="str">
        <f>IF(OR('Cleanup TMS'!BF3=0,'Cleanup TMS'!BF3=""),"-",'Cleanup TMS'!BF3)</f>
        <v>D</v>
      </c>
      <c r="AB3" s="148">
        <f>IF(OR('Cleanup TMS'!BI3="",'Cleanup TMS'!BI3=0),"-",'Cleanup TMS'!BI3)</f>
        <v>0.01</v>
      </c>
      <c r="AC3" s="73">
        <f>'Cleanup TMS'!BS3</f>
        <v>13320</v>
      </c>
      <c r="AD3" s="73">
        <f t="shared" ref="AD3:AD68" si="0">IF(T3="-","-",ROUND(T3*(1+AB3)^5,0))</f>
        <v>8547</v>
      </c>
      <c r="AE3" s="74">
        <f>IF(OR('Cleanup TMS'!BU3=0,'Cleanup TMS'!BU3=""),"-",'Cleanup TMS'!BU3)</f>
        <v>0.64</v>
      </c>
      <c r="AF3" s="74" t="str">
        <f>IF(OR('Cleanup TMS'!BV3=0,'Cleanup TMS'!BV3=""),"-",'Cleanup TMS'!BV3)</f>
        <v>D</v>
      </c>
      <c r="AG3" s="73">
        <f>'Cleanup TMS'!CF3</f>
        <v>675</v>
      </c>
      <c r="AH3" s="73">
        <f t="shared" ref="AH3:AH68" si="1">IF(X3="-","-",ROUND(X3*(1+AB3)^5,0))</f>
        <v>487</v>
      </c>
      <c r="AI3" s="73">
        <f t="shared" ref="AI3:AI68" si="2">IF(Y3="-","-",ROUND(Y3*(1+AB3)^5,0))</f>
        <v>424</v>
      </c>
      <c r="AJ3" s="71">
        <f>IF(OR('Cleanup TMS'!CI3=0,'Cleanup TMS'!CI3=""),"-",'Cleanup TMS'!CI3)</f>
        <v>0.72</v>
      </c>
      <c r="AK3" s="75" t="str">
        <f>IF(OR('Cleanup TMS'!CJ3=0,'Cleanup TMS'!CJ3=""),"-",'Cleanup TMS'!CJ3)</f>
        <v>D</v>
      </c>
    </row>
    <row r="4" spans="1:37" ht="18.75" customHeight="1">
      <c r="A4" s="69">
        <f>'Cleanup TMS'!A4</f>
        <v>4020</v>
      </c>
      <c r="B4" s="70">
        <f>'Cleanup TMS'!B4</f>
        <v>178</v>
      </c>
      <c r="C4" s="70" t="str">
        <f>IF('Cleanup TMS'!E4="","",'Cleanup TMS'!E4)</f>
        <v/>
      </c>
      <c r="D4" s="70" t="str">
        <f>'Cleanup TMS'!F4</f>
        <v>SUMTER</v>
      </c>
      <c r="E4" s="70">
        <f>'Cleanup TMS'!G4</f>
        <v>20</v>
      </c>
      <c r="F4" s="71">
        <f>ROUND('Cleanup TMS'!H4,2)</f>
        <v>0.83</v>
      </c>
      <c r="G4" s="72" t="str">
        <f>'Cleanup TMS'!I4</f>
        <v>ST. CHARLES</v>
      </c>
      <c r="H4" s="72" t="str">
        <f>'Cleanup TMS'!J4</f>
        <v>BAILEY TRL</v>
      </c>
      <c r="I4" s="72" t="str">
        <f>'Cleanup TMS'!K4</f>
        <v>BUENA VISTA BLVD</v>
      </c>
      <c r="J4" s="70">
        <f>'Cleanup TMS'!L4</f>
        <v>2</v>
      </c>
      <c r="K4" s="70">
        <v>2</v>
      </c>
      <c r="L4" s="70" t="s">
        <v>646</v>
      </c>
      <c r="M4" s="70" t="s">
        <v>648</v>
      </c>
      <c r="N4" s="152" t="s">
        <v>651</v>
      </c>
      <c r="O4" s="152" t="s">
        <v>547</v>
      </c>
      <c r="P4" s="70" t="str">
        <f>'Cleanup TMS'!V4</f>
        <v>COUNTY</v>
      </c>
      <c r="Q4" s="70" t="str">
        <f>'Cleanup TMS'!W4</f>
        <v>UNINCORPORATED SUMTER COUNTY</v>
      </c>
      <c r="R4" s="70" t="s">
        <v>5</v>
      </c>
      <c r="S4" s="73">
        <f>IF('Cleanup TMS'!AO4=0,"-",'Cleanup TMS'!AO4)</f>
        <v>13320</v>
      </c>
      <c r="T4" s="73">
        <f>'Cleanup TMS'!AP4</f>
        <v>11586</v>
      </c>
      <c r="U4" s="71">
        <f>IF(OR('Cleanup TMS'!AQ4=0,'Cleanup TMS'!AQ4=""),"-",'Cleanup TMS'!AQ4)</f>
        <v>0.87</v>
      </c>
      <c r="V4" s="71" t="str">
        <f>IF(OR('Cleanup TMS'!AR4=0,'Cleanup TMS'!AR4=""),"-",'Cleanup TMS'!AR4)</f>
        <v>D</v>
      </c>
      <c r="W4" s="73">
        <f>IF('Cleanup TMS'!BB4=0,"-",'Cleanup TMS'!BB4)</f>
        <v>675</v>
      </c>
      <c r="X4" s="73">
        <f>'Cleanup TMS'!BC4</f>
        <v>627</v>
      </c>
      <c r="Y4" s="73">
        <f>'Cleanup TMS'!BD4</f>
        <v>519</v>
      </c>
      <c r="Z4" s="74">
        <f>IF(OR('Cleanup TMS'!BE4=0,'Cleanup TMS'!BE4=""),"-",'Cleanup TMS'!BE4)</f>
        <v>0.93</v>
      </c>
      <c r="AA4" s="74" t="str">
        <f>IF(OR('Cleanup TMS'!BF4=0,'Cleanup TMS'!BF4=""),"-",'Cleanup TMS'!BF4)</f>
        <v>D</v>
      </c>
      <c r="AB4" s="148">
        <f>IF(OR('Cleanup TMS'!BI4="",'Cleanup TMS'!BI4=0),"-",'Cleanup TMS'!BI4)</f>
        <v>1.4999999999999999E-2</v>
      </c>
      <c r="AC4" s="73">
        <f>'Cleanup TMS'!BS4</f>
        <v>13320</v>
      </c>
      <c r="AD4" s="73">
        <f t="shared" si="0"/>
        <v>12481</v>
      </c>
      <c r="AE4" s="74">
        <f>IF(OR('Cleanup TMS'!BU4=0,'Cleanup TMS'!BU4=""),"-",'Cleanup TMS'!BU4)</f>
        <v>0.94</v>
      </c>
      <c r="AF4" s="74" t="str">
        <f>IF(OR('Cleanup TMS'!BV4=0,'Cleanup TMS'!BV4=""),"-",'Cleanup TMS'!BV4)</f>
        <v>D</v>
      </c>
      <c r="AG4" s="73">
        <f>'Cleanup TMS'!CF4</f>
        <v>675</v>
      </c>
      <c r="AH4" s="73">
        <f t="shared" si="1"/>
        <v>675</v>
      </c>
      <c r="AI4" s="73">
        <f t="shared" si="2"/>
        <v>559</v>
      </c>
      <c r="AJ4" s="71">
        <f>IF(OR('Cleanup TMS'!CI4=0,'Cleanup TMS'!CI4=""),"-",'Cleanup TMS'!CI4)</f>
        <v>1</v>
      </c>
      <c r="AK4" s="75" t="str">
        <f>IF(OR('Cleanup TMS'!CJ4=0,'Cleanup TMS'!CJ4=""),"-",'Cleanup TMS'!CJ4)</f>
        <v>D</v>
      </c>
    </row>
    <row r="5" spans="1:37" ht="18.75" customHeight="1">
      <c r="A5" s="69">
        <f>'Cleanup TMS'!A5</f>
        <v>4030</v>
      </c>
      <c r="B5" s="70">
        <f>'Cleanup TMS'!B5</f>
        <v>183</v>
      </c>
      <c r="C5" s="70" t="str">
        <f>IF('Cleanup TMS'!E5="","",'Cleanup TMS'!E5)</f>
        <v/>
      </c>
      <c r="D5" s="70" t="str">
        <f>'Cleanup TMS'!F5</f>
        <v>SUMTER</v>
      </c>
      <c r="E5" s="70">
        <f>'Cleanup TMS'!G5</f>
        <v>20</v>
      </c>
      <c r="F5" s="71">
        <f>ROUND('Cleanup TMS'!H5,2)</f>
        <v>0.55000000000000004</v>
      </c>
      <c r="G5" s="72" t="str">
        <f>'Cleanup TMS'!I5</f>
        <v>TAMARIND GROVE RUN</v>
      </c>
      <c r="H5" s="72" t="str">
        <f>'Cleanup TMS'!J5</f>
        <v>DIVINDING CREEK PATH</v>
      </c>
      <c r="I5" s="72" t="str">
        <f>'Cleanup TMS'!K5</f>
        <v>ST. CHARLES PL</v>
      </c>
      <c r="J5" s="70">
        <f>'Cleanup TMS'!L5</f>
        <v>2</v>
      </c>
      <c r="K5" s="70">
        <v>2</v>
      </c>
      <c r="L5" s="70" t="s">
        <v>646</v>
      </c>
      <c r="M5" s="70" t="s">
        <v>648</v>
      </c>
      <c r="N5" s="152" t="s">
        <v>651</v>
      </c>
      <c r="O5" s="152" t="s">
        <v>547</v>
      </c>
      <c r="P5" s="70" t="str">
        <f>'Cleanup TMS'!V5</f>
        <v>COUNTY</v>
      </c>
      <c r="Q5" s="70" t="str">
        <f>'Cleanup TMS'!W5</f>
        <v>UNINCORPORATED SUMTER COUNTY</v>
      </c>
      <c r="R5" s="70" t="s">
        <v>5</v>
      </c>
      <c r="S5" s="73">
        <f>IF('Cleanup TMS'!AO5=0,"-",'Cleanup TMS'!AO5)</f>
        <v>10360</v>
      </c>
      <c r="T5" s="73">
        <f>'Cleanup TMS'!AP5</f>
        <v>3339</v>
      </c>
      <c r="U5" s="71">
        <f>IF(OR('Cleanup TMS'!AQ5=0,'Cleanup TMS'!AQ5=""),"-",'Cleanup TMS'!AQ5)</f>
        <v>0.32</v>
      </c>
      <c r="V5" s="71" t="str">
        <f>IF(OR('Cleanup TMS'!AR5=0,'Cleanup TMS'!AR5=""),"-",'Cleanup TMS'!AR5)</f>
        <v>C</v>
      </c>
      <c r="W5" s="73">
        <f>IF('Cleanup TMS'!BB5=0,"-",'Cleanup TMS'!BB5)</f>
        <v>525</v>
      </c>
      <c r="X5" s="73">
        <f>'Cleanup TMS'!BC5</f>
        <v>143</v>
      </c>
      <c r="Y5" s="73">
        <f>'Cleanup TMS'!BD5</f>
        <v>169</v>
      </c>
      <c r="Z5" s="74">
        <f>IF(OR('Cleanup TMS'!BE5=0,'Cleanup TMS'!BE5=""),"-",'Cleanup TMS'!BE5)</f>
        <v>0.32</v>
      </c>
      <c r="AA5" s="74" t="str">
        <f>IF(OR('Cleanup TMS'!BF5=0,'Cleanup TMS'!BF5=""),"-",'Cleanup TMS'!BF5)</f>
        <v>C</v>
      </c>
      <c r="AB5" s="148">
        <f>IF(OR('Cleanup TMS'!BI5="",'Cleanup TMS'!BI5=0),"-",'Cleanup TMS'!BI5)</f>
        <v>0.01</v>
      </c>
      <c r="AC5" s="73">
        <f>'Cleanup TMS'!BS5</f>
        <v>10360</v>
      </c>
      <c r="AD5" s="73">
        <f t="shared" si="0"/>
        <v>3509</v>
      </c>
      <c r="AE5" s="74">
        <f>IF(OR('Cleanup TMS'!BU5=0,'Cleanup TMS'!BU5=""),"-",'Cleanup TMS'!BU5)</f>
        <v>0.34</v>
      </c>
      <c r="AF5" s="74" t="str">
        <f>IF(OR('Cleanup TMS'!BV5=0,'Cleanup TMS'!BV5=""),"-",'Cleanup TMS'!BV5)</f>
        <v>C</v>
      </c>
      <c r="AG5" s="73">
        <f>'Cleanup TMS'!CF5</f>
        <v>525</v>
      </c>
      <c r="AH5" s="73">
        <f t="shared" si="1"/>
        <v>150</v>
      </c>
      <c r="AI5" s="73">
        <f t="shared" si="2"/>
        <v>178</v>
      </c>
      <c r="AJ5" s="71">
        <f>IF(OR('Cleanup TMS'!CI5=0,'Cleanup TMS'!CI5=""),"-",'Cleanup TMS'!CI5)</f>
        <v>0.34</v>
      </c>
      <c r="AK5" s="75" t="str">
        <f>IF(OR('Cleanup TMS'!CJ5=0,'Cleanup TMS'!CJ5=""),"-",'Cleanup TMS'!CJ5)</f>
        <v>C</v>
      </c>
    </row>
    <row r="6" spans="1:37" ht="18.75" customHeight="1">
      <c r="A6" s="69">
        <f>'Cleanup TMS'!A6</f>
        <v>4040</v>
      </c>
      <c r="B6" s="70">
        <f>'Cleanup TMS'!B6</f>
        <v>11</v>
      </c>
      <c r="C6" s="70" t="str">
        <f>IF('Cleanup TMS'!E6="","",'Cleanup TMS'!E6)</f>
        <v/>
      </c>
      <c r="D6" s="70" t="str">
        <f>'Cleanup TMS'!F6</f>
        <v>SUMTER</v>
      </c>
      <c r="E6" s="70">
        <f>'Cleanup TMS'!G6</f>
        <v>20</v>
      </c>
      <c r="F6" s="71">
        <f>ROUND('Cleanup TMS'!H6,2)</f>
        <v>0.71</v>
      </c>
      <c r="G6" s="72" t="str">
        <f>'Cleanup TMS'!I6</f>
        <v>BUTTONWOOD RUN</v>
      </c>
      <c r="H6" s="72" t="str">
        <f>'Cleanup TMS'!J6</f>
        <v>HARDING PATH</v>
      </c>
      <c r="I6" s="72" t="str">
        <f>'Cleanup TMS'!K6</f>
        <v>ST. CHARLES PL</v>
      </c>
      <c r="J6" s="70">
        <f>'Cleanup TMS'!L6</f>
        <v>2</v>
      </c>
      <c r="K6" s="70">
        <v>2</v>
      </c>
      <c r="L6" s="70" t="s">
        <v>646</v>
      </c>
      <c r="M6" s="70" t="s">
        <v>648</v>
      </c>
      <c r="N6" s="152" t="s">
        <v>651</v>
      </c>
      <c r="O6" s="152" t="s">
        <v>547</v>
      </c>
      <c r="P6" s="70" t="str">
        <f>'Cleanup TMS'!V6</f>
        <v>COUNTY</v>
      </c>
      <c r="Q6" s="70" t="str">
        <f>'Cleanup TMS'!W6</f>
        <v>UNINCORPORATED SUMTER COUNTY</v>
      </c>
      <c r="R6" s="70" t="s">
        <v>5</v>
      </c>
      <c r="S6" s="73">
        <f>IF('Cleanup TMS'!AO6=0,"-",'Cleanup TMS'!AO6)</f>
        <v>10360</v>
      </c>
      <c r="T6" s="73">
        <f>'Cleanup TMS'!AP6</f>
        <v>5707</v>
      </c>
      <c r="U6" s="71">
        <f>IF(OR('Cleanup TMS'!AQ6=0,'Cleanup TMS'!AQ6=""),"-",'Cleanup TMS'!AQ6)</f>
        <v>0.55000000000000004</v>
      </c>
      <c r="V6" s="71" t="str">
        <f>IF(OR('Cleanup TMS'!AR6=0,'Cleanup TMS'!AR6=""),"-",'Cleanup TMS'!AR6)</f>
        <v>D</v>
      </c>
      <c r="W6" s="73">
        <f>IF('Cleanup TMS'!BB6=0,"-",'Cleanup TMS'!BB6)</f>
        <v>525</v>
      </c>
      <c r="X6" s="73">
        <f>'Cleanup TMS'!BC6</f>
        <v>280</v>
      </c>
      <c r="Y6" s="73">
        <f>'Cleanup TMS'!BD6</f>
        <v>340</v>
      </c>
      <c r="Z6" s="74">
        <f>IF(OR('Cleanup TMS'!BE6=0,'Cleanup TMS'!BE6=""),"-",'Cleanup TMS'!BE6)</f>
        <v>0.65</v>
      </c>
      <c r="AA6" s="74" t="str">
        <f>IF(OR('Cleanup TMS'!BF6=0,'Cleanup TMS'!BF6=""),"-",'Cleanup TMS'!BF6)</f>
        <v>D</v>
      </c>
      <c r="AB6" s="148">
        <f>IF(OR('Cleanup TMS'!BI6="",'Cleanup TMS'!BI6=0),"-",'Cleanup TMS'!BI6)</f>
        <v>0.01</v>
      </c>
      <c r="AC6" s="73">
        <f>'Cleanup TMS'!BS6</f>
        <v>10360</v>
      </c>
      <c r="AD6" s="73">
        <f t="shared" si="0"/>
        <v>5998</v>
      </c>
      <c r="AE6" s="74">
        <f>IF(OR('Cleanup TMS'!BU6=0,'Cleanup TMS'!BU6=""),"-",'Cleanup TMS'!BU6)</f>
        <v>0.57999999999999996</v>
      </c>
      <c r="AF6" s="74" t="str">
        <f>IF(OR('Cleanup TMS'!BV6=0,'Cleanup TMS'!BV6=""),"-",'Cleanup TMS'!BV6)</f>
        <v>D</v>
      </c>
      <c r="AG6" s="73">
        <f>'Cleanup TMS'!CF6</f>
        <v>525</v>
      </c>
      <c r="AH6" s="73">
        <f t="shared" si="1"/>
        <v>294</v>
      </c>
      <c r="AI6" s="73">
        <f t="shared" si="2"/>
        <v>357</v>
      </c>
      <c r="AJ6" s="71">
        <f>IF(OR('Cleanup TMS'!CI6=0,'Cleanup TMS'!CI6=""),"-",'Cleanup TMS'!CI6)</f>
        <v>0.68</v>
      </c>
      <c r="AK6" s="75" t="str">
        <f>IF(OR('Cleanup TMS'!CJ6=0,'Cleanup TMS'!CJ6=""),"-",'Cleanup TMS'!CJ6)</f>
        <v>D</v>
      </c>
    </row>
    <row r="7" spans="1:37" ht="18.75" customHeight="1">
      <c r="A7" s="69">
        <f>'Cleanup TMS'!A7</f>
        <v>4050</v>
      </c>
      <c r="B7" s="70">
        <f>'Cleanup TMS'!B7</f>
        <v>148</v>
      </c>
      <c r="C7" s="70" t="str">
        <f>IF('Cleanup TMS'!E7="","",'Cleanup TMS'!E7)</f>
        <v/>
      </c>
      <c r="D7" s="70" t="str">
        <f>'Cleanup TMS'!F7</f>
        <v>SUMTER</v>
      </c>
      <c r="E7" s="70">
        <f>'Cleanup TMS'!G7</f>
        <v>20</v>
      </c>
      <c r="F7" s="71">
        <f>ROUND('Cleanup TMS'!H7,2)</f>
        <v>0.56999999999999995</v>
      </c>
      <c r="G7" s="72" t="str">
        <f>'Cleanup TMS'!I7</f>
        <v>PENNECAMP DR</v>
      </c>
      <c r="H7" s="72" t="str">
        <f>'Cleanup TMS'!J7</f>
        <v>MEADOWLARK AVE</v>
      </c>
      <c r="I7" s="72" t="str">
        <f>'Cleanup TMS'!K7</f>
        <v>ST. CHARLES PL</v>
      </c>
      <c r="J7" s="70">
        <f>'Cleanup TMS'!L7</f>
        <v>2</v>
      </c>
      <c r="K7" s="70">
        <v>2</v>
      </c>
      <c r="L7" s="70" t="s">
        <v>646</v>
      </c>
      <c r="M7" s="70" t="s">
        <v>648</v>
      </c>
      <c r="N7" s="152" t="s">
        <v>651</v>
      </c>
      <c r="O7" s="152" t="s">
        <v>547</v>
      </c>
      <c r="P7" s="70" t="str">
        <f>'Cleanup TMS'!V7</f>
        <v>COUNTY</v>
      </c>
      <c r="Q7" s="70" t="str">
        <f>'Cleanup TMS'!W7</f>
        <v>UNINCORPORATED SUMTER COUNTY</v>
      </c>
      <c r="R7" s="70" t="s">
        <v>5</v>
      </c>
      <c r="S7" s="73">
        <f>IF('Cleanup TMS'!AO7=0,"-",'Cleanup TMS'!AO7)</f>
        <v>10360</v>
      </c>
      <c r="T7" s="73">
        <f>'Cleanup TMS'!AP7</f>
        <v>4706</v>
      </c>
      <c r="U7" s="71">
        <f>IF(OR('Cleanup TMS'!AQ7=0,'Cleanup TMS'!AQ7=""),"-",'Cleanup TMS'!AQ7)</f>
        <v>0.45</v>
      </c>
      <c r="V7" s="71" t="str">
        <f>IF(OR('Cleanup TMS'!AR7=0,'Cleanup TMS'!AR7=""),"-",'Cleanup TMS'!AR7)</f>
        <v>C</v>
      </c>
      <c r="W7" s="73">
        <f>IF('Cleanup TMS'!BB7=0,"-",'Cleanup TMS'!BB7)</f>
        <v>525</v>
      </c>
      <c r="X7" s="73">
        <f>'Cleanup TMS'!BC7</f>
        <v>240</v>
      </c>
      <c r="Y7" s="73">
        <f>'Cleanup TMS'!BD7</f>
        <v>252</v>
      </c>
      <c r="Z7" s="74">
        <f>IF(OR('Cleanup TMS'!BE7=0,'Cleanup TMS'!BE7=""),"-",'Cleanup TMS'!BE7)</f>
        <v>0.48</v>
      </c>
      <c r="AA7" s="74" t="str">
        <f>IF(OR('Cleanup TMS'!BF7=0,'Cleanup TMS'!BF7=""),"-",'Cleanup TMS'!BF7)</f>
        <v>C</v>
      </c>
      <c r="AB7" s="148">
        <f>IF(OR('Cleanup TMS'!BI7="",'Cleanup TMS'!BI7=0),"-",'Cleanup TMS'!BI7)</f>
        <v>0.01</v>
      </c>
      <c r="AC7" s="73">
        <f>'Cleanup TMS'!BS7</f>
        <v>10360</v>
      </c>
      <c r="AD7" s="73">
        <f t="shared" si="0"/>
        <v>4946</v>
      </c>
      <c r="AE7" s="74">
        <f>IF(OR('Cleanup TMS'!BU7=0,'Cleanup TMS'!BU7=""),"-",'Cleanup TMS'!BU7)</f>
        <v>0.48</v>
      </c>
      <c r="AF7" s="74" t="str">
        <f>IF(OR('Cleanup TMS'!BV7=0,'Cleanup TMS'!BV7=""),"-",'Cleanup TMS'!BV7)</f>
        <v>C</v>
      </c>
      <c r="AG7" s="73">
        <f>'Cleanup TMS'!CF7</f>
        <v>525</v>
      </c>
      <c r="AH7" s="73">
        <f t="shared" si="1"/>
        <v>252</v>
      </c>
      <c r="AI7" s="73">
        <f t="shared" si="2"/>
        <v>265</v>
      </c>
      <c r="AJ7" s="71">
        <f>IF(OR('Cleanup TMS'!CI7=0,'Cleanup TMS'!CI7=""),"-",'Cleanup TMS'!CI7)</f>
        <v>0.5</v>
      </c>
      <c r="AK7" s="75" t="str">
        <f>IF(OR('Cleanup TMS'!CJ7=0,'Cleanup TMS'!CJ7=""),"-",'Cleanup TMS'!CJ7)</f>
        <v>D</v>
      </c>
    </row>
    <row r="8" spans="1:37" ht="18.75" customHeight="1">
      <c r="A8" s="69">
        <f>'Cleanup TMS'!A8</f>
        <v>4060</v>
      </c>
      <c r="B8" s="70">
        <f>'Cleanup TMS'!B8</f>
        <v>181</v>
      </c>
      <c r="C8" s="70" t="str">
        <f>IF('Cleanup TMS'!E8="","",'Cleanup TMS'!E8)</f>
        <v/>
      </c>
      <c r="D8" s="70" t="str">
        <f>'Cleanup TMS'!F8</f>
        <v>SUMTER</v>
      </c>
      <c r="E8" s="70">
        <f>'Cleanup TMS'!G8</f>
        <v>20</v>
      </c>
      <c r="F8" s="71">
        <f>ROUND('Cleanup TMS'!H8,2)</f>
        <v>0.56999999999999995</v>
      </c>
      <c r="G8" s="72" t="str">
        <f>'Cleanup TMS'!I8</f>
        <v>STILLWATER TRL</v>
      </c>
      <c r="H8" s="72" t="str">
        <f>'Cleanup TMS'!J8</f>
        <v>MORSE BLVD</v>
      </c>
      <c r="I8" s="72" t="str">
        <f>'Cleanup TMS'!K8</f>
        <v>LOCKHART AVE</v>
      </c>
      <c r="J8" s="70">
        <f>'Cleanup TMS'!L8</f>
        <v>2</v>
      </c>
      <c r="K8" s="70">
        <v>2</v>
      </c>
      <c r="L8" s="70" t="s">
        <v>646</v>
      </c>
      <c r="M8" s="70" t="s">
        <v>648</v>
      </c>
      <c r="N8" s="152" t="s">
        <v>651</v>
      </c>
      <c r="O8" s="152" t="s">
        <v>547</v>
      </c>
      <c r="P8" s="70" t="str">
        <f>'Cleanup TMS'!V8</f>
        <v>COUNTY</v>
      </c>
      <c r="Q8" s="70" t="str">
        <f>'Cleanup TMS'!W8</f>
        <v>UNINCORPORATED SUMTER COUNTY</v>
      </c>
      <c r="R8" s="70" t="s">
        <v>5</v>
      </c>
      <c r="S8" s="73">
        <f>IF('Cleanup TMS'!AO8=0,"-",'Cleanup TMS'!AO8)</f>
        <v>10360</v>
      </c>
      <c r="T8" s="73">
        <f>'Cleanup TMS'!AP8</f>
        <v>5533</v>
      </c>
      <c r="U8" s="71">
        <f>IF(OR('Cleanup TMS'!AQ8=0,'Cleanup TMS'!AQ8=""),"-",'Cleanup TMS'!AQ8)</f>
        <v>0.53</v>
      </c>
      <c r="V8" s="71" t="str">
        <f>IF(OR('Cleanup TMS'!AR8=0,'Cleanup TMS'!AR8=""),"-",'Cleanup TMS'!AR8)</f>
        <v>D</v>
      </c>
      <c r="W8" s="73">
        <f>IF('Cleanup TMS'!BB8=0,"-",'Cleanup TMS'!BB8)</f>
        <v>525</v>
      </c>
      <c r="X8" s="73">
        <f>'Cleanup TMS'!BC8</f>
        <v>294</v>
      </c>
      <c r="Y8" s="73">
        <f>'Cleanup TMS'!BD8</f>
        <v>253</v>
      </c>
      <c r="Z8" s="74">
        <f>IF(OR('Cleanup TMS'!BE8=0,'Cleanup TMS'!BE8=""),"-",'Cleanup TMS'!BE8)</f>
        <v>0.56000000000000005</v>
      </c>
      <c r="AA8" s="74" t="str">
        <f>IF(OR('Cleanup TMS'!BF8=0,'Cleanup TMS'!BF8=""),"-",'Cleanup TMS'!BF8)</f>
        <v>D</v>
      </c>
      <c r="AB8" s="148">
        <f>IF(OR('Cleanup TMS'!BI8="",'Cleanup TMS'!BI8=0),"-",'Cleanup TMS'!BI8)</f>
        <v>0.01</v>
      </c>
      <c r="AC8" s="73">
        <f>'Cleanup TMS'!BS8</f>
        <v>10360</v>
      </c>
      <c r="AD8" s="73">
        <f t="shared" si="0"/>
        <v>5815</v>
      </c>
      <c r="AE8" s="74">
        <f>IF(OR('Cleanup TMS'!BU8=0,'Cleanup TMS'!BU8=""),"-",'Cleanup TMS'!BU8)</f>
        <v>0.56000000000000005</v>
      </c>
      <c r="AF8" s="74" t="str">
        <f>IF(OR('Cleanup TMS'!BV8=0,'Cleanup TMS'!BV8=""),"-",'Cleanup TMS'!BV8)</f>
        <v>D</v>
      </c>
      <c r="AG8" s="73">
        <f>'Cleanup TMS'!CF8</f>
        <v>525</v>
      </c>
      <c r="AH8" s="73">
        <f t="shared" si="1"/>
        <v>309</v>
      </c>
      <c r="AI8" s="73">
        <f t="shared" si="2"/>
        <v>266</v>
      </c>
      <c r="AJ8" s="71">
        <f>IF(OR('Cleanup TMS'!CI8=0,'Cleanup TMS'!CI8=""),"-",'Cleanup TMS'!CI8)</f>
        <v>0.59</v>
      </c>
      <c r="AK8" s="75" t="str">
        <f>IF(OR('Cleanup TMS'!CJ8=0,'Cleanup TMS'!CJ8=""),"-",'Cleanup TMS'!CJ8)</f>
        <v>D</v>
      </c>
    </row>
    <row r="9" spans="1:37" ht="18.75" customHeight="1">
      <c r="A9" s="69">
        <f>'Cleanup TMS'!A9</f>
        <v>4070</v>
      </c>
      <c r="B9" s="70" t="str">
        <f>'Cleanup TMS'!B9</f>
        <v>2020-270</v>
      </c>
      <c r="C9" s="70" t="str">
        <f>IF('Cleanup TMS'!E9="","",'Cleanup TMS'!E9)</f>
        <v/>
      </c>
      <c r="D9" s="70" t="str">
        <f>'Cleanup TMS'!F9</f>
        <v>SUMTER</v>
      </c>
      <c r="E9" s="70">
        <f>'Cleanup TMS'!G9</f>
        <v>20</v>
      </c>
      <c r="F9" s="71">
        <f>ROUND('Cleanup TMS'!H9,2)</f>
        <v>1.08</v>
      </c>
      <c r="G9" s="72" t="str">
        <f>'Cleanup TMS'!I9</f>
        <v>STILLWATER TRL</v>
      </c>
      <c r="H9" s="72" t="str">
        <f>'Cleanup TMS'!J9</f>
        <v>LOCKHART AVE</v>
      </c>
      <c r="I9" s="72" t="str">
        <f>'Cleanup TMS'!K9</f>
        <v>ODELL CIRCLE</v>
      </c>
      <c r="J9" s="70">
        <f>'Cleanup TMS'!L9</f>
        <v>2</v>
      </c>
      <c r="K9" s="70">
        <v>2</v>
      </c>
      <c r="L9" s="70" t="s">
        <v>646</v>
      </c>
      <c r="M9" s="70" t="s">
        <v>648</v>
      </c>
      <c r="N9" s="152" t="s">
        <v>651</v>
      </c>
      <c r="O9" s="152" t="s">
        <v>547</v>
      </c>
      <c r="P9" s="70" t="str">
        <f>'Cleanup TMS'!V9</f>
        <v>COUNTY</v>
      </c>
      <c r="Q9" s="70" t="str">
        <f>'Cleanup TMS'!W9</f>
        <v>UNINCORPORATED SUMTER COUNTY</v>
      </c>
      <c r="R9" s="70" t="s">
        <v>5</v>
      </c>
      <c r="S9" s="73">
        <f>IF('Cleanup TMS'!AO9=0,"-",'Cleanup TMS'!AO9)</f>
        <v>10360</v>
      </c>
      <c r="T9" s="73">
        <f>'Cleanup TMS'!AP9</f>
        <v>2965.2285714285681</v>
      </c>
      <c r="U9" s="71">
        <f>IF(OR('Cleanup TMS'!AQ9=0,'Cleanup TMS'!AQ9=""),"-",'Cleanup TMS'!AQ9)</f>
        <v>0.28999999999999998</v>
      </c>
      <c r="V9" s="71" t="str">
        <f>IF(OR('Cleanup TMS'!AR9=0,'Cleanup TMS'!AR9=""),"-",'Cleanup TMS'!AR9)</f>
        <v>C</v>
      </c>
      <c r="W9" s="73">
        <f>IF('Cleanup TMS'!BB9=0,"-",'Cleanup TMS'!BB9)</f>
        <v>525</v>
      </c>
      <c r="X9" s="73">
        <f>'Cleanup TMS'!BC9</f>
        <v>144</v>
      </c>
      <c r="Y9" s="73">
        <f>'Cleanup TMS'!BD9</f>
        <v>184</v>
      </c>
      <c r="Z9" s="74">
        <f>IF(OR('Cleanup TMS'!BE9=0,'Cleanup TMS'!BE9=""),"-",'Cleanup TMS'!BE9)</f>
        <v>0.35</v>
      </c>
      <c r="AA9" s="74" t="str">
        <f>IF(OR('Cleanup TMS'!BF9=0,'Cleanup TMS'!BF9=""),"-",'Cleanup TMS'!BF9)</f>
        <v>C</v>
      </c>
      <c r="AB9" s="148">
        <f>IF(OR('Cleanup TMS'!BI9="",'Cleanup TMS'!BI9=0),"-",'Cleanup TMS'!BI9)</f>
        <v>0.01</v>
      </c>
      <c r="AC9" s="73">
        <f>'Cleanup TMS'!BS9</f>
        <v>10360</v>
      </c>
      <c r="AD9" s="73">
        <f t="shared" si="0"/>
        <v>3116</v>
      </c>
      <c r="AE9" s="74">
        <f>IF(OR('Cleanup TMS'!BU9=0,'Cleanup TMS'!BU9=""),"-",'Cleanup TMS'!BU9)</f>
        <v>0.3</v>
      </c>
      <c r="AF9" s="74" t="str">
        <f>IF(OR('Cleanup TMS'!BV9=0,'Cleanup TMS'!BV9=""),"-",'Cleanup TMS'!BV9)</f>
        <v>C</v>
      </c>
      <c r="AG9" s="73">
        <f>'Cleanup TMS'!CF9</f>
        <v>525</v>
      </c>
      <c r="AH9" s="73">
        <f t="shared" si="1"/>
        <v>151</v>
      </c>
      <c r="AI9" s="73">
        <f t="shared" si="2"/>
        <v>193</v>
      </c>
      <c r="AJ9" s="71">
        <f>IF(OR('Cleanup TMS'!CI9=0,'Cleanup TMS'!CI9=""),"-",'Cleanup TMS'!CI9)</f>
        <v>0.37</v>
      </c>
      <c r="AK9" s="75" t="str">
        <f>IF(OR('Cleanup TMS'!CJ9=0,'Cleanup TMS'!CJ9=""),"-",'Cleanup TMS'!CJ9)</f>
        <v>C</v>
      </c>
    </row>
    <row r="10" spans="1:37" ht="18.75" customHeight="1">
      <c r="A10" s="69">
        <f>'Cleanup TMS'!A10</f>
        <v>4830</v>
      </c>
      <c r="B10" s="70">
        <f>'Cleanup TMS'!B10</f>
        <v>129</v>
      </c>
      <c r="C10" s="70" t="str">
        <f>IF('Cleanup TMS'!E10="","",'Cleanup TMS'!E10)</f>
        <v/>
      </c>
      <c r="D10" s="70" t="str">
        <f>'Cleanup TMS'!F10</f>
        <v>SUMTER</v>
      </c>
      <c r="E10" s="70">
        <f>'Cleanup TMS'!G10</f>
        <v>30</v>
      </c>
      <c r="F10" s="71">
        <f>ROUND('Cleanup TMS'!H10,2)</f>
        <v>1.18</v>
      </c>
      <c r="G10" s="72" t="str">
        <f>'Cleanup TMS'!I10</f>
        <v>HILLSBOROUGH TRL</v>
      </c>
      <c r="H10" s="72" t="str">
        <f>'Cleanup TMS'!J10</f>
        <v>BUENA VISTA BLVD</v>
      </c>
      <c r="I10" s="72" t="str">
        <f>'Cleanup TMS'!K10</f>
        <v>ANNA MARIA AVE</v>
      </c>
      <c r="J10" s="70">
        <f>'Cleanup TMS'!L10</f>
        <v>2</v>
      </c>
      <c r="K10" s="70">
        <v>2</v>
      </c>
      <c r="L10" s="70" t="s">
        <v>646</v>
      </c>
      <c r="M10" s="70" t="s">
        <v>648</v>
      </c>
      <c r="N10" s="152" t="s">
        <v>651</v>
      </c>
      <c r="O10" s="152" t="s">
        <v>547</v>
      </c>
      <c r="P10" s="70" t="str">
        <f>'Cleanup TMS'!V10</f>
        <v>COUNTY</v>
      </c>
      <c r="Q10" s="70" t="str">
        <f>'Cleanup TMS'!W10</f>
        <v>UNINCORPORATED SUMTER COUNTY</v>
      </c>
      <c r="R10" s="70" t="s">
        <v>5</v>
      </c>
      <c r="S10" s="73">
        <f>IF('Cleanup TMS'!AO10=0,"-",'Cleanup TMS'!AO10)</f>
        <v>13320</v>
      </c>
      <c r="T10" s="73">
        <f>'Cleanup TMS'!AP10</f>
        <v>12224</v>
      </c>
      <c r="U10" s="71">
        <f>IF(OR('Cleanup TMS'!AQ10=0,'Cleanup TMS'!AQ10=""),"-",'Cleanup TMS'!AQ10)</f>
        <v>0.92</v>
      </c>
      <c r="V10" s="71" t="str">
        <f>IF(OR('Cleanup TMS'!AR10=0,'Cleanup TMS'!AR10=""),"-",'Cleanup TMS'!AR10)</f>
        <v>D</v>
      </c>
      <c r="W10" s="73">
        <f>IF('Cleanup TMS'!BB10=0,"-",'Cleanup TMS'!BB10)</f>
        <v>675</v>
      </c>
      <c r="X10" s="73">
        <f>'Cleanup TMS'!BC10</f>
        <v>507</v>
      </c>
      <c r="Y10" s="73">
        <f>'Cleanup TMS'!BD10</f>
        <v>580</v>
      </c>
      <c r="Z10" s="74">
        <f>IF(OR('Cleanup TMS'!BE10=0,'Cleanup TMS'!BE10=""),"-",'Cleanup TMS'!BE10)</f>
        <v>0.86</v>
      </c>
      <c r="AA10" s="74" t="str">
        <f>IF(OR('Cleanup TMS'!BF10=0,'Cleanup TMS'!BF10=""),"-",'Cleanup TMS'!BF10)</f>
        <v>D</v>
      </c>
      <c r="AB10" s="148">
        <f>IF(OR('Cleanup TMS'!BI10="",'Cleanup TMS'!BI10=0),"-",'Cleanup TMS'!BI10)</f>
        <v>3.7499999999999999E-2</v>
      </c>
      <c r="AC10" s="73">
        <f>'Cleanup TMS'!BS10</f>
        <v>13320</v>
      </c>
      <c r="AD10" s="73">
        <f t="shared" si="0"/>
        <v>14694</v>
      </c>
      <c r="AE10" s="74">
        <f>IF(OR('Cleanup TMS'!BU10=0,'Cleanup TMS'!BU10=""),"-",'Cleanup TMS'!BU10)</f>
        <v>1.1000000000000001</v>
      </c>
      <c r="AF10" s="74" t="str">
        <f>IF(OR('Cleanup TMS'!BV10=0,'Cleanup TMS'!BV10=""),"-",'Cleanup TMS'!BV10)</f>
        <v>F</v>
      </c>
      <c r="AG10" s="73">
        <f>'Cleanup TMS'!CF10</f>
        <v>675</v>
      </c>
      <c r="AH10" s="73">
        <f t="shared" si="1"/>
        <v>609</v>
      </c>
      <c r="AI10" s="73">
        <f t="shared" si="2"/>
        <v>697</v>
      </c>
      <c r="AJ10" s="71">
        <f>IF(OR('Cleanup TMS'!CI10=0,'Cleanup TMS'!CI10=""),"-",'Cleanup TMS'!CI10)</f>
        <v>1.03</v>
      </c>
      <c r="AK10" s="75" t="str">
        <f>IF(OR('Cleanup TMS'!CJ10=0,'Cleanup TMS'!CJ10=""),"-",'Cleanup TMS'!CJ10)</f>
        <v>E</v>
      </c>
    </row>
    <row r="11" spans="1:37" ht="18.75" customHeight="1">
      <c r="A11" s="69">
        <f>'Cleanup TMS'!A11</f>
        <v>4835</v>
      </c>
      <c r="B11" s="70">
        <f>'Cleanup TMS'!B11</f>
        <v>130</v>
      </c>
      <c r="C11" s="70" t="str">
        <f>IF('Cleanup TMS'!E11="","",'Cleanup TMS'!E11)</f>
        <v/>
      </c>
      <c r="D11" s="70" t="str">
        <f>'Cleanup TMS'!F11</f>
        <v>SUMTER</v>
      </c>
      <c r="E11" s="70">
        <f>'Cleanup TMS'!G11</f>
        <v>55</v>
      </c>
      <c r="F11" s="71">
        <f>ROUND('Cleanup TMS'!H11,2)</f>
        <v>1.34</v>
      </c>
      <c r="G11" s="72" t="str">
        <f>'Cleanup TMS'!I11</f>
        <v>HILLSBOROUGH TRL</v>
      </c>
      <c r="H11" s="72" t="str">
        <f>'Cleanup TMS'!J11</f>
        <v>ANNA MARIA AVE</v>
      </c>
      <c r="I11" s="72" t="str">
        <f>'Cleanup TMS'!K11</f>
        <v>MORSE BLVD</v>
      </c>
      <c r="J11" s="70">
        <f>'Cleanup TMS'!L11</f>
        <v>2</v>
      </c>
      <c r="K11" s="70">
        <v>2</v>
      </c>
      <c r="L11" s="70" t="s">
        <v>646</v>
      </c>
      <c r="M11" s="70" t="s">
        <v>648</v>
      </c>
      <c r="N11" s="152" t="s">
        <v>651</v>
      </c>
      <c r="O11" s="152" t="s">
        <v>547</v>
      </c>
      <c r="P11" s="70" t="str">
        <f>'Cleanup TMS'!V11</f>
        <v>COUNTY</v>
      </c>
      <c r="Q11" s="70" t="str">
        <f>'Cleanup TMS'!W11</f>
        <v>UNINCORPORATED SUMTER COUNTY</v>
      </c>
      <c r="R11" s="70" t="s">
        <v>5</v>
      </c>
      <c r="S11" s="73">
        <f>IF('Cleanup TMS'!AO11=0,"-",'Cleanup TMS'!AO11)</f>
        <v>15930</v>
      </c>
      <c r="T11" s="73">
        <f>'Cleanup TMS'!AP11</f>
        <v>7338</v>
      </c>
      <c r="U11" s="71">
        <f>IF(OR('Cleanup TMS'!AQ11=0,'Cleanup TMS'!AQ11=""),"-",'Cleanup TMS'!AQ11)</f>
        <v>0.46</v>
      </c>
      <c r="V11" s="71" t="str">
        <f>IF(OR('Cleanup TMS'!AR11=0,'Cleanup TMS'!AR11=""),"-",'Cleanup TMS'!AR11)</f>
        <v>C</v>
      </c>
      <c r="W11" s="73">
        <f>IF('Cleanup TMS'!BB11=0,"-",'Cleanup TMS'!BB11)</f>
        <v>792</v>
      </c>
      <c r="X11" s="73">
        <f>'Cleanup TMS'!BC11</f>
        <v>415</v>
      </c>
      <c r="Y11" s="73">
        <f>'Cleanup TMS'!BD11</f>
        <v>341</v>
      </c>
      <c r="Z11" s="74">
        <f>IF(OR('Cleanup TMS'!BE11=0,'Cleanup TMS'!BE11=""),"-",'Cleanup TMS'!BE11)</f>
        <v>0.52</v>
      </c>
      <c r="AA11" s="74" t="str">
        <f>IF(OR('Cleanup TMS'!BF11=0,'Cleanup TMS'!BF11=""),"-",'Cleanup TMS'!BF11)</f>
        <v>C</v>
      </c>
      <c r="AB11" s="148">
        <f>IF(OR('Cleanup TMS'!BI11="",'Cleanup TMS'!BI11=0),"-",'Cleanup TMS'!BI11)</f>
        <v>0.01</v>
      </c>
      <c r="AC11" s="73">
        <f>'Cleanup TMS'!BS11</f>
        <v>15930</v>
      </c>
      <c r="AD11" s="73">
        <f t="shared" si="0"/>
        <v>7712</v>
      </c>
      <c r="AE11" s="74">
        <f>IF(OR('Cleanup TMS'!BU11=0,'Cleanup TMS'!BU11=""),"-",'Cleanup TMS'!BU11)</f>
        <v>0.48</v>
      </c>
      <c r="AF11" s="74" t="str">
        <f>IF(OR('Cleanup TMS'!BV11=0,'Cleanup TMS'!BV11=""),"-",'Cleanup TMS'!BV11)</f>
        <v>C</v>
      </c>
      <c r="AG11" s="73">
        <f>'Cleanup TMS'!CF11</f>
        <v>792</v>
      </c>
      <c r="AH11" s="73">
        <f t="shared" si="1"/>
        <v>436</v>
      </c>
      <c r="AI11" s="73">
        <f t="shared" si="2"/>
        <v>358</v>
      </c>
      <c r="AJ11" s="71">
        <f>IF(OR('Cleanup TMS'!CI11=0,'Cleanup TMS'!CI11=""),"-",'Cleanup TMS'!CI11)</f>
        <v>0.55000000000000004</v>
      </c>
      <c r="AK11" s="75" t="str">
        <f>IF(OR('Cleanup TMS'!CJ11=0,'Cleanup TMS'!CJ11=""),"-",'Cleanup TMS'!CJ11)</f>
        <v>C</v>
      </c>
    </row>
    <row r="12" spans="1:37" ht="18.75" customHeight="1">
      <c r="A12" s="69">
        <f>'Cleanup TMS'!A12</f>
        <v>4860</v>
      </c>
      <c r="B12" s="70">
        <f>'Cleanup TMS'!B12</f>
        <v>1</v>
      </c>
      <c r="C12" s="70" t="str">
        <f>IF('Cleanup TMS'!E12="","",'Cleanup TMS'!E12)</f>
        <v/>
      </c>
      <c r="D12" s="70" t="str">
        <f>'Cleanup TMS'!F12</f>
        <v>SUMTER</v>
      </c>
      <c r="E12" s="70">
        <f>'Cleanup TMS'!G12</f>
        <v>35</v>
      </c>
      <c r="F12" s="71">
        <f>ROUND('Cleanup TMS'!H12,2)</f>
        <v>0.6</v>
      </c>
      <c r="G12" s="72" t="str">
        <f>'Cleanup TMS'!I12</f>
        <v>ANNA MARIA AVE</v>
      </c>
      <c r="H12" s="72" t="str">
        <f>'Cleanup TMS'!J12</f>
        <v>HILLSBOROUGH TRL</v>
      </c>
      <c r="I12" s="72" t="str">
        <f>'Cleanup TMS'!K12</f>
        <v>PINELLAS PL</v>
      </c>
      <c r="J12" s="70">
        <f>'Cleanup TMS'!L12</f>
        <v>2</v>
      </c>
      <c r="K12" s="70">
        <v>2</v>
      </c>
      <c r="L12" s="70" t="s">
        <v>646</v>
      </c>
      <c r="M12" s="70" t="s">
        <v>648</v>
      </c>
      <c r="N12" s="152" t="s">
        <v>651</v>
      </c>
      <c r="O12" s="152" t="s">
        <v>547</v>
      </c>
      <c r="P12" s="70" t="str">
        <f>'Cleanup TMS'!V12</f>
        <v>COUNTY</v>
      </c>
      <c r="Q12" s="70" t="str">
        <f>'Cleanup TMS'!W12</f>
        <v>UNINCORPORATED SUMTER COUNTY</v>
      </c>
      <c r="R12" s="70" t="s">
        <v>5</v>
      </c>
      <c r="S12" s="73">
        <f>IF('Cleanup TMS'!AO12=0,"-",'Cleanup TMS'!AO12)</f>
        <v>10360</v>
      </c>
      <c r="T12" s="73">
        <f>'Cleanup TMS'!AP12</f>
        <v>3976</v>
      </c>
      <c r="U12" s="71">
        <f>IF(OR('Cleanup TMS'!AQ12=0,'Cleanup TMS'!AQ12=""),"-",'Cleanup TMS'!AQ12)</f>
        <v>0.38</v>
      </c>
      <c r="V12" s="71" t="str">
        <f>IF(OR('Cleanup TMS'!AR12=0,'Cleanup TMS'!AR12=""),"-",'Cleanup TMS'!AR12)</f>
        <v>C</v>
      </c>
      <c r="W12" s="73">
        <f>IF('Cleanup TMS'!BB12=0,"-",'Cleanup TMS'!BB12)</f>
        <v>525</v>
      </c>
      <c r="X12" s="73">
        <f>'Cleanup TMS'!BC12</f>
        <v>199</v>
      </c>
      <c r="Y12" s="73">
        <f>'Cleanup TMS'!BD12</f>
        <v>197</v>
      </c>
      <c r="Z12" s="74">
        <f>IF(OR('Cleanup TMS'!BE12=0,'Cleanup TMS'!BE12=""),"-",'Cleanup TMS'!BE12)</f>
        <v>0.38</v>
      </c>
      <c r="AA12" s="74" t="str">
        <f>IF(OR('Cleanup TMS'!BF12=0,'Cleanup TMS'!BF12=""),"-",'Cleanup TMS'!BF12)</f>
        <v>C</v>
      </c>
      <c r="AB12" s="148">
        <f>IF(OR('Cleanup TMS'!BI12="",'Cleanup TMS'!BI12=0),"-",'Cleanup TMS'!BI12)</f>
        <v>0.01</v>
      </c>
      <c r="AC12" s="73">
        <f>'Cleanup TMS'!BS12</f>
        <v>10360</v>
      </c>
      <c r="AD12" s="73">
        <f t="shared" si="0"/>
        <v>4179</v>
      </c>
      <c r="AE12" s="74">
        <f>IF(OR('Cleanup TMS'!BU12=0,'Cleanup TMS'!BU12=""),"-",'Cleanup TMS'!BU12)</f>
        <v>0.4</v>
      </c>
      <c r="AF12" s="74" t="str">
        <f>IF(OR('Cleanup TMS'!BV12=0,'Cleanup TMS'!BV12=""),"-",'Cleanup TMS'!BV12)</f>
        <v>C</v>
      </c>
      <c r="AG12" s="73">
        <f>'Cleanup TMS'!CF12</f>
        <v>525</v>
      </c>
      <c r="AH12" s="73">
        <f t="shared" si="1"/>
        <v>209</v>
      </c>
      <c r="AI12" s="73">
        <f t="shared" si="2"/>
        <v>207</v>
      </c>
      <c r="AJ12" s="71">
        <f>IF(OR('Cleanup TMS'!CI12=0,'Cleanup TMS'!CI12=""),"-",'Cleanup TMS'!CI12)</f>
        <v>0.4</v>
      </c>
      <c r="AK12" s="75" t="str">
        <f>IF(OR('Cleanup TMS'!CJ12=0,'Cleanup TMS'!CJ12=""),"-",'Cleanup TMS'!CJ12)</f>
        <v>C</v>
      </c>
    </row>
    <row r="13" spans="1:37" ht="18.75" customHeight="1">
      <c r="A13" s="69">
        <f>'Cleanup TMS'!A13</f>
        <v>4870</v>
      </c>
      <c r="B13" s="70">
        <f>'Cleanup TMS'!B13</f>
        <v>88</v>
      </c>
      <c r="C13" s="70" t="str">
        <f>IF('Cleanup TMS'!E13="","",'Cleanup TMS'!E13)</f>
        <v/>
      </c>
      <c r="D13" s="70" t="str">
        <f>'Cleanup TMS'!F13</f>
        <v>SUMTER</v>
      </c>
      <c r="E13" s="70">
        <f>'Cleanup TMS'!G13</f>
        <v>35</v>
      </c>
      <c r="F13" s="71">
        <f>ROUND('Cleanup TMS'!H13,2)</f>
        <v>0.85</v>
      </c>
      <c r="G13" s="72" t="str">
        <f>'Cleanup TMS'!I13</f>
        <v>CHARLOTTE CRT</v>
      </c>
      <c r="H13" s="72" t="str">
        <f>'Cleanup TMS'!J13</f>
        <v>HILLSBOROUGH TRL</v>
      </c>
      <c r="I13" s="72" t="str">
        <f>'Cleanup TMS'!K13</f>
        <v>PINELLAS PL</v>
      </c>
      <c r="J13" s="70">
        <f>'Cleanup TMS'!L13</f>
        <v>2</v>
      </c>
      <c r="K13" s="70">
        <v>2</v>
      </c>
      <c r="L13" s="70" t="s">
        <v>646</v>
      </c>
      <c r="M13" s="70" t="s">
        <v>648</v>
      </c>
      <c r="N13" s="152" t="s">
        <v>651</v>
      </c>
      <c r="O13" s="152" t="s">
        <v>547</v>
      </c>
      <c r="P13" s="70" t="str">
        <f>'Cleanup TMS'!V13</f>
        <v>COUNTY</v>
      </c>
      <c r="Q13" s="70" t="str">
        <f>'Cleanup TMS'!W13</f>
        <v>UNINCORPORATED SUMTER COUNTY</v>
      </c>
      <c r="R13" s="70" t="s">
        <v>5</v>
      </c>
      <c r="S13" s="73">
        <f>IF('Cleanup TMS'!AO13=0,"-",'Cleanup TMS'!AO13)</f>
        <v>10360</v>
      </c>
      <c r="T13" s="73">
        <f>'Cleanup TMS'!AP13</f>
        <v>3349</v>
      </c>
      <c r="U13" s="71">
        <f>IF(OR('Cleanup TMS'!AQ13=0,'Cleanup TMS'!AQ13=""),"-",'Cleanup TMS'!AQ13)</f>
        <v>0.32</v>
      </c>
      <c r="V13" s="71" t="str">
        <f>IF(OR('Cleanup TMS'!AR13=0,'Cleanup TMS'!AR13=""),"-",'Cleanup TMS'!AR13)</f>
        <v>C</v>
      </c>
      <c r="W13" s="73">
        <f>IF('Cleanup TMS'!BB13=0,"-",'Cleanup TMS'!BB13)</f>
        <v>525</v>
      </c>
      <c r="X13" s="73">
        <f>'Cleanup TMS'!BC13</f>
        <v>153</v>
      </c>
      <c r="Y13" s="73">
        <f>'Cleanup TMS'!BD13</f>
        <v>181</v>
      </c>
      <c r="Z13" s="74">
        <f>IF(OR('Cleanup TMS'!BE13=0,'Cleanup TMS'!BE13=""),"-",'Cleanup TMS'!BE13)</f>
        <v>0.34</v>
      </c>
      <c r="AA13" s="74" t="str">
        <f>IF(OR('Cleanup TMS'!BF13=0,'Cleanup TMS'!BF13=""),"-",'Cleanup TMS'!BF13)</f>
        <v>C</v>
      </c>
      <c r="AB13" s="148">
        <f>IF(OR('Cleanup TMS'!BI13="",'Cleanup TMS'!BI13=0),"-",'Cleanup TMS'!BI13)</f>
        <v>0.04</v>
      </c>
      <c r="AC13" s="73">
        <f>'Cleanup TMS'!BS13</f>
        <v>10360</v>
      </c>
      <c r="AD13" s="73">
        <f t="shared" si="0"/>
        <v>4075</v>
      </c>
      <c r="AE13" s="74">
        <f>IF(OR('Cleanup TMS'!BU13=0,'Cleanup TMS'!BU13=""),"-",'Cleanup TMS'!BU13)</f>
        <v>0.39</v>
      </c>
      <c r="AF13" s="74" t="str">
        <f>IF(OR('Cleanup TMS'!BV13=0,'Cleanup TMS'!BV13=""),"-",'Cleanup TMS'!BV13)</f>
        <v>C</v>
      </c>
      <c r="AG13" s="73">
        <f>'Cleanup TMS'!CF13</f>
        <v>525</v>
      </c>
      <c r="AH13" s="73">
        <f t="shared" si="1"/>
        <v>186</v>
      </c>
      <c r="AI13" s="73">
        <f t="shared" si="2"/>
        <v>220</v>
      </c>
      <c r="AJ13" s="71">
        <f>IF(OR('Cleanup TMS'!CI13=0,'Cleanup TMS'!CI13=""),"-",'Cleanup TMS'!CI13)</f>
        <v>0.42</v>
      </c>
      <c r="AK13" s="75" t="str">
        <f>IF(OR('Cleanup TMS'!CJ13=0,'Cleanup TMS'!CJ13=""),"-",'Cleanup TMS'!CJ13)</f>
        <v>C</v>
      </c>
    </row>
    <row r="14" spans="1:37" ht="18.75" customHeight="1">
      <c r="A14" s="69">
        <f>'Cleanup TMS'!A14</f>
        <v>4880</v>
      </c>
      <c r="B14" s="70">
        <f>'Cleanup TMS'!B14</f>
        <v>149</v>
      </c>
      <c r="C14" s="70" t="str">
        <f>IF('Cleanup TMS'!E14="","",'Cleanup TMS'!E14)</f>
        <v/>
      </c>
      <c r="D14" s="70" t="str">
        <f>'Cleanup TMS'!F14</f>
        <v>SUMTER</v>
      </c>
      <c r="E14" s="70">
        <f>'Cleanup TMS'!G14</f>
        <v>35</v>
      </c>
      <c r="F14" s="71">
        <f>ROUND('Cleanup TMS'!H14,2)</f>
        <v>0.9</v>
      </c>
      <c r="G14" s="72" t="str">
        <f>'Cleanup TMS'!I14</f>
        <v>PINELLAS PL</v>
      </c>
      <c r="H14" s="72" t="str">
        <f>'Cleanup TMS'!J14</f>
        <v>BUENA VISTA BLVD</v>
      </c>
      <c r="I14" s="72" t="str">
        <f>'Cleanup TMS'!K14</f>
        <v>ANNA MARIA AVE</v>
      </c>
      <c r="J14" s="70">
        <f>'Cleanup TMS'!L14</f>
        <v>2</v>
      </c>
      <c r="K14" s="70">
        <v>2</v>
      </c>
      <c r="L14" s="70" t="s">
        <v>646</v>
      </c>
      <c r="M14" s="70" t="s">
        <v>648</v>
      </c>
      <c r="N14" s="152" t="s">
        <v>651</v>
      </c>
      <c r="O14" s="152" t="s">
        <v>547</v>
      </c>
      <c r="P14" s="70" t="str">
        <f>'Cleanup TMS'!V14</f>
        <v>COUNTY</v>
      </c>
      <c r="Q14" s="70" t="str">
        <f>'Cleanup TMS'!W14</f>
        <v>UNINCORPORATED SUMTER COUNTY</v>
      </c>
      <c r="R14" s="70" t="s">
        <v>5</v>
      </c>
      <c r="S14" s="73">
        <f>IF('Cleanup TMS'!AO14=0,"-",'Cleanup TMS'!AO14)</f>
        <v>13320</v>
      </c>
      <c r="T14" s="73">
        <f>'Cleanup TMS'!AP14</f>
        <v>9148</v>
      </c>
      <c r="U14" s="71">
        <f>IF(OR('Cleanup TMS'!AQ14=0,'Cleanup TMS'!AQ14=""),"-",'Cleanup TMS'!AQ14)</f>
        <v>0.69</v>
      </c>
      <c r="V14" s="71" t="str">
        <f>IF(OR('Cleanup TMS'!AR14=0,'Cleanup TMS'!AR14=""),"-",'Cleanup TMS'!AR14)</f>
        <v>D</v>
      </c>
      <c r="W14" s="73">
        <f>IF('Cleanup TMS'!BB14=0,"-",'Cleanup TMS'!BB14)</f>
        <v>675</v>
      </c>
      <c r="X14" s="73">
        <f>'Cleanup TMS'!BC14</f>
        <v>432</v>
      </c>
      <c r="Y14" s="73">
        <f>'Cleanup TMS'!BD14</f>
        <v>494</v>
      </c>
      <c r="Z14" s="74">
        <f>IF(OR('Cleanup TMS'!BE14=0,'Cleanup TMS'!BE14=""),"-",'Cleanup TMS'!BE14)</f>
        <v>0.73</v>
      </c>
      <c r="AA14" s="74" t="str">
        <f>IF(OR('Cleanup TMS'!BF14=0,'Cleanup TMS'!BF14=""),"-",'Cleanup TMS'!BF14)</f>
        <v>D</v>
      </c>
      <c r="AB14" s="148">
        <f>IF(OR('Cleanup TMS'!BI14="",'Cleanup TMS'!BI14=0),"-",'Cleanup TMS'!BI14)</f>
        <v>0.01</v>
      </c>
      <c r="AC14" s="73">
        <f>'Cleanup TMS'!BS14</f>
        <v>13320</v>
      </c>
      <c r="AD14" s="73">
        <f t="shared" si="0"/>
        <v>9615</v>
      </c>
      <c r="AE14" s="74">
        <f>IF(OR('Cleanup TMS'!BU14=0,'Cleanup TMS'!BU14=""),"-",'Cleanup TMS'!BU14)</f>
        <v>0.72</v>
      </c>
      <c r="AF14" s="74" t="str">
        <f>IF(OR('Cleanup TMS'!BV14=0,'Cleanup TMS'!BV14=""),"-",'Cleanup TMS'!BV14)</f>
        <v>D</v>
      </c>
      <c r="AG14" s="73">
        <f>'Cleanup TMS'!CF14</f>
        <v>675</v>
      </c>
      <c r="AH14" s="73">
        <f t="shared" si="1"/>
        <v>454</v>
      </c>
      <c r="AI14" s="73">
        <f t="shared" si="2"/>
        <v>519</v>
      </c>
      <c r="AJ14" s="71">
        <f>IF(OR('Cleanup TMS'!CI14=0,'Cleanup TMS'!CI14=""),"-",'Cleanup TMS'!CI14)</f>
        <v>0.77</v>
      </c>
      <c r="AK14" s="75" t="str">
        <f>IF(OR('Cleanup TMS'!CJ14=0,'Cleanup TMS'!CJ14=""),"-",'Cleanup TMS'!CJ14)</f>
        <v>D</v>
      </c>
    </row>
    <row r="15" spans="1:37" ht="18.75" customHeight="1">
      <c r="A15" s="69">
        <f>'Cleanup TMS'!A15</f>
        <v>4885</v>
      </c>
      <c r="B15" s="70">
        <f>'Cleanup TMS'!B15</f>
        <v>150</v>
      </c>
      <c r="C15" s="70" t="str">
        <f>IF('Cleanup TMS'!E15="","",'Cleanup TMS'!E15)</f>
        <v/>
      </c>
      <c r="D15" s="70" t="str">
        <f>'Cleanup TMS'!F15</f>
        <v>SUMTER</v>
      </c>
      <c r="E15" s="70">
        <f>'Cleanup TMS'!G15</f>
        <v>35</v>
      </c>
      <c r="F15" s="71">
        <f>ROUND('Cleanup TMS'!H15,2)</f>
        <v>1.52</v>
      </c>
      <c r="G15" s="72" t="str">
        <f>'Cleanup TMS'!I15</f>
        <v>PINELLAS PL</v>
      </c>
      <c r="H15" s="72" t="str">
        <f>'Cleanup TMS'!J15</f>
        <v>ANNA MARIA AVE</v>
      </c>
      <c r="I15" s="72" t="str">
        <f>'Cleanup TMS'!K15</f>
        <v>MORSE BLVD</v>
      </c>
      <c r="J15" s="70">
        <f>'Cleanup TMS'!L15</f>
        <v>2</v>
      </c>
      <c r="K15" s="70">
        <v>3</v>
      </c>
      <c r="L15" s="70" t="s">
        <v>646</v>
      </c>
      <c r="M15" s="70" t="s">
        <v>648</v>
      </c>
      <c r="N15" s="152" t="s">
        <v>651</v>
      </c>
      <c r="O15" s="152" t="s">
        <v>547</v>
      </c>
      <c r="P15" s="70" t="str">
        <f>'Cleanup TMS'!V15</f>
        <v>COUNTY</v>
      </c>
      <c r="Q15" s="70" t="str">
        <f>'Cleanup TMS'!W15</f>
        <v>UNINCORPORATED SUMTER COUNTY</v>
      </c>
      <c r="R15" s="70" t="s">
        <v>5</v>
      </c>
      <c r="S15" s="73">
        <f>IF('Cleanup TMS'!AO15=0,"-",'Cleanup TMS'!AO15)</f>
        <v>13320</v>
      </c>
      <c r="T15" s="73">
        <f>'Cleanup TMS'!AP15</f>
        <v>12534</v>
      </c>
      <c r="U15" s="71">
        <f>IF(OR('Cleanup TMS'!AQ15=0,'Cleanup TMS'!AQ15=""),"-",'Cleanup TMS'!AQ15)</f>
        <v>0.94</v>
      </c>
      <c r="V15" s="71" t="str">
        <f>IF(OR('Cleanup TMS'!AR15=0,'Cleanup TMS'!AR15=""),"-",'Cleanup TMS'!AR15)</f>
        <v>D</v>
      </c>
      <c r="W15" s="73">
        <f>IF('Cleanup TMS'!BB15=0,"-",'Cleanup TMS'!BB15)</f>
        <v>675</v>
      </c>
      <c r="X15" s="73">
        <f>'Cleanup TMS'!BC15</f>
        <v>609</v>
      </c>
      <c r="Y15" s="73">
        <f>'Cleanup TMS'!BD15</f>
        <v>594</v>
      </c>
      <c r="Z15" s="74">
        <f>IF(OR('Cleanup TMS'!BE15=0,'Cleanup TMS'!BE15=""),"-",'Cleanup TMS'!BE15)</f>
        <v>0.9</v>
      </c>
      <c r="AA15" s="74" t="str">
        <f>IF(OR('Cleanup TMS'!BF15=0,'Cleanup TMS'!BF15=""),"-",'Cleanup TMS'!BF15)</f>
        <v>D</v>
      </c>
      <c r="AB15" s="148">
        <f>IF(OR('Cleanup TMS'!BI15="",'Cleanup TMS'!BI15=0),"-",'Cleanup TMS'!BI15)</f>
        <v>0.05</v>
      </c>
      <c r="AC15" s="73">
        <f>'Cleanup TMS'!BS15</f>
        <v>13320</v>
      </c>
      <c r="AD15" s="73">
        <f>IF(T15="-","-",ROUND(T15*(1+AB15)^5,0))</f>
        <v>15997</v>
      </c>
      <c r="AE15" s="74">
        <f>IF(OR('Cleanup TMS'!BU15=0,'Cleanup TMS'!BU15=""),"-",'Cleanup TMS'!BU15)</f>
        <v>1.2</v>
      </c>
      <c r="AF15" s="74" t="str">
        <f>IF(OR('Cleanup TMS'!BV15=0,'Cleanup TMS'!BV15=""),"-",'Cleanup TMS'!BV15)</f>
        <v>F</v>
      </c>
      <c r="AG15" s="73">
        <f>'Cleanup TMS'!CF15</f>
        <v>675</v>
      </c>
      <c r="AH15" s="73">
        <f>IF(X15="-","-",ROUND(X15*(1+AB15)^5,0))</f>
        <v>777</v>
      </c>
      <c r="AI15" s="73">
        <f t="shared" ref="AI15" si="3">IF(Y15="-","-",ROUND(Y15*(1+AB15)^5,0))</f>
        <v>758</v>
      </c>
      <c r="AJ15" s="71">
        <f>IF(OR('Cleanup TMS'!CI15=0,'Cleanup TMS'!CI15=""),"-",'Cleanup TMS'!CI15)</f>
        <v>1.1499999999999999</v>
      </c>
      <c r="AK15" s="75" t="str">
        <f>IF(OR('Cleanup TMS'!CJ15=0,'Cleanup TMS'!CJ15=""),"-",'Cleanup TMS'!CJ15)</f>
        <v>F</v>
      </c>
    </row>
    <row r="16" spans="1:37" ht="18.75" customHeight="1">
      <c r="A16" s="69">
        <f>'Cleanup TMS'!A16</f>
        <v>4890</v>
      </c>
      <c r="B16" s="70">
        <f>'Cleanup TMS'!B16</f>
        <v>182</v>
      </c>
      <c r="C16" s="70" t="str">
        <f>IF('Cleanup TMS'!E16="","",'Cleanup TMS'!E16)</f>
        <v/>
      </c>
      <c r="D16" s="70" t="str">
        <f>'Cleanup TMS'!F16</f>
        <v>SUMTER</v>
      </c>
      <c r="E16" s="70">
        <f>'Cleanup TMS'!G16</f>
        <v>35</v>
      </c>
      <c r="F16" s="71">
        <f>ROUND('Cleanup TMS'!H16,2)</f>
        <v>1.84</v>
      </c>
      <c r="G16" s="72" t="str">
        <f>'Cleanup TMS'!I16</f>
        <v>TALLEY RIDGE DR</v>
      </c>
      <c r="H16" s="72" t="str">
        <f>'Cleanup TMS'!J16</f>
        <v>BUENA VISTA BLVD</v>
      </c>
      <c r="I16" s="72" t="str">
        <f>'Cleanup TMS'!K16</f>
        <v>BUENA VISTA BLVD</v>
      </c>
      <c r="J16" s="70">
        <f>'Cleanup TMS'!L16</f>
        <v>2</v>
      </c>
      <c r="K16" s="70">
        <v>2</v>
      </c>
      <c r="L16" s="70" t="s">
        <v>646</v>
      </c>
      <c r="M16" s="70" t="s">
        <v>648</v>
      </c>
      <c r="N16" s="152" t="s">
        <v>651</v>
      </c>
      <c r="O16" s="152" t="s">
        <v>547</v>
      </c>
      <c r="P16" s="70" t="str">
        <f>'Cleanup TMS'!V16</f>
        <v>COUNTY</v>
      </c>
      <c r="Q16" s="70" t="str">
        <f>'Cleanup TMS'!W16</f>
        <v>UNINCORPORATED SUMTER COUNTY</v>
      </c>
      <c r="R16" s="70" t="s">
        <v>5</v>
      </c>
      <c r="S16" s="73">
        <f>IF('Cleanup TMS'!AO16=0,"-",'Cleanup TMS'!AO16)</f>
        <v>10360</v>
      </c>
      <c r="T16" s="73">
        <f>'Cleanup TMS'!AP16</f>
        <v>3958</v>
      </c>
      <c r="U16" s="71">
        <f>IF(OR('Cleanup TMS'!AQ16=0,'Cleanup TMS'!AQ16=""),"-",'Cleanup TMS'!AQ16)</f>
        <v>0.38</v>
      </c>
      <c r="V16" s="71" t="str">
        <f>IF(OR('Cleanup TMS'!AR16=0,'Cleanup TMS'!AR16=""),"-",'Cleanup TMS'!AR16)</f>
        <v>C</v>
      </c>
      <c r="W16" s="73">
        <f>IF('Cleanup TMS'!BB16=0,"-",'Cleanup TMS'!BB16)</f>
        <v>525</v>
      </c>
      <c r="X16" s="73">
        <f>'Cleanup TMS'!BC16</f>
        <v>242</v>
      </c>
      <c r="Y16" s="73">
        <f>'Cleanup TMS'!BD16</f>
        <v>175</v>
      </c>
      <c r="Z16" s="74">
        <f>IF(OR('Cleanup TMS'!BE16=0,'Cleanup TMS'!BE16=""),"-",'Cleanup TMS'!BE16)</f>
        <v>0.46</v>
      </c>
      <c r="AA16" s="74" t="str">
        <f>IF(OR('Cleanup TMS'!BF16=0,'Cleanup TMS'!BF16=""),"-",'Cleanup TMS'!BF16)</f>
        <v>C</v>
      </c>
      <c r="AB16" s="148">
        <f>IF(OR('Cleanup TMS'!BI16="",'Cleanup TMS'!BI16=0),"-",'Cleanup TMS'!BI16)</f>
        <v>0.01</v>
      </c>
      <c r="AC16" s="73">
        <f>'Cleanup TMS'!BS16</f>
        <v>10360</v>
      </c>
      <c r="AD16" s="73">
        <f t="shared" si="0"/>
        <v>4160</v>
      </c>
      <c r="AE16" s="74">
        <f>IF(OR('Cleanup TMS'!BU16=0,'Cleanup TMS'!BU16=""),"-",'Cleanup TMS'!BU16)</f>
        <v>0.4</v>
      </c>
      <c r="AF16" s="74" t="str">
        <f>IF(OR('Cleanup TMS'!BV16=0,'Cleanup TMS'!BV16=""),"-",'Cleanup TMS'!BV16)</f>
        <v>C</v>
      </c>
      <c r="AG16" s="73">
        <f>'Cleanup TMS'!CF16</f>
        <v>525</v>
      </c>
      <c r="AH16" s="73">
        <f t="shared" si="1"/>
        <v>254</v>
      </c>
      <c r="AI16" s="73">
        <f t="shared" si="2"/>
        <v>184</v>
      </c>
      <c r="AJ16" s="71">
        <f>IF(OR('Cleanup TMS'!CI16=0,'Cleanup TMS'!CI16=""),"-",'Cleanup TMS'!CI16)</f>
        <v>0.48</v>
      </c>
      <c r="AK16" s="75" t="str">
        <f>IF(OR('Cleanup TMS'!CJ16=0,'Cleanup TMS'!CJ16=""),"-",'Cleanup TMS'!CJ16)</f>
        <v>C</v>
      </c>
    </row>
    <row r="17" spans="1:37" ht="18.75" customHeight="1">
      <c r="A17" s="69">
        <f>'Cleanup TMS'!A17</f>
        <v>4910</v>
      </c>
      <c r="B17" s="70" t="str">
        <f>'Cleanup TMS'!B17</f>
        <v>2020-491</v>
      </c>
      <c r="C17" s="70" t="str">
        <f>IF('Cleanup TMS'!E17="","",'Cleanup TMS'!E17)</f>
        <v/>
      </c>
      <c r="D17" s="70" t="str">
        <f>'Cleanup TMS'!F17</f>
        <v>NO COUNT</v>
      </c>
      <c r="E17" s="70">
        <f>'Cleanup TMS'!G17</f>
        <v>35</v>
      </c>
      <c r="F17" s="71">
        <f>ROUND('Cleanup TMS'!H17,2)</f>
        <v>0.82</v>
      </c>
      <c r="G17" s="72" t="str">
        <f>'Cleanup TMS'!I17</f>
        <v>OAK FOREST DR</v>
      </c>
      <c r="H17" s="72" t="str">
        <f>'Cleanup TMS'!J17</f>
        <v>SOUTHERN TRACE</v>
      </c>
      <c r="I17" s="72" t="str">
        <f>'Cleanup TMS'!K17</f>
        <v>TALLEY RIDGE RD</v>
      </c>
      <c r="J17" s="70">
        <f>'Cleanup TMS'!L17</f>
        <v>2</v>
      </c>
      <c r="K17" s="70">
        <v>2</v>
      </c>
      <c r="L17" s="70" t="s">
        <v>646</v>
      </c>
      <c r="M17" s="70" t="s">
        <v>648</v>
      </c>
      <c r="N17" s="152" t="s">
        <v>651</v>
      </c>
      <c r="O17" s="152" t="s">
        <v>547</v>
      </c>
      <c r="P17" s="70" t="str">
        <f>'Cleanup TMS'!V17</f>
        <v>COUNTY</v>
      </c>
      <c r="Q17" s="70" t="str">
        <f>'Cleanup TMS'!W17</f>
        <v>UNINCORPORATED SUMTER COUNTY</v>
      </c>
      <c r="R17" s="70" t="s">
        <v>5</v>
      </c>
      <c r="S17" s="73">
        <f>IF('Cleanup TMS'!AO17=0,"-",'Cleanup TMS'!AO17)</f>
        <v>10360</v>
      </c>
      <c r="T17" s="73" t="str">
        <f>'Cleanup TMS'!AP17</f>
        <v>-</v>
      </c>
      <c r="U17" s="71" t="str">
        <f>IF(OR('Cleanup TMS'!AQ17=0,'Cleanup TMS'!AQ17=""),"-",'Cleanup TMS'!AQ17)</f>
        <v>-</v>
      </c>
      <c r="V17" s="71" t="str">
        <f>IF(OR('Cleanup TMS'!AR17=0,'Cleanup TMS'!AR17=""),"-",'Cleanup TMS'!AR17)</f>
        <v>-</v>
      </c>
      <c r="W17" s="73">
        <f>IF('Cleanup TMS'!BB17=0,"-",'Cleanup TMS'!BB17)</f>
        <v>525</v>
      </c>
      <c r="X17" s="73" t="str">
        <f>'Cleanup TMS'!BC17</f>
        <v>-</v>
      </c>
      <c r="Y17" s="73" t="str">
        <f>'Cleanup TMS'!BD17</f>
        <v>-</v>
      </c>
      <c r="Z17" s="74" t="str">
        <f>IF(OR('Cleanup TMS'!BE17=0,'Cleanup TMS'!BE17=""),"-",'Cleanup TMS'!BE17)</f>
        <v>-</v>
      </c>
      <c r="AA17" s="74" t="str">
        <f>IF(OR('Cleanup TMS'!BF17=0,'Cleanup TMS'!BF17=""),"-",'Cleanup TMS'!BF17)</f>
        <v>-</v>
      </c>
      <c r="AB17" s="148" t="str">
        <f>IF(OR('Cleanup TMS'!BI17="",'Cleanup TMS'!BI17=0),"-",'Cleanup TMS'!BI17)</f>
        <v>-</v>
      </c>
      <c r="AC17" s="73">
        <f>'Cleanup TMS'!BS17</f>
        <v>10360</v>
      </c>
      <c r="AD17" s="73" t="str">
        <f t="shared" si="0"/>
        <v>-</v>
      </c>
      <c r="AE17" s="74" t="str">
        <f>IF(OR('Cleanup TMS'!BU17=0,'Cleanup TMS'!BU17=""),"-",'Cleanup TMS'!BU17)</f>
        <v>-</v>
      </c>
      <c r="AF17" s="74" t="str">
        <f>IF(OR('Cleanup TMS'!BV17=0,'Cleanup TMS'!BV17=""),"-",'Cleanup TMS'!BV17)</f>
        <v>-</v>
      </c>
      <c r="AG17" s="73">
        <f>'Cleanup TMS'!CF17</f>
        <v>525</v>
      </c>
      <c r="AH17" s="73" t="str">
        <f t="shared" si="1"/>
        <v>-</v>
      </c>
      <c r="AI17" s="73" t="str">
        <f t="shared" si="2"/>
        <v>-</v>
      </c>
      <c r="AJ17" s="71" t="str">
        <f>IF(OR('Cleanup TMS'!CI17=0,'Cleanup TMS'!CI17=""),"-",'Cleanup TMS'!CI17)</f>
        <v>-</v>
      </c>
      <c r="AK17" s="75" t="str">
        <f>IF(OR('Cleanup TMS'!CJ17=0,'Cleanup TMS'!CJ17=""),"-",'Cleanup TMS'!CJ17)</f>
        <v>-</v>
      </c>
    </row>
    <row r="18" spans="1:37" ht="18.75" customHeight="1">
      <c r="A18" s="69">
        <f>'Cleanup TMS'!A18</f>
        <v>4915</v>
      </c>
      <c r="B18" s="70">
        <f>'Cleanup TMS'!B18</f>
        <v>172</v>
      </c>
      <c r="C18" s="70" t="str">
        <f>IF('Cleanup TMS'!E18="","",'Cleanup TMS'!E18)</f>
        <v/>
      </c>
      <c r="D18" s="70" t="str">
        <f>'Cleanup TMS'!F18</f>
        <v>SUMTER</v>
      </c>
      <c r="E18" s="70">
        <f>'Cleanup TMS'!G18</f>
        <v>35</v>
      </c>
      <c r="F18" s="71">
        <f>ROUND('Cleanup TMS'!H18,2)</f>
        <v>0.83</v>
      </c>
      <c r="G18" s="72" t="str">
        <f>'Cleanup TMS'!I18</f>
        <v>SOUTHERN TRACE</v>
      </c>
      <c r="H18" s="72" t="str">
        <f>'Cleanup TMS'!J18</f>
        <v>CR 466</v>
      </c>
      <c r="I18" s="72" t="str">
        <f>'Cleanup TMS'!K18</f>
        <v>BUENA VISTA BLVD</v>
      </c>
      <c r="J18" s="70">
        <f>'Cleanup TMS'!L18</f>
        <v>2</v>
      </c>
      <c r="K18" s="70">
        <v>3</v>
      </c>
      <c r="L18" s="70" t="s">
        <v>646</v>
      </c>
      <c r="M18" s="70" t="s">
        <v>648</v>
      </c>
      <c r="N18" s="152" t="s">
        <v>651</v>
      </c>
      <c r="O18" s="152" t="s">
        <v>547</v>
      </c>
      <c r="P18" s="70" t="str">
        <f>'Cleanup TMS'!V18</f>
        <v>COUNTY</v>
      </c>
      <c r="Q18" s="70" t="str">
        <f>'Cleanup TMS'!W18</f>
        <v>UNINCORPORATED SUMTER COUNTY</v>
      </c>
      <c r="R18" s="70" t="s">
        <v>5</v>
      </c>
      <c r="S18" s="73">
        <f>IF('Cleanup TMS'!AO18=0,"-",'Cleanup TMS'!AO18)</f>
        <v>10360</v>
      </c>
      <c r="T18" s="73">
        <f>'Cleanup TMS'!AP18</f>
        <v>5995</v>
      </c>
      <c r="U18" s="71">
        <f>IF(OR('Cleanup TMS'!AQ18=0,'Cleanup TMS'!AQ18=""),"-",'Cleanup TMS'!AQ18)</f>
        <v>0.57999999999999996</v>
      </c>
      <c r="V18" s="71" t="str">
        <f>IF(OR('Cleanup TMS'!AR18=0,'Cleanup TMS'!AR18=""),"-",'Cleanup TMS'!AR18)</f>
        <v>D</v>
      </c>
      <c r="W18" s="73">
        <f>IF('Cleanup TMS'!BB18=0,"-",'Cleanup TMS'!BB18)</f>
        <v>525</v>
      </c>
      <c r="X18" s="73">
        <f>'Cleanup TMS'!BC18</f>
        <v>318</v>
      </c>
      <c r="Y18" s="73">
        <f>'Cleanup TMS'!BD18</f>
        <v>303</v>
      </c>
      <c r="Z18" s="74">
        <f>IF(OR('Cleanup TMS'!BE18=0,'Cleanup TMS'!BE18=""),"-",'Cleanup TMS'!BE18)</f>
        <v>0.61</v>
      </c>
      <c r="AA18" s="74" t="str">
        <f>IF(OR('Cleanup TMS'!BF18=0,'Cleanup TMS'!BF18=""),"-",'Cleanup TMS'!BF18)</f>
        <v>D</v>
      </c>
      <c r="AB18" s="148">
        <f>IF(OR('Cleanup TMS'!BI18="",'Cleanup TMS'!BI18=0),"-",'Cleanup TMS'!BI18)</f>
        <v>0.05</v>
      </c>
      <c r="AC18" s="73">
        <f>'Cleanup TMS'!BS18</f>
        <v>10360</v>
      </c>
      <c r="AD18" s="73">
        <f t="shared" ref="AD18" si="4">IF(T18="-","-",ROUND(T18*(1+AB18)^5,0))</f>
        <v>7651</v>
      </c>
      <c r="AE18" s="74">
        <f>IF(OR('Cleanup TMS'!BU18=0,'Cleanup TMS'!BU18=""),"-",'Cleanup TMS'!BU18)</f>
        <v>0.74</v>
      </c>
      <c r="AF18" s="74" t="str">
        <f>IF(OR('Cleanup TMS'!BV18=0,'Cleanup TMS'!BV18=""),"-",'Cleanup TMS'!BV18)</f>
        <v>D</v>
      </c>
      <c r="AG18" s="73">
        <f>'Cleanup TMS'!CF18</f>
        <v>525</v>
      </c>
      <c r="AH18" s="73">
        <f t="shared" ref="AH18" si="5">IF(X18="-","-",ROUND(X18*(1+AB18)^5,0))</f>
        <v>406</v>
      </c>
      <c r="AI18" s="73">
        <f t="shared" ref="AI18" si="6">IF(Y18="-","-",ROUND(Y18*(1+AB18)^5,0))</f>
        <v>387</v>
      </c>
      <c r="AJ18" s="71">
        <f>IF(OR('Cleanup TMS'!CI18=0,'Cleanup TMS'!CI18=""),"-",'Cleanup TMS'!CI18)</f>
        <v>0.77</v>
      </c>
      <c r="AK18" s="75" t="str">
        <f>IF(OR('Cleanup TMS'!CJ18=0,'Cleanup TMS'!CJ18=""),"-",'Cleanup TMS'!CJ18)</f>
        <v>D</v>
      </c>
    </row>
    <row r="19" spans="1:37" ht="18.75" customHeight="1">
      <c r="A19" s="69">
        <f>'Cleanup TMS'!A19</f>
        <v>4920</v>
      </c>
      <c r="B19" s="70">
        <f>'Cleanup TMS'!B19</f>
        <v>147</v>
      </c>
      <c r="C19" s="70" t="str">
        <f>IF('Cleanup TMS'!E19="","",'Cleanup TMS'!E19)</f>
        <v/>
      </c>
      <c r="D19" s="70" t="str">
        <f>'Cleanup TMS'!F19</f>
        <v>SUMTER</v>
      </c>
      <c r="E19" s="70">
        <f>'Cleanup TMS'!G19</f>
        <v>35</v>
      </c>
      <c r="F19" s="71">
        <f>ROUND('Cleanup TMS'!H19,2)</f>
        <v>0.79</v>
      </c>
      <c r="G19" s="72" t="str">
        <f>'Cleanup TMS'!I19</f>
        <v>PARR DR</v>
      </c>
      <c r="H19" s="72" t="str">
        <f>'Cleanup TMS'!J19</f>
        <v>BELVEDERE BLVD</v>
      </c>
      <c r="I19" s="72" t="str">
        <f>'Cleanup TMS'!K19</f>
        <v>BUENA VISTA BLVD</v>
      </c>
      <c r="J19" s="70">
        <f>'Cleanup TMS'!L19</f>
        <v>2</v>
      </c>
      <c r="K19" s="70">
        <v>2</v>
      </c>
      <c r="L19" s="70" t="s">
        <v>646</v>
      </c>
      <c r="M19" s="70" t="s">
        <v>648</v>
      </c>
      <c r="N19" s="152" t="s">
        <v>651</v>
      </c>
      <c r="O19" s="152" t="s">
        <v>547</v>
      </c>
      <c r="P19" s="70" t="str">
        <f>'Cleanup TMS'!V19</f>
        <v>COUNTY</v>
      </c>
      <c r="Q19" s="70" t="str">
        <f>'Cleanup TMS'!W19</f>
        <v>UNINCORPORATED SUMTER COUNTY</v>
      </c>
      <c r="R19" s="70" t="s">
        <v>5</v>
      </c>
      <c r="S19" s="73">
        <f>IF('Cleanup TMS'!AO19=0,"-",'Cleanup TMS'!AO19)</f>
        <v>13320</v>
      </c>
      <c r="T19" s="73">
        <f>'Cleanup TMS'!AP19</f>
        <v>3876</v>
      </c>
      <c r="U19" s="71">
        <f>IF(OR('Cleanup TMS'!AQ19=0,'Cleanup TMS'!AQ19=""),"-",'Cleanup TMS'!AQ19)</f>
        <v>0.28999999999999998</v>
      </c>
      <c r="V19" s="71" t="str">
        <f>IF(OR('Cleanup TMS'!AR19=0,'Cleanup TMS'!AR19=""),"-",'Cleanup TMS'!AR19)</f>
        <v>C</v>
      </c>
      <c r="W19" s="73">
        <f>IF('Cleanup TMS'!BB19=0,"-",'Cleanup TMS'!BB19)</f>
        <v>675</v>
      </c>
      <c r="X19" s="73">
        <f>'Cleanup TMS'!BC19</f>
        <v>258</v>
      </c>
      <c r="Y19" s="73">
        <f>'Cleanup TMS'!BD19</f>
        <v>195</v>
      </c>
      <c r="Z19" s="74">
        <f>IF(OR('Cleanup TMS'!BE19=0,'Cleanup TMS'!BE19=""),"-",'Cleanup TMS'!BE19)</f>
        <v>0.38</v>
      </c>
      <c r="AA19" s="74" t="str">
        <f>IF(OR('Cleanup TMS'!BF19=0,'Cleanup TMS'!BF19=""),"-",'Cleanup TMS'!BF19)</f>
        <v>C</v>
      </c>
      <c r="AB19" s="148">
        <f>IF(OR('Cleanup TMS'!BI19="",'Cleanup TMS'!BI19=0),"-",'Cleanup TMS'!BI19)</f>
        <v>0.01</v>
      </c>
      <c r="AC19" s="73">
        <f>'Cleanup TMS'!BS19</f>
        <v>13320</v>
      </c>
      <c r="AD19" s="73">
        <f t="shared" si="0"/>
        <v>4074</v>
      </c>
      <c r="AE19" s="74">
        <f>IF(OR('Cleanup TMS'!BU19=0,'Cleanup TMS'!BU19=""),"-",'Cleanup TMS'!BU19)</f>
        <v>0.31</v>
      </c>
      <c r="AF19" s="74" t="str">
        <f>IF(OR('Cleanup TMS'!BV19=0,'Cleanup TMS'!BV19=""),"-",'Cleanup TMS'!BV19)</f>
        <v>C</v>
      </c>
      <c r="AG19" s="73">
        <f>'Cleanup TMS'!CF19</f>
        <v>675</v>
      </c>
      <c r="AH19" s="73">
        <f t="shared" si="1"/>
        <v>271</v>
      </c>
      <c r="AI19" s="73">
        <f t="shared" si="2"/>
        <v>205</v>
      </c>
      <c r="AJ19" s="71">
        <f>IF(OR('Cleanup TMS'!CI19=0,'Cleanup TMS'!CI19=""),"-",'Cleanup TMS'!CI19)</f>
        <v>0.4</v>
      </c>
      <c r="AK19" s="75" t="str">
        <f>IF(OR('Cleanup TMS'!CJ19=0,'Cleanup TMS'!CJ19=""),"-",'Cleanup TMS'!CJ19)</f>
        <v>C</v>
      </c>
    </row>
    <row r="20" spans="1:37" ht="18.75" customHeight="1">
      <c r="A20" s="69">
        <f>'Cleanup TMS'!A20</f>
        <v>4930</v>
      </c>
      <c r="B20" s="70" t="str">
        <f>'Cleanup TMS'!B20</f>
        <v>2020-493</v>
      </c>
      <c r="C20" s="70" t="str">
        <f>IF('Cleanup TMS'!E20="","",'Cleanup TMS'!E20)</f>
        <v/>
      </c>
      <c r="D20" s="70" t="str">
        <f>'Cleanup TMS'!F20</f>
        <v>SUMTER</v>
      </c>
      <c r="E20" s="70">
        <f>'Cleanup TMS'!G20</f>
        <v>35</v>
      </c>
      <c r="F20" s="71">
        <f>ROUND('Cleanup TMS'!H20,2)</f>
        <v>0.53</v>
      </c>
      <c r="G20" s="72" t="str">
        <f>'Cleanup TMS'!I20</f>
        <v>TRIGGERFISH RUN</v>
      </c>
      <c r="H20" s="72" t="str">
        <f>'Cleanup TMS'!J20</f>
        <v>BUTTONWOOD RUN</v>
      </c>
      <c r="I20" s="72" t="str">
        <f>'Cleanup TMS'!K20</f>
        <v>PENNECAMP DR</v>
      </c>
      <c r="J20" s="70">
        <f>'Cleanup TMS'!L20</f>
        <v>2</v>
      </c>
      <c r="K20" s="70">
        <v>2</v>
      </c>
      <c r="L20" s="70" t="s">
        <v>646</v>
      </c>
      <c r="M20" s="70" t="s">
        <v>648</v>
      </c>
      <c r="N20" s="152" t="s">
        <v>651</v>
      </c>
      <c r="O20" s="152" t="s">
        <v>547</v>
      </c>
      <c r="P20" s="70" t="str">
        <f>'Cleanup TMS'!V20</f>
        <v>COUNTY</v>
      </c>
      <c r="Q20" s="70" t="str">
        <f>'Cleanup TMS'!W20</f>
        <v>UNINCORPORATED SUMTER COUNTY</v>
      </c>
      <c r="R20" s="70" t="s">
        <v>5</v>
      </c>
      <c r="S20" s="73">
        <f>IF('Cleanup TMS'!AO20=0,"-",'Cleanup TMS'!AO20)</f>
        <v>10360</v>
      </c>
      <c r="T20" s="73">
        <f>'Cleanup TMS'!AP20</f>
        <v>1339.2999999999884</v>
      </c>
      <c r="U20" s="71">
        <f>IF(OR('Cleanup TMS'!AQ20=0,'Cleanup TMS'!AQ20=""),"-",'Cleanup TMS'!AQ20)</f>
        <v>0.13</v>
      </c>
      <c r="V20" s="71" t="str">
        <f>IF(OR('Cleanup TMS'!AR20=0,'Cleanup TMS'!AR20=""),"-",'Cleanup TMS'!AR20)</f>
        <v>C</v>
      </c>
      <c r="W20" s="73">
        <f>IF('Cleanup TMS'!BB20=0,"-",'Cleanup TMS'!BB20)</f>
        <v>525</v>
      </c>
      <c r="X20" s="73">
        <f>'Cleanup TMS'!BC20</f>
        <v>59</v>
      </c>
      <c r="Y20" s="73">
        <f>'Cleanup TMS'!BD20</f>
        <v>69</v>
      </c>
      <c r="Z20" s="74">
        <f>IF(OR('Cleanup TMS'!BE20=0,'Cleanup TMS'!BE20=""),"-",'Cleanup TMS'!BE20)</f>
        <v>0.13</v>
      </c>
      <c r="AA20" s="74" t="str">
        <f>IF(OR('Cleanup TMS'!BF20=0,'Cleanup TMS'!BF20=""),"-",'Cleanup TMS'!BF20)</f>
        <v>C</v>
      </c>
      <c r="AB20" s="148">
        <f>IF(OR('Cleanup TMS'!BI20="",'Cleanup TMS'!BI20=0),"-",'Cleanup TMS'!BI20)</f>
        <v>6.25E-2</v>
      </c>
      <c r="AC20" s="73">
        <f>'Cleanup TMS'!BS20</f>
        <v>10360</v>
      </c>
      <c r="AD20" s="73">
        <f t="shared" si="0"/>
        <v>1814</v>
      </c>
      <c r="AE20" s="74">
        <f>IF(OR('Cleanup TMS'!BU20=0,'Cleanup TMS'!BU20=""),"-",'Cleanup TMS'!BU20)</f>
        <v>0.18</v>
      </c>
      <c r="AF20" s="74" t="str">
        <f>IF(OR('Cleanup TMS'!BV20=0,'Cleanup TMS'!BV20=""),"-",'Cleanup TMS'!BV20)</f>
        <v>C</v>
      </c>
      <c r="AG20" s="73">
        <f>'Cleanup TMS'!CF20</f>
        <v>525</v>
      </c>
      <c r="AH20" s="73">
        <f t="shared" si="1"/>
        <v>80</v>
      </c>
      <c r="AI20" s="73">
        <f t="shared" si="2"/>
        <v>93</v>
      </c>
      <c r="AJ20" s="71">
        <f>IF(OR('Cleanup TMS'!CI20=0,'Cleanup TMS'!CI20=""),"-",'Cleanup TMS'!CI20)</f>
        <v>0.18</v>
      </c>
      <c r="AK20" s="75" t="str">
        <f>IF(OR('Cleanup TMS'!CJ20=0,'Cleanup TMS'!CJ20=""),"-",'Cleanup TMS'!CJ20)</f>
        <v>C</v>
      </c>
    </row>
    <row r="21" spans="1:37" ht="18.75" customHeight="1">
      <c r="A21" s="69">
        <f>'Cleanup TMS'!A21</f>
        <v>5000</v>
      </c>
      <c r="B21" s="70">
        <f>'Cleanup TMS'!B21</f>
        <v>2</v>
      </c>
      <c r="C21" s="70" t="str">
        <f>IF('Cleanup TMS'!E21="","",'Cleanup TMS'!E21)</f>
        <v/>
      </c>
      <c r="D21" s="70" t="str">
        <f>'Cleanup TMS'!F21</f>
        <v>SUMTER</v>
      </c>
      <c r="E21" s="70">
        <f>'Cleanup TMS'!G21</f>
        <v>25</v>
      </c>
      <c r="F21" s="71">
        <f>ROUND('Cleanup TMS'!H21,2)</f>
        <v>0.93</v>
      </c>
      <c r="G21" s="72" t="str">
        <f>'Cleanup TMS'!I21</f>
        <v>BAILEY TRL</v>
      </c>
      <c r="H21" s="72" t="str">
        <f>'Cleanup TMS'!J21</f>
        <v>BUENA VISTA BLVD N</v>
      </c>
      <c r="I21" s="72" t="str">
        <f>'Cleanup TMS'!K21</f>
        <v>SUNSET RIDGE DR</v>
      </c>
      <c r="J21" s="70">
        <f>'Cleanup TMS'!L21</f>
        <v>2</v>
      </c>
      <c r="K21" s="70">
        <v>2</v>
      </c>
      <c r="L21" s="70" t="s">
        <v>646</v>
      </c>
      <c r="M21" s="70" t="s">
        <v>648</v>
      </c>
      <c r="N21" s="152" t="s">
        <v>651</v>
      </c>
      <c r="O21" s="152" t="s">
        <v>547</v>
      </c>
      <c r="P21" s="70" t="str">
        <f>'Cleanup TMS'!V21</f>
        <v>COUNTY</v>
      </c>
      <c r="Q21" s="70" t="str">
        <f>'Cleanup TMS'!W21</f>
        <v>UNINCORPORATED SUMTER COUNTY</v>
      </c>
      <c r="R21" s="70" t="s">
        <v>5</v>
      </c>
      <c r="S21" s="73">
        <f>IF('Cleanup TMS'!AO21=0,"-",'Cleanup TMS'!AO21)</f>
        <v>13320</v>
      </c>
      <c r="T21" s="73">
        <f>'Cleanup TMS'!AP21</f>
        <v>8045</v>
      </c>
      <c r="U21" s="71">
        <f>IF(OR('Cleanup TMS'!AQ21=0,'Cleanup TMS'!AQ21=""),"-",'Cleanup TMS'!AQ21)</f>
        <v>0.6</v>
      </c>
      <c r="V21" s="71" t="str">
        <f>IF(OR('Cleanup TMS'!AR21=0,'Cleanup TMS'!AR21=""),"-",'Cleanup TMS'!AR21)</f>
        <v>D</v>
      </c>
      <c r="W21" s="73">
        <f>IF('Cleanup TMS'!BB21=0,"-",'Cleanup TMS'!BB21)</f>
        <v>675</v>
      </c>
      <c r="X21" s="73">
        <f>'Cleanup TMS'!BC21</f>
        <v>389</v>
      </c>
      <c r="Y21" s="73">
        <f>'Cleanup TMS'!BD21</f>
        <v>400</v>
      </c>
      <c r="Z21" s="74">
        <f>IF(OR('Cleanup TMS'!BE21=0,'Cleanup TMS'!BE21=""),"-",'Cleanup TMS'!BE21)</f>
        <v>0.59</v>
      </c>
      <c r="AA21" s="74" t="str">
        <f>IF(OR('Cleanup TMS'!BF21=0,'Cleanup TMS'!BF21=""),"-",'Cleanup TMS'!BF21)</f>
        <v>D</v>
      </c>
      <c r="AB21" s="148">
        <f>IF(OR('Cleanup TMS'!BI21="",'Cleanup TMS'!BI21=0),"-",'Cleanup TMS'!BI21)</f>
        <v>0.01</v>
      </c>
      <c r="AC21" s="73">
        <f>'Cleanup TMS'!BS21</f>
        <v>13320</v>
      </c>
      <c r="AD21" s="73">
        <f t="shared" si="0"/>
        <v>8455</v>
      </c>
      <c r="AE21" s="74">
        <f>IF(OR('Cleanup TMS'!BU21=0,'Cleanup TMS'!BU21=""),"-",'Cleanup TMS'!BU21)</f>
        <v>0.63</v>
      </c>
      <c r="AF21" s="74" t="str">
        <f>IF(OR('Cleanup TMS'!BV21=0,'Cleanup TMS'!BV21=""),"-",'Cleanup TMS'!BV21)</f>
        <v>D</v>
      </c>
      <c r="AG21" s="73">
        <f>'Cleanup TMS'!CF21</f>
        <v>675</v>
      </c>
      <c r="AH21" s="73">
        <f t="shared" si="1"/>
        <v>409</v>
      </c>
      <c r="AI21" s="73">
        <f t="shared" si="2"/>
        <v>420</v>
      </c>
      <c r="AJ21" s="71">
        <f>IF(OR('Cleanup TMS'!CI21=0,'Cleanup TMS'!CI21=""),"-",'Cleanup TMS'!CI21)</f>
        <v>0.62</v>
      </c>
      <c r="AK21" s="75" t="str">
        <f>IF(OR('Cleanup TMS'!CJ21=0,'Cleanup TMS'!CJ21=""),"-",'Cleanup TMS'!CJ21)</f>
        <v>D</v>
      </c>
    </row>
    <row r="22" spans="1:37" ht="18.75" customHeight="1">
      <c r="A22" s="69">
        <f>'Cleanup TMS'!A22</f>
        <v>5010</v>
      </c>
      <c r="B22" s="70">
        <f>'Cleanup TMS'!B22</f>
        <v>3</v>
      </c>
      <c r="C22" s="70" t="str">
        <f>IF('Cleanup TMS'!E22="","",'Cleanup TMS'!E22)</f>
        <v/>
      </c>
      <c r="D22" s="70" t="str">
        <f>'Cleanup TMS'!F22</f>
        <v>SUMTER</v>
      </c>
      <c r="E22" s="70">
        <f>'Cleanup TMS'!G22</f>
        <v>30</v>
      </c>
      <c r="F22" s="71">
        <f>ROUND('Cleanup TMS'!H22,2)</f>
        <v>0.39</v>
      </c>
      <c r="G22" s="72" t="str">
        <f>'Cleanup TMS'!I22</f>
        <v>BAILEY TRL</v>
      </c>
      <c r="H22" s="72" t="str">
        <f>'Cleanup TMS'!J22</f>
        <v>SUNSET RIDGE DR</v>
      </c>
      <c r="I22" s="72" t="str">
        <f>'Cleanup TMS'!K22</f>
        <v>ST. CHARLES PL</v>
      </c>
      <c r="J22" s="70">
        <f>'Cleanup TMS'!L22</f>
        <v>2</v>
      </c>
      <c r="K22" s="70">
        <v>2</v>
      </c>
      <c r="L22" s="70" t="s">
        <v>646</v>
      </c>
      <c r="M22" s="70" t="s">
        <v>648</v>
      </c>
      <c r="N22" s="152" t="s">
        <v>651</v>
      </c>
      <c r="O22" s="152" t="s">
        <v>547</v>
      </c>
      <c r="P22" s="70" t="str">
        <f>'Cleanup TMS'!V22</f>
        <v>COUNTY</v>
      </c>
      <c r="Q22" s="70" t="str">
        <f>'Cleanup TMS'!W22</f>
        <v>UNINCORPORATED SUMTER COUNTY</v>
      </c>
      <c r="R22" s="70" t="s">
        <v>5</v>
      </c>
      <c r="S22" s="73">
        <f>IF('Cleanup TMS'!AO22=0,"-",'Cleanup TMS'!AO22)</f>
        <v>13320</v>
      </c>
      <c r="T22" s="73">
        <f>'Cleanup TMS'!AP22</f>
        <v>9416</v>
      </c>
      <c r="U22" s="71">
        <f>IF(OR('Cleanup TMS'!AQ22=0,'Cleanup TMS'!AQ22=""),"-",'Cleanup TMS'!AQ22)</f>
        <v>0.71</v>
      </c>
      <c r="V22" s="71" t="str">
        <f>IF(OR('Cleanup TMS'!AR22=0,'Cleanup TMS'!AR22=""),"-",'Cleanup TMS'!AR22)</f>
        <v>D</v>
      </c>
      <c r="W22" s="73">
        <f>IF('Cleanup TMS'!BB22=0,"-",'Cleanup TMS'!BB22)</f>
        <v>675</v>
      </c>
      <c r="X22" s="73">
        <f>'Cleanup TMS'!BC22</f>
        <v>492</v>
      </c>
      <c r="Y22" s="73">
        <f>'Cleanup TMS'!BD22</f>
        <v>435</v>
      </c>
      <c r="Z22" s="74">
        <f>IF(OR('Cleanup TMS'!BE22=0,'Cleanup TMS'!BE22=""),"-",'Cleanup TMS'!BE22)</f>
        <v>0.73</v>
      </c>
      <c r="AA22" s="74" t="str">
        <f>IF(OR('Cleanup TMS'!BF22=0,'Cleanup TMS'!BF22=""),"-",'Cleanup TMS'!BF22)</f>
        <v>D</v>
      </c>
      <c r="AB22" s="148">
        <f>IF(OR('Cleanup TMS'!BI22="",'Cleanup TMS'!BI22=0),"-",'Cleanup TMS'!BI22)</f>
        <v>0.01</v>
      </c>
      <c r="AC22" s="73">
        <f>'Cleanup TMS'!BS22</f>
        <v>13320</v>
      </c>
      <c r="AD22" s="73">
        <f t="shared" si="0"/>
        <v>9896</v>
      </c>
      <c r="AE22" s="74">
        <f>IF(OR('Cleanup TMS'!BU22=0,'Cleanup TMS'!BU22=""),"-",'Cleanup TMS'!BU22)</f>
        <v>0.74</v>
      </c>
      <c r="AF22" s="74" t="str">
        <f>IF(OR('Cleanup TMS'!BV22=0,'Cleanup TMS'!BV22=""),"-",'Cleanup TMS'!BV22)</f>
        <v>D</v>
      </c>
      <c r="AG22" s="73">
        <f>'Cleanup TMS'!CF22</f>
        <v>675</v>
      </c>
      <c r="AH22" s="73">
        <f t="shared" si="1"/>
        <v>517</v>
      </c>
      <c r="AI22" s="73">
        <f t="shared" si="2"/>
        <v>457</v>
      </c>
      <c r="AJ22" s="71">
        <f>IF(OR('Cleanup TMS'!CI22=0,'Cleanup TMS'!CI22=""),"-",'Cleanup TMS'!CI22)</f>
        <v>0.77</v>
      </c>
      <c r="AK22" s="75" t="str">
        <f>IF(OR('Cleanup TMS'!CJ22=0,'Cleanup TMS'!CJ22=""),"-",'Cleanup TMS'!CJ22)</f>
        <v>D</v>
      </c>
    </row>
    <row r="23" spans="1:37" ht="18.75" customHeight="1">
      <c r="A23" s="69">
        <f>'Cleanup TMS'!A23</f>
        <v>5020</v>
      </c>
      <c r="B23" s="70">
        <f>'Cleanup TMS'!B23</f>
        <v>4</v>
      </c>
      <c r="C23" s="70" t="str">
        <f>IF('Cleanup TMS'!E23="","",'Cleanup TMS'!E23)</f>
        <v/>
      </c>
      <c r="D23" s="70" t="str">
        <f>'Cleanup TMS'!F23</f>
        <v>SUMTER</v>
      </c>
      <c r="E23" s="70">
        <f>'Cleanup TMS'!G23</f>
        <v>20</v>
      </c>
      <c r="F23" s="71">
        <f>ROUND('Cleanup TMS'!H23,2)</f>
        <v>0.5</v>
      </c>
      <c r="G23" s="72" t="str">
        <f>'Cleanup TMS'!I23</f>
        <v>BAILEY TRL</v>
      </c>
      <c r="H23" s="72" t="str">
        <f>'Cleanup TMS'!J23</f>
        <v>ST. CHARLES PL</v>
      </c>
      <c r="I23" s="72" t="str">
        <f>'Cleanup TMS'!K23</f>
        <v>BASSINGER CRT</v>
      </c>
      <c r="J23" s="70">
        <f>'Cleanup TMS'!L23</f>
        <v>2</v>
      </c>
      <c r="K23" s="70">
        <v>2</v>
      </c>
      <c r="L23" s="70" t="s">
        <v>646</v>
      </c>
      <c r="M23" s="70" t="s">
        <v>648</v>
      </c>
      <c r="N23" s="152" t="s">
        <v>651</v>
      </c>
      <c r="O23" s="152" t="s">
        <v>547</v>
      </c>
      <c r="P23" s="70" t="str">
        <f>'Cleanup TMS'!V23</f>
        <v>COUNTY</v>
      </c>
      <c r="Q23" s="70" t="str">
        <f>'Cleanup TMS'!W23</f>
        <v>UNINCORPORATED SUMTER COUNTY</v>
      </c>
      <c r="R23" s="70" t="s">
        <v>5</v>
      </c>
      <c r="S23" s="73">
        <f>IF('Cleanup TMS'!AO23=0,"-",'Cleanup TMS'!AO23)</f>
        <v>13320</v>
      </c>
      <c r="T23" s="73">
        <f>'Cleanup TMS'!AP23</f>
        <v>3848</v>
      </c>
      <c r="U23" s="71">
        <f>IF(OR('Cleanup TMS'!AQ23=0,'Cleanup TMS'!AQ23=""),"-",'Cleanup TMS'!AQ23)</f>
        <v>0.28999999999999998</v>
      </c>
      <c r="V23" s="71" t="str">
        <f>IF(OR('Cleanup TMS'!AR23=0,'Cleanup TMS'!AR23=""),"-",'Cleanup TMS'!AR23)</f>
        <v>C</v>
      </c>
      <c r="W23" s="73">
        <f>IF('Cleanup TMS'!BB23=0,"-",'Cleanup TMS'!BB23)</f>
        <v>675</v>
      </c>
      <c r="X23" s="73">
        <f>'Cleanup TMS'!BC23</f>
        <v>192</v>
      </c>
      <c r="Y23" s="73">
        <f>'Cleanup TMS'!BD23</f>
        <v>187</v>
      </c>
      <c r="Z23" s="74">
        <f>IF(OR('Cleanup TMS'!BE23=0,'Cleanup TMS'!BE23=""),"-",'Cleanup TMS'!BE23)</f>
        <v>0.28000000000000003</v>
      </c>
      <c r="AA23" s="74" t="str">
        <f>IF(OR('Cleanup TMS'!BF23=0,'Cleanup TMS'!BF23=""),"-",'Cleanup TMS'!BF23)</f>
        <v>C</v>
      </c>
      <c r="AB23" s="148">
        <f>IF(OR('Cleanup TMS'!BI23="",'Cleanup TMS'!BI23=0),"-",'Cleanup TMS'!BI23)</f>
        <v>0.01</v>
      </c>
      <c r="AC23" s="73">
        <f>'Cleanup TMS'!BS23</f>
        <v>13320</v>
      </c>
      <c r="AD23" s="73">
        <f t="shared" si="0"/>
        <v>4044</v>
      </c>
      <c r="AE23" s="74">
        <f>IF(OR('Cleanup TMS'!BU23=0,'Cleanup TMS'!BU23=""),"-",'Cleanup TMS'!BU23)</f>
        <v>0.3</v>
      </c>
      <c r="AF23" s="74" t="str">
        <f>IF(OR('Cleanup TMS'!BV23=0,'Cleanup TMS'!BV23=""),"-",'Cleanup TMS'!BV23)</f>
        <v>C</v>
      </c>
      <c r="AG23" s="73">
        <f>'Cleanup TMS'!CF23</f>
        <v>675</v>
      </c>
      <c r="AH23" s="73">
        <f t="shared" si="1"/>
        <v>202</v>
      </c>
      <c r="AI23" s="73">
        <f t="shared" si="2"/>
        <v>197</v>
      </c>
      <c r="AJ23" s="71">
        <f>IF(OR('Cleanup TMS'!CI23=0,'Cleanup TMS'!CI23=""),"-",'Cleanup TMS'!CI23)</f>
        <v>0.3</v>
      </c>
      <c r="AK23" s="75" t="str">
        <f>IF(OR('Cleanup TMS'!CJ23=0,'Cleanup TMS'!CJ23=""),"-",'Cleanup TMS'!CJ23)</f>
        <v>C</v>
      </c>
    </row>
    <row r="24" spans="1:37" ht="18.75" customHeight="1">
      <c r="A24" s="69">
        <f>'Cleanup TMS'!A24</f>
        <v>5030</v>
      </c>
      <c r="B24" s="70">
        <f>'Cleanup TMS'!B24</f>
        <v>5</v>
      </c>
      <c r="C24" s="70" t="str">
        <f>IF('Cleanup TMS'!E24="","",'Cleanup TMS'!E24)</f>
        <v/>
      </c>
      <c r="D24" s="70" t="str">
        <f>'Cleanup TMS'!F24</f>
        <v>SUMTER</v>
      </c>
      <c r="E24" s="70">
        <f>'Cleanup TMS'!G24</f>
        <v>20</v>
      </c>
      <c r="F24" s="71">
        <f>ROUND('Cleanup TMS'!H24,2)</f>
        <v>0.39</v>
      </c>
      <c r="G24" s="72" t="str">
        <f>'Cleanup TMS'!I24</f>
        <v>BAILEY TRL</v>
      </c>
      <c r="H24" s="72" t="str">
        <f>'Cleanup TMS'!J24</f>
        <v>BASSINGER CRT</v>
      </c>
      <c r="I24" s="72" t="str">
        <f>'Cleanup TMS'!K24</f>
        <v>BUENA VISTA BLVD S</v>
      </c>
      <c r="J24" s="70">
        <f>'Cleanup TMS'!L24</f>
        <v>2</v>
      </c>
      <c r="K24" s="70">
        <v>2</v>
      </c>
      <c r="L24" s="70" t="s">
        <v>646</v>
      </c>
      <c r="M24" s="70" t="s">
        <v>648</v>
      </c>
      <c r="N24" s="152" t="s">
        <v>651</v>
      </c>
      <c r="O24" s="152" t="s">
        <v>547</v>
      </c>
      <c r="P24" s="70" t="str">
        <f>'Cleanup TMS'!V24</f>
        <v>COUNTY</v>
      </c>
      <c r="Q24" s="70" t="str">
        <f>'Cleanup TMS'!W24</f>
        <v>UNINCORPORATED SUMTER COUNTY</v>
      </c>
      <c r="R24" s="70" t="s">
        <v>5</v>
      </c>
      <c r="S24" s="73">
        <f>IF('Cleanup TMS'!AO24=0,"-",'Cleanup TMS'!AO24)</f>
        <v>13320</v>
      </c>
      <c r="T24" s="73">
        <f>'Cleanup TMS'!AP24</f>
        <v>4706</v>
      </c>
      <c r="U24" s="71">
        <f>IF(OR('Cleanup TMS'!AQ24=0,'Cleanup TMS'!AQ24=""),"-",'Cleanup TMS'!AQ24)</f>
        <v>0.35</v>
      </c>
      <c r="V24" s="71" t="str">
        <f>IF(OR('Cleanup TMS'!AR24=0,'Cleanup TMS'!AR24=""),"-",'Cleanup TMS'!AR24)</f>
        <v>C</v>
      </c>
      <c r="W24" s="73">
        <f>IF('Cleanup TMS'!BB24=0,"-",'Cleanup TMS'!BB24)</f>
        <v>675</v>
      </c>
      <c r="X24" s="73">
        <f>'Cleanup TMS'!BC24</f>
        <v>241</v>
      </c>
      <c r="Y24" s="73">
        <f>'Cleanup TMS'!BD24</f>
        <v>258</v>
      </c>
      <c r="Z24" s="74">
        <f>IF(OR('Cleanup TMS'!BE24=0,'Cleanup TMS'!BE24=""),"-",'Cleanup TMS'!BE24)</f>
        <v>0.38</v>
      </c>
      <c r="AA24" s="74" t="str">
        <f>IF(OR('Cleanup TMS'!BF24=0,'Cleanup TMS'!BF24=""),"-",'Cleanup TMS'!BF24)</f>
        <v>C</v>
      </c>
      <c r="AB24" s="148">
        <f>IF(OR('Cleanup TMS'!BI24="",'Cleanup TMS'!BI24=0),"-",'Cleanup TMS'!BI24)</f>
        <v>0.01</v>
      </c>
      <c r="AC24" s="73">
        <f>'Cleanup TMS'!BS24</f>
        <v>13320</v>
      </c>
      <c r="AD24" s="73">
        <f t="shared" si="0"/>
        <v>4946</v>
      </c>
      <c r="AE24" s="74">
        <f>IF(OR('Cleanup TMS'!BU24=0,'Cleanup TMS'!BU24=""),"-",'Cleanup TMS'!BU24)</f>
        <v>0.37</v>
      </c>
      <c r="AF24" s="74" t="str">
        <f>IF(OR('Cleanup TMS'!BV24=0,'Cleanup TMS'!BV24=""),"-",'Cleanup TMS'!BV24)</f>
        <v>C</v>
      </c>
      <c r="AG24" s="73">
        <f>'Cleanup TMS'!CF24</f>
        <v>675</v>
      </c>
      <c r="AH24" s="73">
        <f t="shared" si="1"/>
        <v>253</v>
      </c>
      <c r="AI24" s="73">
        <f t="shared" si="2"/>
        <v>271</v>
      </c>
      <c r="AJ24" s="71">
        <f>IF(OR('Cleanup TMS'!CI24=0,'Cleanup TMS'!CI24=""),"-",'Cleanup TMS'!CI24)</f>
        <v>0.4</v>
      </c>
      <c r="AK24" s="75" t="str">
        <f>IF(OR('Cleanup TMS'!CJ24=0,'Cleanup TMS'!CJ24=""),"-",'Cleanup TMS'!CJ24)</f>
        <v>C</v>
      </c>
    </row>
    <row r="25" spans="1:37" ht="18.75" customHeight="1">
      <c r="A25" s="69">
        <f>'Cleanup TMS'!A25</f>
        <v>5080</v>
      </c>
      <c r="B25" s="70">
        <f>'Cleanup TMS'!B25</f>
        <v>102</v>
      </c>
      <c r="C25" s="70" t="str">
        <f>IF('Cleanup TMS'!E25="","",'Cleanup TMS'!E25)</f>
        <v>-</v>
      </c>
      <c r="D25" s="70" t="str">
        <f>'Cleanup TMS'!F25</f>
        <v>SUMTER</v>
      </c>
      <c r="E25" s="70">
        <f>'Cleanup TMS'!G25</f>
        <v>35</v>
      </c>
      <c r="F25" s="71">
        <f>ROUND('Cleanup TMS'!H25,2)</f>
        <v>1</v>
      </c>
      <c r="G25" s="72" t="str">
        <f>'Cleanup TMS'!I25</f>
        <v>CR 209</v>
      </c>
      <c r="H25" s="72" t="str">
        <f>'Cleanup TMS'!J25</f>
        <v>CR 232</v>
      </c>
      <c r="I25" s="72" t="str">
        <f>'Cleanup TMS'!K25</f>
        <v>CR 462 E</v>
      </c>
      <c r="J25" s="70">
        <f>'Cleanup TMS'!L25</f>
        <v>2</v>
      </c>
      <c r="K25" s="70">
        <v>2</v>
      </c>
      <c r="L25" s="70" t="s">
        <v>646</v>
      </c>
      <c r="M25" s="70" t="s">
        <v>648</v>
      </c>
      <c r="N25" s="152" t="s">
        <v>651</v>
      </c>
      <c r="O25" s="152" t="s">
        <v>547</v>
      </c>
      <c r="P25" s="70" t="str">
        <f>'Cleanup TMS'!V25</f>
        <v>COUNTY</v>
      </c>
      <c r="Q25" s="70" t="str">
        <f>'Cleanup TMS'!W25</f>
        <v>WILDWOOD</v>
      </c>
      <c r="R25" s="70" t="s">
        <v>5</v>
      </c>
      <c r="S25" s="73">
        <f>IF('Cleanup TMS'!AO25=0,"-",'Cleanup TMS'!AO25)</f>
        <v>10360</v>
      </c>
      <c r="T25" s="73">
        <f>'Cleanup TMS'!AP25</f>
        <v>610</v>
      </c>
      <c r="U25" s="71">
        <f>IF(OR('Cleanup TMS'!AQ25=0,'Cleanup TMS'!AQ25=""),"-",'Cleanup TMS'!AQ25)</f>
        <v>0.06</v>
      </c>
      <c r="V25" s="71" t="str">
        <f>IF(OR('Cleanup TMS'!AR25=0,'Cleanup TMS'!AR25=""),"-",'Cleanup TMS'!AR25)</f>
        <v>C</v>
      </c>
      <c r="W25" s="73">
        <f>IF('Cleanup TMS'!BB25=0,"-",'Cleanup TMS'!BB25)</f>
        <v>525</v>
      </c>
      <c r="X25" s="73">
        <f>'Cleanup TMS'!BC25</f>
        <v>42</v>
      </c>
      <c r="Y25" s="73">
        <f>'Cleanup TMS'!BD25</f>
        <v>33</v>
      </c>
      <c r="Z25" s="74">
        <f>IF(OR('Cleanup TMS'!BE25=0,'Cleanup TMS'!BE25=""),"-",'Cleanup TMS'!BE25)</f>
        <v>0.08</v>
      </c>
      <c r="AA25" s="74" t="str">
        <f>IF(OR('Cleanup TMS'!BF25=0,'Cleanup TMS'!BF25=""),"-",'Cleanup TMS'!BF25)</f>
        <v>C</v>
      </c>
      <c r="AB25" s="148">
        <f>IF(OR('Cleanup TMS'!BI25="",'Cleanup TMS'!BI25=0),"-",'Cleanup TMS'!BI25)</f>
        <v>0.01</v>
      </c>
      <c r="AC25" s="73">
        <f>'Cleanup TMS'!BS25</f>
        <v>10360</v>
      </c>
      <c r="AD25" s="73">
        <f t="shared" si="0"/>
        <v>641</v>
      </c>
      <c r="AE25" s="74">
        <f>IF(OR('Cleanup TMS'!BU25=0,'Cleanup TMS'!BU25=""),"-",'Cleanup TMS'!BU25)</f>
        <v>0.06</v>
      </c>
      <c r="AF25" s="74" t="str">
        <f>IF(OR('Cleanup TMS'!BV25=0,'Cleanup TMS'!BV25=""),"-",'Cleanup TMS'!BV25)</f>
        <v>C</v>
      </c>
      <c r="AG25" s="73">
        <f>'Cleanup TMS'!CF25</f>
        <v>525</v>
      </c>
      <c r="AH25" s="73">
        <f t="shared" si="1"/>
        <v>44</v>
      </c>
      <c r="AI25" s="73">
        <f t="shared" si="2"/>
        <v>35</v>
      </c>
      <c r="AJ25" s="71">
        <f>IF(OR('Cleanup TMS'!CI25=0,'Cleanup TMS'!CI25=""),"-",'Cleanup TMS'!CI25)</f>
        <v>0.08</v>
      </c>
      <c r="AK25" s="75" t="str">
        <f>IF(OR('Cleanup TMS'!CJ25=0,'Cleanup TMS'!CJ25=""),"-",'Cleanup TMS'!CJ25)</f>
        <v>C</v>
      </c>
    </row>
    <row r="26" spans="1:37" ht="18.75" customHeight="1">
      <c r="A26" s="69">
        <f>'Cleanup TMS'!A26</f>
        <v>6000</v>
      </c>
      <c r="B26" s="70">
        <f>'Cleanup TMS'!B26</f>
        <v>104</v>
      </c>
      <c r="C26" s="70" t="str">
        <f>IF('Cleanup TMS'!E26="","",'Cleanup TMS'!E26)</f>
        <v>-</v>
      </c>
      <c r="D26" s="70" t="str">
        <f>'Cleanup TMS'!F26</f>
        <v>SUMTER</v>
      </c>
      <c r="E26" s="70">
        <f>'Cleanup TMS'!G26</f>
        <v>30</v>
      </c>
      <c r="F26" s="71">
        <f>ROUND('Cleanup TMS'!H26,2)</f>
        <v>1.26</v>
      </c>
      <c r="G26" s="72" t="str">
        <f>'Cleanup TMS'!I26</f>
        <v>CR 213 (WALKER RD)</v>
      </c>
      <c r="H26" s="72" t="str">
        <f>'Cleanup TMS'!J26</f>
        <v>SR 44</v>
      </c>
      <c r="I26" s="72" t="str">
        <f>'Cleanup TMS'!K26</f>
        <v>CR 44A</v>
      </c>
      <c r="J26" s="70">
        <f>'Cleanup TMS'!L26</f>
        <v>2</v>
      </c>
      <c r="K26" s="70">
        <v>2</v>
      </c>
      <c r="L26" s="70" t="s">
        <v>646</v>
      </c>
      <c r="M26" s="70" t="s">
        <v>648</v>
      </c>
      <c r="N26" s="152" t="s">
        <v>651</v>
      </c>
      <c r="O26" s="152" t="s">
        <v>547</v>
      </c>
      <c r="P26" s="70" t="str">
        <f>'Cleanup TMS'!V26</f>
        <v>COUNTY</v>
      </c>
      <c r="Q26" s="70" t="str">
        <f>'Cleanup TMS'!W26</f>
        <v>WILDWOOD</v>
      </c>
      <c r="R26" s="70" t="s">
        <v>5</v>
      </c>
      <c r="S26" s="73">
        <f>IF('Cleanup TMS'!AO26=0,"-",'Cleanup TMS'!AO26)</f>
        <v>13320</v>
      </c>
      <c r="T26" s="73">
        <f>'Cleanup TMS'!AP26</f>
        <v>505</v>
      </c>
      <c r="U26" s="71">
        <f>IF(OR('Cleanup TMS'!AQ26=0,'Cleanup TMS'!AQ26=""),"-",'Cleanup TMS'!AQ26)</f>
        <v>0.04</v>
      </c>
      <c r="V26" s="71" t="str">
        <f>IF(OR('Cleanup TMS'!AR26=0,'Cleanup TMS'!AR26=""),"-",'Cleanup TMS'!AR26)</f>
        <v>C</v>
      </c>
      <c r="W26" s="73">
        <f>IF('Cleanup TMS'!BB26=0,"-",'Cleanup TMS'!BB26)</f>
        <v>675</v>
      </c>
      <c r="X26" s="73">
        <f>'Cleanup TMS'!BC26</f>
        <v>34</v>
      </c>
      <c r="Y26" s="73">
        <f>'Cleanup TMS'!BD26</f>
        <v>20</v>
      </c>
      <c r="Z26" s="74">
        <f>IF(OR('Cleanup TMS'!BE26=0,'Cleanup TMS'!BE26=""),"-",'Cleanup TMS'!BE26)</f>
        <v>0.05</v>
      </c>
      <c r="AA26" s="74" t="str">
        <f>IF(OR('Cleanup TMS'!BF26=0,'Cleanup TMS'!BF26=""),"-",'Cleanup TMS'!BF26)</f>
        <v>C</v>
      </c>
      <c r="AB26" s="148">
        <f>IF(OR('Cleanup TMS'!BI26="",'Cleanup TMS'!BI26=0),"-",'Cleanup TMS'!BI26)</f>
        <v>2.75E-2</v>
      </c>
      <c r="AC26" s="73">
        <f>'Cleanup TMS'!BS26</f>
        <v>13320</v>
      </c>
      <c r="AD26" s="73">
        <f t="shared" si="0"/>
        <v>578</v>
      </c>
      <c r="AE26" s="74">
        <f>IF(OR('Cleanup TMS'!BU26=0,'Cleanup TMS'!BU26=""),"-",'Cleanup TMS'!BU26)</f>
        <v>0.04</v>
      </c>
      <c r="AF26" s="74" t="str">
        <f>IF(OR('Cleanup TMS'!BV26=0,'Cleanup TMS'!BV26=""),"-",'Cleanup TMS'!BV26)</f>
        <v>C</v>
      </c>
      <c r="AG26" s="73">
        <f>'Cleanup TMS'!CF26</f>
        <v>675</v>
      </c>
      <c r="AH26" s="73">
        <f t="shared" si="1"/>
        <v>39</v>
      </c>
      <c r="AI26" s="73">
        <f t="shared" si="2"/>
        <v>23</v>
      </c>
      <c r="AJ26" s="71">
        <f>IF(OR('Cleanup TMS'!CI26=0,'Cleanup TMS'!CI26=""),"-",'Cleanup TMS'!CI26)</f>
        <v>0.06</v>
      </c>
      <c r="AK26" s="75" t="str">
        <f>IF(OR('Cleanup TMS'!CJ26=0,'Cleanup TMS'!CJ26=""),"-",'Cleanup TMS'!CJ26)</f>
        <v>C</v>
      </c>
    </row>
    <row r="27" spans="1:37" ht="18.75" customHeight="1">
      <c r="A27" s="69">
        <f>'Cleanup TMS'!A27</f>
        <v>12500</v>
      </c>
      <c r="B27" s="70">
        <f>'Cleanup TMS'!B27</f>
        <v>184</v>
      </c>
      <c r="C27" s="70" t="str">
        <f>IF('Cleanup TMS'!E27="","",'Cleanup TMS'!E27)</f>
        <v/>
      </c>
      <c r="D27" s="70" t="str">
        <f>'Cleanup TMS'!F27</f>
        <v>SUMTER</v>
      </c>
      <c r="E27" s="70">
        <f>'Cleanup TMS'!G27</f>
        <v>55</v>
      </c>
      <c r="F27" s="71">
        <f>ROUND('Cleanup TMS'!H27,2)</f>
        <v>0.76</v>
      </c>
      <c r="G27" s="72" t="str">
        <f>'Cleanup TMS'!I27</f>
        <v>WOODRIDGE DR</v>
      </c>
      <c r="H27" s="72" t="str">
        <f>'Cleanup TMS'!J27</f>
        <v>CR 103</v>
      </c>
      <c r="I27" s="72" t="str">
        <f>'Cleanup TMS'!K27</f>
        <v>CR 101</v>
      </c>
      <c r="J27" s="70">
        <f>'Cleanup TMS'!L27</f>
        <v>2</v>
      </c>
      <c r="K27" s="70">
        <v>2</v>
      </c>
      <c r="L27" s="70" t="s">
        <v>646</v>
      </c>
      <c r="M27" s="70" t="s">
        <v>648</v>
      </c>
      <c r="N27" s="152" t="s">
        <v>651</v>
      </c>
      <c r="O27" s="152" t="s">
        <v>547</v>
      </c>
      <c r="P27" s="70" t="str">
        <f>'Cleanup TMS'!V27</f>
        <v>COUNTY</v>
      </c>
      <c r="Q27" s="70" t="str">
        <f>'Cleanup TMS'!W27</f>
        <v>UNINCORPORATED SUMTER COUNTY</v>
      </c>
      <c r="R27" s="70" t="s">
        <v>5</v>
      </c>
      <c r="S27" s="73">
        <f>IF('Cleanup TMS'!AO27=0,"-",'Cleanup TMS'!AO27)</f>
        <v>15930</v>
      </c>
      <c r="T27" s="73">
        <f>'Cleanup TMS'!AP27</f>
        <v>4177</v>
      </c>
      <c r="U27" s="71">
        <f>IF(OR('Cleanup TMS'!AQ27=0,'Cleanup TMS'!AQ27=""),"-",'Cleanup TMS'!AQ27)</f>
        <v>0.26</v>
      </c>
      <c r="V27" s="71" t="str">
        <f>IF(OR('Cleanup TMS'!AR27=0,'Cleanup TMS'!AR27=""),"-",'Cleanup TMS'!AR27)</f>
        <v>C</v>
      </c>
      <c r="W27" s="73">
        <f>IF('Cleanup TMS'!BB27=0,"-",'Cleanup TMS'!BB27)</f>
        <v>792</v>
      </c>
      <c r="X27" s="73">
        <f>'Cleanup TMS'!BC27</f>
        <v>253</v>
      </c>
      <c r="Y27" s="73">
        <f>'Cleanup TMS'!BD27</f>
        <v>190</v>
      </c>
      <c r="Z27" s="74">
        <f>IF(OR('Cleanup TMS'!BE27=0,'Cleanup TMS'!BE27=""),"-",'Cleanup TMS'!BE27)</f>
        <v>0.32</v>
      </c>
      <c r="AA27" s="74" t="str">
        <f>IF(OR('Cleanup TMS'!BF27=0,'Cleanup TMS'!BF27=""),"-",'Cleanup TMS'!BF27)</f>
        <v>C</v>
      </c>
      <c r="AB27" s="148">
        <f>IF(OR('Cleanup TMS'!BI27="",'Cleanup TMS'!BI27=0),"-",'Cleanup TMS'!BI27)</f>
        <v>0.01</v>
      </c>
      <c r="AC27" s="73">
        <f>'Cleanup TMS'!BS27</f>
        <v>15930</v>
      </c>
      <c r="AD27" s="73">
        <f t="shared" si="0"/>
        <v>4390</v>
      </c>
      <c r="AE27" s="74">
        <f>IF(OR('Cleanup TMS'!BU27=0,'Cleanup TMS'!BU27=""),"-",'Cleanup TMS'!BU27)</f>
        <v>0.28000000000000003</v>
      </c>
      <c r="AF27" s="74" t="str">
        <f>IF(OR('Cleanup TMS'!BV27=0,'Cleanup TMS'!BV27=""),"-",'Cleanup TMS'!BV27)</f>
        <v>C</v>
      </c>
      <c r="AG27" s="73">
        <f>'Cleanup TMS'!CF27</f>
        <v>792</v>
      </c>
      <c r="AH27" s="73">
        <f t="shared" si="1"/>
        <v>266</v>
      </c>
      <c r="AI27" s="73">
        <f t="shared" si="2"/>
        <v>200</v>
      </c>
      <c r="AJ27" s="71">
        <f>IF(OR('Cleanup TMS'!CI27=0,'Cleanup TMS'!CI27=""),"-",'Cleanup TMS'!CI27)</f>
        <v>0.34</v>
      </c>
      <c r="AK27" s="75" t="str">
        <f>IF(OR('Cleanup TMS'!CJ27=0,'Cleanup TMS'!CJ27=""),"-",'Cleanup TMS'!CJ27)</f>
        <v>C</v>
      </c>
    </row>
    <row r="28" spans="1:37" ht="18.75" customHeight="1">
      <c r="A28" s="69">
        <f>'Cleanup TMS'!A28</f>
        <v>325310</v>
      </c>
      <c r="B28" s="70">
        <f>'Cleanup TMS'!B28</f>
        <v>180122</v>
      </c>
      <c r="C28" s="70">
        <f>IF('Cleanup TMS'!E28="","",'Cleanup TMS'!E28)</f>
        <v>180122</v>
      </c>
      <c r="D28" s="70" t="str">
        <f>'Cleanup TMS'!F28</f>
        <v>FDOT</v>
      </c>
      <c r="E28" s="70">
        <f>'Cleanup TMS'!G28</f>
        <v>60</v>
      </c>
      <c r="F28" s="71">
        <f>ROUND('Cleanup TMS'!H28,2)</f>
        <v>2.73</v>
      </c>
      <c r="G28" s="72" t="str">
        <f>'Cleanup TMS'!I28</f>
        <v>US 301/SR 35</v>
      </c>
      <c r="H28" s="72" t="str">
        <f>'Cleanup TMS'!J28</f>
        <v>CR 656</v>
      </c>
      <c r="I28" s="72" t="str">
        <f>'Cleanup TMS'!K28</f>
        <v>CR 478</v>
      </c>
      <c r="J28" s="70">
        <f>'Cleanup TMS'!L28</f>
        <v>2</v>
      </c>
      <c r="K28" s="70">
        <v>2</v>
      </c>
      <c r="L28" s="70" t="s">
        <v>647</v>
      </c>
      <c r="M28" s="70" t="s">
        <v>648</v>
      </c>
      <c r="N28" s="152" t="s">
        <v>652</v>
      </c>
      <c r="O28" s="152" t="s">
        <v>654</v>
      </c>
      <c r="P28" s="70" t="str">
        <f>'Cleanup TMS'!V28</f>
        <v>STATE</v>
      </c>
      <c r="Q28" s="70" t="str">
        <f>'Cleanup TMS'!W28</f>
        <v>UNINCORPORATED SUMTER COUNTY</v>
      </c>
      <c r="R28" s="70" t="s">
        <v>4</v>
      </c>
      <c r="S28" s="73">
        <f>IF('Cleanup TMS'!AO28=0,"-",'Cleanup TMS'!AO28)</f>
        <v>8600</v>
      </c>
      <c r="T28" s="73">
        <f>'Cleanup TMS'!AP28</f>
        <v>5770</v>
      </c>
      <c r="U28" s="71">
        <f>IF(OR('Cleanup TMS'!AQ28=0,'Cleanup TMS'!AQ28=""),"-",'Cleanup TMS'!AQ28)</f>
        <v>0.67</v>
      </c>
      <c r="V28" s="71" t="str">
        <f>IF(OR('Cleanup TMS'!AR28=0,'Cleanup TMS'!AR28=""),"-",'Cleanup TMS'!AR28)</f>
        <v>C</v>
      </c>
      <c r="W28" s="73">
        <f>IF('Cleanup TMS'!BB28=0,"-",'Cleanup TMS'!BB28)</f>
        <v>450</v>
      </c>
      <c r="X28" s="73">
        <f>'Cleanup TMS'!BC28</f>
        <v>191</v>
      </c>
      <c r="Y28" s="73">
        <f>'Cleanup TMS'!BD28</f>
        <v>259</v>
      </c>
      <c r="Z28" s="74">
        <f>IF(OR('Cleanup TMS'!BE28=0,'Cleanup TMS'!BE28=""),"-",'Cleanup TMS'!BE28)</f>
        <v>0.57999999999999996</v>
      </c>
      <c r="AA28" s="74" t="str">
        <f>IF(OR('Cleanup TMS'!BF28=0,'Cleanup TMS'!BF28=""),"-",'Cleanup TMS'!BF28)</f>
        <v>C</v>
      </c>
      <c r="AB28" s="148">
        <f>IF(OR('Cleanup TMS'!BI28="",'Cleanup TMS'!BI28=0),"-",'Cleanup TMS'!BI28)</f>
        <v>1.2500000000000001E-2</v>
      </c>
      <c r="AC28" s="73">
        <f>'Cleanup TMS'!BS28</f>
        <v>8600</v>
      </c>
      <c r="AD28" s="73">
        <f t="shared" si="0"/>
        <v>6140</v>
      </c>
      <c r="AE28" s="74">
        <f>IF(OR('Cleanup TMS'!BU28=0,'Cleanup TMS'!BU28=""),"-",'Cleanup TMS'!BU28)</f>
        <v>0.71</v>
      </c>
      <c r="AF28" s="74" t="str">
        <f>IF(OR('Cleanup TMS'!BV28=0,'Cleanup TMS'!BV28=""),"-",'Cleanup TMS'!BV28)</f>
        <v>C</v>
      </c>
      <c r="AG28" s="73">
        <f>'Cleanup TMS'!CF28</f>
        <v>450</v>
      </c>
      <c r="AH28" s="73">
        <f t="shared" si="1"/>
        <v>203</v>
      </c>
      <c r="AI28" s="73">
        <f t="shared" si="2"/>
        <v>276</v>
      </c>
      <c r="AJ28" s="71">
        <f>IF(OR('Cleanup TMS'!CI28=0,'Cleanup TMS'!CI28=""),"-",'Cleanup TMS'!CI28)</f>
        <v>0.61</v>
      </c>
      <c r="AK28" s="75" t="str">
        <f>IF(OR('Cleanup TMS'!CJ28=0,'Cleanup TMS'!CJ28=""),"-",'Cleanup TMS'!CJ28)</f>
        <v>C</v>
      </c>
    </row>
    <row r="29" spans="1:37" ht="18.75" customHeight="1">
      <c r="A29" s="69">
        <f>'Cleanup TMS'!A29</f>
        <v>3221000</v>
      </c>
      <c r="B29" s="70">
        <f>'Cleanup TMS'!B29</f>
        <v>99</v>
      </c>
      <c r="C29" s="70" t="str">
        <f>IF('Cleanup TMS'!E29="","",'Cleanup TMS'!E29)</f>
        <v>-</v>
      </c>
      <c r="D29" s="70" t="str">
        <f>'Cleanup TMS'!F29</f>
        <v>SUMTER</v>
      </c>
      <c r="E29" s="70">
        <f>'Cleanup TMS'!G29</f>
        <v>25</v>
      </c>
      <c r="F29" s="71">
        <f>ROUND('Cleanup TMS'!H29,2)</f>
        <v>1.4</v>
      </c>
      <c r="G29" s="72" t="str">
        <f>'Cleanup TMS'!I29</f>
        <v>CR 156</v>
      </c>
      <c r="H29" s="72" t="str">
        <f>'Cleanup TMS'!J29</f>
        <v>US 301/SR 35</v>
      </c>
      <c r="I29" s="72" t="str">
        <f>'Cleanup TMS'!K29</f>
        <v>SR 44</v>
      </c>
      <c r="J29" s="70">
        <f>'Cleanup TMS'!L29</f>
        <v>2</v>
      </c>
      <c r="K29" s="70">
        <v>2</v>
      </c>
      <c r="L29" s="70" t="s">
        <v>646</v>
      </c>
      <c r="M29" s="70" t="s">
        <v>648</v>
      </c>
      <c r="N29" s="152" t="s">
        <v>651</v>
      </c>
      <c r="O29" s="152" t="s">
        <v>547</v>
      </c>
      <c r="P29" s="70" t="str">
        <f>'Cleanup TMS'!V29</f>
        <v>COUNTY</v>
      </c>
      <c r="Q29" s="70" t="str">
        <f>'Cleanup TMS'!W29</f>
        <v>WILDWOOD</v>
      </c>
      <c r="R29" s="70" t="s">
        <v>5</v>
      </c>
      <c r="S29" s="73">
        <f>IF('Cleanup TMS'!AO29=0,"-",'Cleanup TMS'!AO29)</f>
        <v>10360</v>
      </c>
      <c r="T29" s="73">
        <f>'Cleanup TMS'!AP29</f>
        <v>1396</v>
      </c>
      <c r="U29" s="71">
        <f>IF(OR('Cleanup TMS'!AQ29=0,'Cleanup TMS'!AQ29=""),"-",'Cleanup TMS'!AQ29)</f>
        <v>0.13</v>
      </c>
      <c r="V29" s="71" t="str">
        <f>IF(OR('Cleanup TMS'!AR29=0,'Cleanup TMS'!AR29=""),"-",'Cleanup TMS'!AR29)</f>
        <v>C</v>
      </c>
      <c r="W29" s="73">
        <f>IF('Cleanup TMS'!BB29=0,"-",'Cleanup TMS'!BB29)</f>
        <v>525</v>
      </c>
      <c r="X29" s="73">
        <f>'Cleanup TMS'!BC29</f>
        <v>59</v>
      </c>
      <c r="Y29" s="73">
        <f>'Cleanup TMS'!BD29</f>
        <v>57</v>
      </c>
      <c r="Z29" s="74">
        <f>IF(OR('Cleanup TMS'!BE29=0,'Cleanup TMS'!BE29=""),"-",'Cleanup TMS'!BE29)</f>
        <v>0.11</v>
      </c>
      <c r="AA29" s="74" t="str">
        <f>IF(OR('Cleanup TMS'!BF29=0,'Cleanup TMS'!BF29=""),"-",'Cleanup TMS'!BF29)</f>
        <v>C</v>
      </c>
      <c r="AB29" s="148">
        <f>IF(OR('Cleanup TMS'!BI29="",'Cleanup TMS'!BI29=0),"-",'Cleanup TMS'!BI29)</f>
        <v>5.5E-2</v>
      </c>
      <c r="AC29" s="73">
        <f>'Cleanup TMS'!BS29</f>
        <v>10360</v>
      </c>
      <c r="AD29" s="73">
        <f t="shared" si="0"/>
        <v>1825</v>
      </c>
      <c r="AE29" s="74">
        <f>IF(OR('Cleanup TMS'!BU29=0,'Cleanup TMS'!BU29=""),"-",'Cleanup TMS'!BU29)</f>
        <v>0.18</v>
      </c>
      <c r="AF29" s="74" t="str">
        <f>IF(OR('Cleanup TMS'!BV29=0,'Cleanup TMS'!BV29=""),"-",'Cleanup TMS'!BV29)</f>
        <v>C</v>
      </c>
      <c r="AG29" s="73">
        <f>'Cleanup TMS'!CF29</f>
        <v>525</v>
      </c>
      <c r="AH29" s="73">
        <f t="shared" si="1"/>
        <v>77</v>
      </c>
      <c r="AI29" s="73">
        <f t="shared" si="2"/>
        <v>74</v>
      </c>
      <c r="AJ29" s="71">
        <f>IF(OR('Cleanup TMS'!CI29=0,'Cleanup TMS'!CI29=""),"-",'Cleanup TMS'!CI29)</f>
        <v>0.15</v>
      </c>
      <c r="AK29" s="75" t="str">
        <f>IF(OR('Cleanup TMS'!CJ29=0,'Cleanup TMS'!CJ29=""),"-",'Cleanup TMS'!CJ29)</f>
        <v>C</v>
      </c>
    </row>
    <row r="30" spans="1:37" ht="18.75" customHeight="1">
      <c r="A30" s="69">
        <f>'Cleanup TMS'!A30</f>
        <v>3223000</v>
      </c>
      <c r="B30" s="70">
        <f>'Cleanup TMS'!B30</f>
        <v>113</v>
      </c>
      <c r="C30" s="70" t="str">
        <f>IF('Cleanup TMS'!E30="","",'Cleanup TMS'!E30)</f>
        <v/>
      </c>
      <c r="D30" s="70" t="str">
        <f>'Cleanup TMS'!F30</f>
        <v>SUMTER</v>
      </c>
      <c r="E30" s="70">
        <f>'Cleanup TMS'!G30</f>
        <v>45</v>
      </c>
      <c r="F30" s="71">
        <f>ROUND('Cleanup TMS'!H30,2)</f>
        <v>3.53</v>
      </c>
      <c r="G30" s="72" t="str">
        <f>'Cleanup TMS'!I30</f>
        <v>CR 673</v>
      </c>
      <c r="H30" s="72" t="str">
        <f>'Cleanup TMS'!J30</f>
        <v>SR 93/I-75</v>
      </c>
      <c r="I30" s="72" t="str">
        <f>'Cleanup TMS'!K30</f>
        <v>CR 674</v>
      </c>
      <c r="J30" s="70">
        <f>'Cleanup TMS'!L30</f>
        <v>2</v>
      </c>
      <c r="K30" s="70">
        <v>2</v>
      </c>
      <c r="L30" s="70" t="s">
        <v>647</v>
      </c>
      <c r="M30" s="70" t="s">
        <v>648</v>
      </c>
      <c r="N30" s="152" t="s">
        <v>652</v>
      </c>
      <c r="O30" s="152" t="s">
        <v>655</v>
      </c>
      <c r="P30" s="70" t="str">
        <f>'Cleanup TMS'!V30</f>
        <v>COUNTY</v>
      </c>
      <c r="Q30" s="70" t="str">
        <f>'Cleanup TMS'!W30</f>
        <v>UNINCORPORATED SUMTER COUNTY</v>
      </c>
      <c r="R30" s="70" t="s">
        <v>4</v>
      </c>
      <c r="S30" s="73">
        <f>IF('Cleanup TMS'!AO30=0,"-",'Cleanup TMS'!AO30)</f>
        <v>15700</v>
      </c>
      <c r="T30" s="73">
        <f>'Cleanup TMS'!AP30</f>
        <v>3508</v>
      </c>
      <c r="U30" s="71">
        <f>IF(OR('Cleanup TMS'!AQ30=0,'Cleanup TMS'!AQ30=""),"-",'Cleanup TMS'!AQ30)</f>
        <v>0.22</v>
      </c>
      <c r="V30" s="71" t="str">
        <f>IF(OR('Cleanup TMS'!AR30=0,'Cleanup TMS'!AR30=""),"-",'Cleanup TMS'!AR30)</f>
        <v>B</v>
      </c>
      <c r="W30" s="73">
        <f>IF('Cleanup TMS'!BB30=0,"-",'Cleanup TMS'!BB30)</f>
        <v>820</v>
      </c>
      <c r="X30" s="73">
        <f>'Cleanup TMS'!BC30</f>
        <v>130</v>
      </c>
      <c r="Y30" s="73">
        <f>'Cleanup TMS'!BD30</f>
        <v>168</v>
      </c>
      <c r="Z30" s="74">
        <f>IF(OR('Cleanup TMS'!BE30=0,'Cleanup TMS'!BE30=""),"-",'Cleanup TMS'!BE30)</f>
        <v>0.2</v>
      </c>
      <c r="AA30" s="74" t="str">
        <f>IF(OR('Cleanup TMS'!BF30=0,'Cleanup TMS'!BF30=""),"-",'Cleanup TMS'!BF30)</f>
        <v>B</v>
      </c>
      <c r="AB30" s="148">
        <f>IF(OR('Cleanup TMS'!BI30="",'Cleanup TMS'!BI30=0),"-",'Cleanup TMS'!BI30)</f>
        <v>5.5E-2</v>
      </c>
      <c r="AC30" s="73">
        <f>'Cleanup TMS'!BS30</f>
        <v>15700</v>
      </c>
      <c r="AD30" s="73">
        <f t="shared" si="0"/>
        <v>4585</v>
      </c>
      <c r="AE30" s="74">
        <f>IF(OR('Cleanup TMS'!BU30=0,'Cleanup TMS'!BU30=""),"-",'Cleanup TMS'!BU30)</f>
        <v>0.28999999999999998</v>
      </c>
      <c r="AF30" s="74" t="str">
        <f>IF(OR('Cleanup TMS'!BV30=0,'Cleanup TMS'!BV30=""),"-",'Cleanup TMS'!BV30)</f>
        <v>B</v>
      </c>
      <c r="AG30" s="73">
        <f>'Cleanup TMS'!CF30</f>
        <v>820</v>
      </c>
      <c r="AH30" s="73">
        <f t="shared" si="1"/>
        <v>170</v>
      </c>
      <c r="AI30" s="73">
        <f t="shared" si="2"/>
        <v>220</v>
      </c>
      <c r="AJ30" s="71">
        <f>IF(OR('Cleanup TMS'!CI30=0,'Cleanup TMS'!CI30=""),"-",'Cleanup TMS'!CI30)</f>
        <v>0.27</v>
      </c>
      <c r="AK30" s="75" t="str">
        <f>IF(OR('Cleanup TMS'!CJ30=0,'Cleanup TMS'!CJ30=""),"-",'Cleanup TMS'!CJ30)</f>
        <v>B</v>
      </c>
    </row>
    <row r="31" spans="1:37" ht="18.75" customHeight="1">
      <c r="A31" s="69">
        <f>'Cleanup TMS'!A31</f>
        <v>3224000</v>
      </c>
      <c r="B31" s="70">
        <f>'Cleanup TMS'!B31</f>
        <v>96</v>
      </c>
      <c r="C31" s="70" t="str">
        <f>IF('Cleanup TMS'!E31="","",'Cleanup TMS'!E31)</f>
        <v/>
      </c>
      <c r="D31" s="70" t="str">
        <f>'Cleanup TMS'!F31</f>
        <v>SUMTER</v>
      </c>
      <c r="E31" s="70">
        <f>'Cleanup TMS'!G31</f>
        <v>30</v>
      </c>
      <c r="F31" s="71">
        <f>ROUND('Cleanup TMS'!H31,2)</f>
        <v>1.37</v>
      </c>
      <c r="G31" s="72" t="str">
        <f>'Cleanup TMS'!I31</f>
        <v>CR 121</v>
      </c>
      <c r="H31" s="72" t="str">
        <f>'Cleanup TMS'!J31</f>
        <v>CR 462</v>
      </c>
      <c r="I31" s="72" t="str">
        <f>'Cleanup TMS'!K31</f>
        <v>CR 114</v>
      </c>
      <c r="J31" s="70">
        <f>'Cleanup TMS'!L31</f>
        <v>2</v>
      </c>
      <c r="K31" s="70">
        <v>2</v>
      </c>
      <c r="L31" s="70" t="s">
        <v>646</v>
      </c>
      <c r="M31" s="70" t="s">
        <v>648</v>
      </c>
      <c r="N31" s="152" t="s">
        <v>651</v>
      </c>
      <c r="O31" s="152" t="s">
        <v>547</v>
      </c>
      <c r="P31" s="70" t="str">
        <f>'Cleanup TMS'!V31</f>
        <v>COUNTY</v>
      </c>
      <c r="Q31" s="70" t="str">
        <f>'Cleanup TMS'!W31</f>
        <v>WILDWOOD</v>
      </c>
      <c r="R31" s="70" t="s">
        <v>5</v>
      </c>
      <c r="S31" s="73">
        <f>IF('Cleanup TMS'!AO31=0,"-",'Cleanup TMS'!AO31)</f>
        <v>10360</v>
      </c>
      <c r="T31" s="73">
        <f>'Cleanup TMS'!AP31</f>
        <v>4174</v>
      </c>
      <c r="U31" s="71">
        <f>IF(OR('Cleanup TMS'!AQ31=0,'Cleanup TMS'!AQ31=""),"-",'Cleanup TMS'!AQ31)</f>
        <v>0.4</v>
      </c>
      <c r="V31" s="71" t="str">
        <f>IF(OR('Cleanup TMS'!AR31=0,'Cleanup TMS'!AR31=""),"-",'Cleanup TMS'!AR31)</f>
        <v>C</v>
      </c>
      <c r="W31" s="73">
        <f>IF('Cleanup TMS'!BB31=0,"-",'Cleanup TMS'!BB31)</f>
        <v>525</v>
      </c>
      <c r="X31" s="73">
        <f>'Cleanup TMS'!BC31</f>
        <v>257</v>
      </c>
      <c r="Y31" s="73">
        <f>'Cleanup TMS'!BD31</f>
        <v>155</v>
      </c>
      <c r="Z31" s="74">
        <f>IF(OR('Cleanup TMS'!BE31=0,'Cleanup TMS'!BE31=""),"-",'Cleanup TMS'!BE31)</f>
        <v>0.49</v>
      </c>
      <c r="AA31" s="74" t="str">
        <f>IF(OR('Cleanup TMS'!BF31=0,'Cleanup TMS'!BF31=""),"-",'Cleanup TMS'!BF31)</f>
        <v>C</v>
      </c>
      <c r="AB31" s="148">
        <f>IF(OR('Cleanup TMS'!BI31="",'Cleanup TMS'!BI31=0),"-",'Cleanup TMS'!BI31)</f>
        <v>0.06</v>
      </c>
      <c r="AC31" s="73">
        <f>'Cleanup TMS'!BS31</f>
        <v>10360</v>
      </c>
      <c r="AD31" s="73">
        <f t="shared" si="0"/>
        <v>5586</v>
      </c>
      <c r="AE31" s="74">
        <f>IF(OR('Cleanup TMS'!BU31=0,'Cleanup TMS'!BU31=""),"-",'Cleanup TMS'!BU31)</f>
        <v>0.54</v>
      </c>
      <c r="AF31" s="74" t="str">
        <f>IF(OR('Cleanup TMS'!BV31=0,'Cleanup TMS'!BV31=""),"-",'Cleanup TMS'!BV31)</f>
        <v>D</v>
      </c>
      <c r="AG31" s="73">
        <f>'Cleanup TMS'!CF31</f>
        <v>525</v>
      </c>
      <c r="AH31" s="73">
        <f t="shared" si="1"/>
        <v>344</v>
      </c>
      <c r="AI31" s="73">
        <f t="shared" si="2"/>
        <v>207</v>
      </c>
      <c r="AJ31" s="71">
        <f>IF(OR('Cleanup TMS'!CI31=0,'Cleanup TMS'!CI31=""),"-",'Cleanup TMS'!CI31)</f>
        <v>0.66</v>
      </c>
      <c r="AK31" s="75" t="str">
        <f>IF(OR('Cleanup TMS'!CJ31=0,'Cleanup TMS'!CJ31=""),"-",'Cleanup TMS'!CJ31)</f>
        <v>D</v>
      </c>
    </row>
    <row r="32" spans="1:37" ht="18.75" customHeight="1">
      <c r="A32" s="69">
        <f>'Cleanup TMS'!A32</f>
        <v>3229000</v>
      </c>
      <c r="B32" s="70">
        <f>'Cleanup TMS'!B32</f>
        <v>120</v>
      </c>
      <c r="C32" s="70" t="str">
        <f>IF('Cleanup TMS'!E32="","",'Cleanup TMS'!E32)</f>
        <v>-</v>
      </c>
      <c r="D32" s="70" t="str">
        <f>'Cleanup TMS'!F32</f>
        <v>SUMTER</v>
      </c>
      <c r="E32" s="70">
        <f>'Cleanup TMS'!G32</f>
        <v>35</v>
      </c>
      <c r="F32" s="71">
        <f>ROUND('Cleanup TMS'!H32,2)</f>
        <v>2.08</v>
      </c>
      <c r="G32" s="72" t="str">
        <f>'Cleanup TMS'!I32</f>
        <v>CR 727</v>
      </c>
      <c r="H32" s="72" t="str">
        <f>'Cleanup TMS'!J32</f>
        <v>SR 50</v>
      </c>
      <c r="I32" s="72" t="str">
        <f>'Cleanup TMS'!K32</f>
        <v>CR 721</v>
      </c>
      <c r="J32" s="70">
        <f>'Cleanup TMS'!L32</f>
        <v>2</v>
      </c>
      <c r="K32" s="70">
        <v>2</v>
      </c>
      <c r="L32" s="70" t="s">
        <v>647</v>
      </c>
      <c r="M32" s="70" t="s">
        <v>648</v>
      </c>
      <c r="N32" s="152" t="s">
        <v>651</v>
      </c>
      <c r="O32" s="152" t="s">
        <v>547</v>
      </c>
      <c r="P32" s="70" t="str">
        <f>'Cleanup TMS'!V32</f>
        <v>COUNTY</v>
      </c>
      <c r="Q32" s="70" t="str">
        <f>'Cleanup TMS'!W32</f>
        <v>UNINCORPORATED SUMTER COUNTY</v>
      </c>
      <c r="R32" s="70" t="s">
        <v>4</v>
      </c>
      <c r="S32" s="73">
        <f>IF('Cleanup TMS'!AO32=0,"-",'Cleanup TMS'!AO32)</f>
        <v>9030</v>
      </c>
      <c r="T32" s="73">
        <f>'Cleanup TMS'!AP32</f>
        <v>245</v>
      </c>
      <c r="U32" s="71">
        <f>IF(OR('Cleanup TMS'!AQ32=0,'Cleanup TMS'!AQ32=""),"-",'Cleanup TMS'!AQ32)</f>
        <v>0.03</v>
      </c>
      <c r="V32" s="71" t="str">
        <f>IF(OR('Cleanup TMS'!AR32=0,'Cleanup TMS'!AR32=""),"-",'Cleanup TMS'!AR32)</f>
        <v>C</v>
      </c>
      <c r="W32" s="73">
        <f>IF('Cleanup TMS'!BB32=0,"-",'Cleanup TMS'!BB32)</f>
        <v>469</v>
      </c>
      <c r="X32" s="73">
        <f>'Cleanup TMS'!BC32</f>
        <v>19</v>
      </c>
      <c r="Y32" s="73">
        <f>'Cleanup TMS'!BD32</f>
        <v>10</v>
      </c>
      <c r="Z32" s="74">
        <f>IF(OR('Cleanup TMS'!BE32=0,'Cleanup TMS'!BE32=""),"-",'Cleanup TMS'!BE32)</f>
        <v>0.04</v>
      </c>
      <c r="AA32" s="74" t="str">
        <f>IF(OR('Cleanup TMS'!BF32=0,'Cleanup TMS'!BF32=""),"-",'Cleanup TMS'!BF32)</f>
        <v>C</v>
      </c>
      <c r="AB32" s="148">
        <f>IF(OR('Cleanup TMS'!BI32="",'Cleanup TMS'!BI32=0),"-",'Cleanup TMS'!BI32)</f>
        <v>0.05</v>
      </c>
      <c r="AC32" s="73">
        <f>'Cleanup TMS'!BS32</f>
        <v>9030</v>
      </c>
      <c r="AD32" s="73">
        <f t="shared" si="0"/>
        <v>313</v>
      </c>
      <c r="AE32" s="74">
        <f>IF(OR('Cleanup TMS'!BU32=0,'Cleanup TMS'!BU32=""),"-",'Cleanup TMS'!BU32)</f>
        <v>0.03</v>
      </c>
      <c r="AF32" s="74" t="str">
        <f>IF(OR('Cleanup TMS'!BV32=0,'Cleanup TMS'!BV32=""),"-",'Cleanup TMS'!BV32)</f>
        <v>C</v>
      </c>
      <c r="AG32" s="73">
        <f>'Cleanup TMS'!CF32</f>
        <v>469</v>
      </c>
      <c r="AH32" s="73">
        <f t="shared" si="1"/>
        <v>24</v>
      </c>
      <c r="AI32" s="73">
        <f t="shared" si="2"/>
        <v>13</v>
      </c>
      <c r="AJ32" s="71">
        <f>IF(OR('Cleanup TMS'!CI32=0,'Cleanup TMS'!CI32=""),"-",'Cleanup TMS'!CI32)</f>
        <v>0.05</v>
      </c>
      <c r="AK32" s="75" t="str">
        <f>IF(OR('Cleanup TMS'!CJ32=0,'Cleanup TMS'!CJ32=""),"-",'Cleanup TMS'!CJ32)</f>
        <v>C</v>
      </c>
    </row>
    <row r="33" spans="1:37" ht="18.75" customHeight="1">
      <c r="A33" s="69">
        <f>'Cleanup TMS'!A33</f>
        <v>3231000</v>
      </c>
      <c r="B33" s="70">
        <f>'Cleanup TMS'!B33</f>
        <v>121</v>
      </c>
      <c r="C33" s="70">
        <f>IF('Cleanup TMS'!E33="","",'Cleanup TMS'!E33)</f>
        <v>118009</v>
      </c>
      <c r="D33" s="70" t="str">
        <f>'Cleanup TMS'!F33</f>
        <v>FDOT</v>
      </c>
      <c r="E33" s="70">
        <f>'Cleanup TMS'!G33</f>
        <v>35</v>
      </c>
      <c r="F33" s="71">
        <f>ROUND('Cleanup TMS'!H33,2)</f>
        <v>0.83</v>
      </c>
      <c r="G33" s="72" t="str">
        <f>'Cleanup TMS'!I33</f>
        <v>CR 728</v>
      </c>
      <c r="H33" s="72" t="str">
        <f>'Cleanup TMS'!J33</f>
        <v>CR 469</v>
      </c>
      <c r="I33" s="72" t="str">
        <f>'Cleanup TMS'!K33</f>
        <v>LAKE COUNTY BOUNDARY</v>
      </c>
      <c r="J33" s="70">
        <f>'Cleanup TMS'!L33</f>
        <v>2</v>
      </c>
      <c r="K33" s="70">
        <v>2</v>
      </c>
      <c r="L33" s="70" t="s">
        <v>646</v>
      </c>
      <c r="M33" s="70" t="s">
        <v>648</v>
      </c>
      <c r="N33" s="152" t="s">
        <v>651</v>
      </c>
      <c r="O33" s="152" t="s">
        <v>547</v>
      </c>
      <c r="P33" s="70" t="str">
        <f>'Cleanup TMS'!V33</f>
        <v>COUNTY</v>
      </c>
      <c r="Q33" s="70" t="str">
        <f>'Cleanup TMS'!W33</f>
        <v>UNINCORPORATED SUMTER COUNTY</v>
      </c>
      <c r="R33" s="70" t="s">
        <v>5</v>
      </c>
      <c r="S33" s="73">
        <f>IF('Cleanup TMS'!AO33=0,"-",'Cleanup TMS'!AO33)</f>
        <v>10360</v>
      </c>
      <c r="T33" s="73">
        <f>'Cleanup TMS'!AP33</f>
        <v>611</v>
      </c>
      <c r="U33" s="71">
        <f>IF(OR('Cleanup TMS'!AQ33=0,'Cleanup TMS'!AQ33=""),"-",'Cleanup TMS'!AQ33)</f>
        <v>0.06</v>
      </c>
      <c r="V33" s="71" t="str">
        <f>IF(OR('Cleanup TMS'!AR33=0,'Cleanup TMS'!AR33=""),"-",'Cleanup TMS'!AR33)</f>
        <v>C</v>
      </c>
      <c r="W33" s="73">
        <f>IF('Cleanup TMS'!BB33=0,"-",'Cleanup TMS'!BB33)</f>
        <v>525</v>
      </c>
      <c r="X33" s="73">
        <f>'Cleanup TMS'!BC33</f>
        <v>31</v>
      </c>
      <c r="Y33" s="73">
        <f>'Cleanup TMS'!BD33</f>
        <v>40</v>
      </c>
      <c r="Z33" s="74">
        <f>IF(OR('Cleanup TMS'!BE33=0,'Cleanup TMS'!BE33=""),"-",'Cleanup TMS'!BE33)</f>
        <v>0.08</v>
      </c>
      <c r="AA33" s="74" t="str">
        <f>IF(OR('Cleanup TMS'!BF33=0,'Cleanup TMS'!BF33=""),"-",'Cleanup TMS'!BF33)</f>
        <v>C</v>
      </c>
      <c r="AB33" s="148">
        <f>IF(OR('Cleanup TMS'!BI33="",'Cleanup TMS'!BI33=0),"-",'Cleanup TMS'!BI33)</f>
        <v>0.01</v>
      </c>
      <c r="AC33" s="73">
        <f>'Cleanup TMS'!BS33</f>
        <v>10360</v>
      </c>
      <c r="AD33" s="73">
        <f t="shared" si="0"/>
        <v>642</v>
      </c>
      <c r="AE33" s="74">
        <f>IF(OR('Cleanup TMS'!BU33=0,'Cleanup TMS'!BU33=""),"-",'Cleanup TMS'!BU33)</f>
        <v>0.06</v>
      </c>
      <c r="AF33" s="74" t="str">
        <f>IF(OR('Cleanup TMS'!BV33=0,'Cleanup TMS'!BV33=""),"-",'Cleanup TMS'!BV33)</f>
        <v>C</v>
      </c>
      <c r="AG33" s="73">
        <f>'Cleanup TMS'!CF33</f>
        <v>525</v>
      </c>
      <c r="AH33" s="73">
        <f t="shared" si="1"/>
        <v>33</v>
      </c>
      <c r="AI33" s="73">
        <f t="shared" si="2"/>
        <v>42</v>
      </c>
      <c r="AJ33" s="71">
        <f>IF(OR('Cleanup TMS'!CI33=0,'Cleanup TMS'!CI33=""),"-",'Cleanup TMS'!CI33)</f>
        <v>0.08</v>
      </c>
      <c r="AK33" s="75" t="str">
        <f>IF(OR('Cleanup TMS'!CJ33=0,'Cleanup TMS'!CJ33=""),"-",'Cleanup TMS'!CJ33)</f>
        <v>C</v>
      </c>
    </row>
    <row r="34" spans="1:37" ht="18.75" customHeight="1">
      <c r="A34" s="69">
        <f>'Cleanup TMS'!A34</f>
        <v>3245100</v>
      </c>
      <c r="B34" s="70">
        <f>'Cleanup TMS'!B34</f>
        <v>105</v>
      </c>
      <c r="C34" s="70" t="str">
        <f>IF('Cleanup TMS'!E34="","",'Cleanup TMS'!E34)</f>
        <v>-</v>
      </c>
      <c r="D34" s="70" t="str">
        <f>'Cleanup TMS'!F34</f>
        <v>SUMTER</v>
      </c>
      <c r="E34" s="70">
        <f>'Cleanup TMS'!G34</f>
        <v>45</v>
      </c>
      <c r="F34" s="71">
        <f>ROUND('Cleanup TMS'!H34,2)</f>
        <v>1.56</v>
      </c>
      <c r="G34" s="72" t="str">
        <f>'Cleanup TMS'!I34</f>
        <v>CR 229</v>
      </c>
      <c r="H34" s="72" t="str">
        <f>'Cleanup TMS'!J34</f>
        <v>SR 44</v>
      </c>
      <c r="I34" s="72" t="str">
        <f>'Cleanup TMS'!K34</f>
        <v>CR 462</v>
      </c>
      <c r="J34" s="70">
        <f>'Cleanup TMS'!L34</f>
        <v>2</v>
      </c>
      <c r="K34" s="70">
        <v>2</v>
      </c>
      <c r="L34" s="70" t="s">
        <v>646</v>
      </c>
      <c r="M34" s="70" t="s">
        <v>648</v>
      </c>
      <c r="N34" s="152" t="s">
        <v>651</v>
      </c>
      <c r="O34" s="152" t="s">
        <v>547</v>
      </c>
      <c r="P34" s="70" t="str">
        <f>'Cleanup TMS'!V34</f>
        <v>COUNTY</v>
      </c>
      <c r="Q34" s="70" t="str">
        <f>'Cleanup TMS'!W34</f>
        <v>UNINCORPORATED SUMTER COUNTY</v>
      </c>
      <c r="R34" s="70" t="s">
        <v>5</v>
      </c>
      <c r="S34" s="73">
        <f>IF('Cleanup TMS'!AO34=0,"-",'Cleanup TMS'!AO34)</f>
        <v>12390</v>
      </c>
      <c r="T34" s="73">
        <f>'Cleanup TMS'!AP34</f>
        <v>4654</v>
      </c>
      <c r="U34" s="71">
        <f>IF(OR('Cleanup TMS'!AQ34=0,'Cleanup TMS'!AQ34=""),"-",'Cleanup TMS'!AQ34)</f>
        <v>0.38</v>
      </c>
      <c r="V34" s="71" t="str">
        <f>IF(OR('Cleanup TMS'!AR34=0,'Cleanup TMS'!AR34=""),"-",'Cleanup TMS'!AR34)</f>
        <v>C</v>
      </c>
      <c r="W34" s="73">
        <f>IF('Cleanup TMS'!BB34=0,"-",'Cleanup TMS'!BB34)</f>
        <v>616</v>
      </c>
      <c r="X34" s="73">
        <f>'Cleanup TMS'!BC34</f>
        <v>210</v>
      </c>
      <c r="Y34" s="73">
        <f>'Cleanup TMS'!BD34</f>
        <v>217</v>
      </c>
      <c r="Z34" s="74">
        <f>IF(OR('Cleanup TMS'!BE34=0,'Cleanup TMS'!BE34=""),"-",'Cleanup TMS'!BE34)</f>
        <v>0.35</v>
      </c>
      <c r="AA34" s="74" t="str">
        <f>IF(OR('Cleanup TMS'!BF34=0,'Cleanup TMS'!BF34=""),"-",'Cleanup TMS'!BF34)</f>
        <v>C</v>
      </c>
      <c r="AB34" s="148">
        <f>IF(OR('Cleanup TMS'!BI34="",'Cleanup TMS'!BI34=0),"-",'Cleanup TMS'!BI34)</f>
        <v>0.05</v>
      </c>
      <c r="AC34" s="73">
        <f>'Cleanup TMS'!BS34</f>
        <v>15930</v>
      </c>
      <c r="AD34" s="73">
        <f t="shared" si="0"/>
        <v>5940</v>
      </c>
      <c r="AE34" s="74">
        <f>IF(OR('Cleanup TMS'!BU34=0,'Cleanup TMS'!BU34=""),"-",'Cleanup TMS'!BU34)</f>
        <v>0.37</v>
      </c>
      <c r="AF34" s="74" t="str">
        <f>IF(OR('Cleanup TMS'!BV34=0,'Cleanup TMS'!BV34=""),"-",'Cleanup TMS'!BV34)</f>
        <v>C</v>
      </c>
      <c r="AG34" s="73">
        <f>'Cleanup TMS'!CF34</f>
        <v>792</v>
      </c>
      <c r="AH34" s="73">
        <f t="shared" si="1"/>
        <v>268</v>
      </c>
      <c r="AI34" s="73">
        <f t="shared" si="2"/>
        <v>277</v>
      </c>
      <c r="AJ34" s="71">
        <f>IF(OR('Cleanup TMS'!CI34=0,'Cleanup TMS'!CI34=""),"-",'Cleanup TMS'!CI34)</f>
        <v>0.35</v>
      </c>
      <c r="AK34" s="75" t="str">
        <f>IF(OR('Cleanup TMS'!CJ34=0,'Cleanup TMS'!CJ34=""),"-",'Cleanup TMS'!CJ34)</f>
        <v>C</v>
      </c>
    </row>
    <row r="35" spans="1:37" ht="18.75" customHeight="1">
      <c r="A35" s="69">
        <f>'Cleanup TMS'!A35</f>
        <v>3245110</v>
      </c>
      <c r="B35" s="70">
        <f>'Cleanup TMS'!B35</f>
        <v>106</v>
      </c>
      <c r="C35" s="70" t="str">
        <f>IF('Cleanup TMS'!E35="","",'Cleanup TMS'!E35)</f>
        <v>-</v>
      </c>
      <c r="D35" s="70" t="str">
        <f>'Cleanup TMS'!F35</f>
        <v>SUMTER</v>
      </c>
      <c r="E35" s="70">
        <f>'Cleanup TMS'!G35</f>
        <v>45</v>
      </c>
      <c r="F35" s="71">
        <f>ROUND('Cleanup TMS'!H35,2)</f>
        <v>2.2599999999999998</v>
      </c>
      <c r="G35" s="72" t="str">
        <f>'Cleanup TMS'!I35</f>
        <v>CR 229</v>
      </c>
      <c r="H35" s="72" t="str">
        <f>'Cleanup TMS'!J35</f>
        <v>CR 462</v>
      </c>
      <c r="I35" s="72" t="str">
        <f>'Cleanup TMS'!K35</f>
        <v>CR 466</v>
      </c>
      <c r="J35" s="70">
        <f>'Cleanup TMS'!L35</f>
        <v>2</v>
      </c>
      <c r="K35" s="70">
        <v>2</v>
      </c>
      <c r="L35" s="70" t="s">
        <v>646</v>
      </c>
      <c r="M35" s="70" t="s">
        <v>648</v>
      </c>
      <c r="N35" s="152" t="s">
        <v>652</v>
      </c>
      <c r="O35" s="152" t="s">
        <v>547</v>
      </c>
      <c r="P35" s="70" t="str">
        <f>'Cleanup TMS'!V35</f>
        <v>COUNTY</v>
      </c>
      <c r="Q35" s="70" t="str">
        <f>'Cleanup TMS'!W35</f>
        <v>UNINCORPORATED SUMTER COUNTY</v>
      </c>
      <c r="R35" s="70" t="s">
        <v>5</v>
      </c>
      <c r="S35" s="73">
        <f>IF('Cleanup TMS'!AO35=0,"-",'Cleanup TMS'!AO35)</f>
        <v>24200</v>
      </c>
      <c r="T35" s="73">
        <f>'Cleanup TMS'!AP35</f>
        <v>3893</v>
      </c>
      <c r="U35" s="71">
        <f>IF(OR('Cleanup TMS'!AQ35=0,'Cleanup TMS'!AQ35=""),"-",'Cleanup TMS'!AQ35)</f>
        <v>0.16</v>
      </c>
      <c r="V35" s="71" t="str">
        <f>IF(OR('Cleanup TMS'!AR35=0,'Cleanup TMS'!AR35=""),"-",'Cleanup TMS'!AR35)</f>
        <v>B</v>
      </c>
      <c r="W35" s="73">
        <f>IF('Cleanup TMS'!BB35=0,"-",'Cleanup TMS'!BB35)</f>
        <v>1200</v>
      </c>
      <c r="X35" s="73">
        <f>'Cleanup TMS'!BC35</f>
        <v>190</v>
      </c>
      <c r="Y35" s="73">
        <f>'Cleanup TMS'!BD35</f>
        <v>179</v>
      </c>
      <c r="Z35" s="74">
        <f>IF(OR('Cleanup TMS'!BE35=0,'Cleanup TMS'!BE35=""),"-",'Cleanup TMS'!BE35)</f>
        <v>0.16</v>
      </c>
      <c r="AA35" s="74" t="str">
        <f>IF(OR('Cleanup TMS'!BF35=0,'Cleanup TMS'!BF35=""),"-",'Cleanup TMS'!BF35)</f>
        <v>B</v>
      </c>
      <c r="AB35" s="148">
        <f>IF(OR('Cleanup TMS'!BI35="",'Cleanup TMS'!BI35=0),"-",'Cleanup TMS'!BI35)</f>
        <v>0.04</v>
      </c>
      <c r="AC35" s="73">
        <f>'Cleanup TMS'!BS35</f>
        <v>24200</v>
      </c>
      <c r="AD35" s="73">
        <f t="shared" si="0"/>
        <v>4736</v>
      </c>
      <c r="AE35" s="74">
        <f>IF(OR('Cleanup TMS'!BU35=0,'Cleanup TMS'!BU35=""),"-",'Cleanup TMS'!BU35)</f>
        <v>0.2</v>
      </c>
      <c r="AF35" s="74" t="str">
        <f>IF(OR('Cleanup TMS'!BV35=0,'Cleanup TMS'!BV35=""),"-",'Cleanup TMS'!BV35)</f>
        <v>B</v>
      </c>
      <c r="AG35" s="73">
        <f>'Cleanup TMS'!CF35</f>
        <v>1200</v>
      </c>
      <c r="AH35" s="73">
        <f t="shared" si="1"/>
        <v>231</v>
      </c>
      <c r="AI35" s="73">
        <f t="shared" si="2"/>
        <v>218</v>
      </c>
      <c r="AJ35" s="71">
        <f>IF(OR('Cleanup TMS'!CI35=0,'Cleanup TMS'!CI35=""),"-",'Cleanup TMS'!CI35)</f>
        <v>0.19</v>
      </c>
      <c r="AK35" s="75" t="str">
        <f>IF(OR('Cleanup TMS'!CJ35=0,'Cleanup TMS'!CJ35=""),"-",'Cleanup TMS'!CJ35)</f>
        <v>B</v>
      </c>
    </row>
    <row r="36" spans="1:37" ht="18.75" customHeight="1">
      <c r="A36" s="69">
        <f>'Cleanup TMS'!A36</f>
        <v>3248000</v>
      </c>
      <c r="B36" s="70">
        <f>'Cleanup TMS'!B36</f>
        <v>90</v>
      </c>
      <c r="C36" s="70" t="str">
        <f>IF('Cleanup TMS'!E36="","",'Cleanup TMS'!E36)</f>
        <v/>
      </c>
      <c r="D36" s="70" t="str">
        <f>'Cleanup TMS'!F36</f>
        <v>SUMTER</v>
      </c>
      <c r="E36" s="70">
        <f>'Cleanup TMS'!G36</f>
        <v>35</v>
      </c>
      <c r="F36" s="71">
        <f>ROUND('Cleanup TMS'!H36,2)</f>
        <v>0.28999999999999998</v>
      </c>
      <c r="G36" s="72" t="str">
        <f>'Cleanup TMS'!I36</f>
        <v>CR 101</v>
      </c>
      <c r="H36" s="72" t="str">
        <f>'Cleanup TMS'!J36</f>
        <v>CR 466</v>
      </c>
      <c r="I36" s="72" t="str">
        <f>'Cleanup TMS'!K36</f>
        <v>WOODRIDGE DR</v>
      </c>
      <c r="J36" s="70">
        <f>'Cleanup TMS'!L36</f>
        <v>4</v>
      </c>
      <c r="K36" s="70">
        <v>4</v>
      </c>
      <c r="L36" s="70" t="s">
        <v>646</v>
      </c>
      <c r="M36" s="70" t="s">
        <v>649</v>
      </c>
      <c r="N36" s="152" t="s">
        <v>651</v>
      </c>
      <c r="O36" s="152" t="s">
        <v>547</v>
      </c>
      <c r="P36" s="70" t="str">
        <f>'Cleanup TMS'!V36</f>
        <v>COUNTY</v>
      </c>
      <c r="Q36" s="70" t="str">
        <f>'Cleanup TMS'!W36</f>
        <v>WILDWOOD</v>
      </c>
      <c r="R36" s="70" t="s">
        <v>5</v>
      </c>
      <c r="S36" s="73">
        <f>IF('Cleanup TMS'!AO36=0,"-",'Cleanup TMS'!AO36)</f>
        <v>29160</v>
      </c>
      <c r="T36" s="73">
        <f>'Cleanup TMS'!AP36</f>
        <v>7098</v>
      </c>
      <c r="U36" s="71">
        <f>IF(OR('Cleanup TMS'!AQ36=0,'Cleanup TMS'!AQ36=""),"-",'Cleanup TMS'!AQ36)</f>
        <v>0.24</v>
      </c>
      <c r="V36" s="71" t="str">
        <f>IF(OR('Cleanup TMS'!AR36=0,'Cleanup TMS'!AR36=""),"-",'Cleanup TMS'!AR36)</f>
        <v>C</v>
      </c>
      <c r="W36" s="73">
        <f>IF('Cleanup TMS'!BB36=0,"-",'Cleanup TMS'!BB36)</f>
        <v>1467</v>
      </c>
      <c r="X36" s="73">
        <f>'Cleanup TMS'!BC36</f>
        <v>376</v>
      </c>
      <c r="Y36" s="73">
        <f>'Cleanup TMS'!BD36</f>
        <v>317</v>
      </c>
      <c r="Z36" s="74">
        <f>IF(OR('Cleanup TMS'!BE36=0,'Cleanup TMS'!BE36=""),"-",'Cleanup TMS'!BE36)</f>
        <v>0.26</v>
      </c>
      <c r="AA36" s="74" t="str">
        <f>IF(OR('Cleanup TMS'!BF36=0,'Cleanup TMS'!BF36=""),"-",'Cleanup TMS'!BF36)</f>
        <v>C</v>
      </c>
      <c r="AB36" s="148">
        <f>IF(OR('Cleanup TMS'!BI36="",'Cleanup TMS'!BI36=0),"-",'Cleanup TMS'!BI36)</f>
        <v>0.01</v>
      </c>
      <c r="AC36" s="73">
        <f>'Cleanup TMS'!BS36</f>
        <v>29160</v>
      </c>
      <c r="AD36" s="73">
        <f t="shared" si="0"/>
        <v>7460</v>
      </c>
      <c r="AE36" s="74">
        <f>IF(OR('Cleanup TMS'!BU36=0,'Cleanup TMS'!BU36=""),"-",'Cleanup TMS'!BU36)</f>
        <v>0.26</v>
      </c>
      <c r="AF36" s="74" t="str">
        <f>IF(OR('Cleanup TMS'!BV36=0,'Cleanup TMS'!BV36=""),"-",'Cleanup TMS'!BV36)</f>
        <v>C</v>
      </c>
      <c r="AG36" s="73">
        <f>'Cleanup TMS'!CF36</f>
        <v>1467</v>
      </c>
      <c r="AH36" s="73">
        <f t="shared" si="1"/>
        <v>395</v>
      </c>
      <c r="AI36" s="73">
        <f t="shared" si="2"/>
        <v>333</v>
      </c>
      <c r="AJ36" s="71">
        <f>IF(OR('Cleanup TMS'!CI36=0,'Cleanup TMS'!CI36=""),"-",'Cleanup TMS'!CI36)</f>
        <v>0.27</v>
      </c>
      <c r="AK36" s="75" t="str">
        <f>IF(OR('Cleanup TMS'!CJ36=0,'Cleanup TMS'!CJ36=""),"-",'Cleanup TMS'!CJ36)</f>
        <v>C</v>
      </c>
    </row>
    <row r="37" spans="1:37" ht="18.75" customHeight="1">
      <c r="A37" s="69">
        <f>'Cleanup TMS'!A37</f>
        <v>3248102</v>
      </c>
      <c r="B37" s="70">
        <f>'Cleanup TMS'!B37</f>
        <v>101</v>
      </c>
      <c r="C37" s="70" t="str">
        <f>IF('Cleanup TMS'!E37="","",'Cleanup TMS'!E37)</f>
        <v>-</v>
      </c>
      <c r="D37" s="70" t="str">
        <f>'Cleanup TMS'!F37</f>
        <v>SUMTER</v>
      </c>
      <c r="E37" s="70">
        <f>'Cleanup TMS'!G37</f>
        <v>35</v>
      </c>
      <c r="F37" s="71">
        <f>ROUND('Cleanup TMS'!H37,2)</f>
        <v>1.25</v>
      </c>
      <c r="G37" s="72" t="str">
        <f>'Cleanup TMS'!I37</f>
        <v>CR 209</v>
      </c>
      <c r="H37" s="72" t="str">
        <f>'Cleanup TMS'!J37</f>
        <v>CR 216</v>
      </c>
      <c r="I37" s="72" t="str">
        <f>'Cleanup TMS'!K37</f>
        <v>CR 466</v>
      </c>
      <c r="J37" s="70">
        <f>'Cleanup TMS'!L37</f>
        <v>2</v>
      </c>
      <c r="K37" s="70">
        <v>2</v>
      </c>
      <c r="L37" s="70" t="s">
        <v>646</v>
      </c>
      <c r="M37" s="70" t="s">
        <v>648</v>
      </c>
      <c r="N37" s="152" t="s">
        <v>651</v>
      </c>
      <c r="O37" s="152" t="s">
        <v>547</v>
      </c>
      <c r="P37" s="70" t="str">
        <f>'Cleanup TMS'!V37</f>
        <v>COUNTY</v>
      </c>
      <c r="Q37" s="70" t="str">
        <f>'Cleanup TMS'!W37</f>
        <v>WILDWOOD</v>
      </c>
      <c r="R37" s="70" t="s">
        <v>5</v>
      </c>
      <c r="S37" s="73">
        <f>IF('Cleanup TMS'!AO37=0,"-",'Cleanup TMS'!AO37)</f>
        <v>10360</v>
      </c>
      <c r="T37" s="73">
        <f>'Cleanup TMS'!AP37</f>
        <v>1363</v>
      </c>
      <c r="U37" s="71">
        <f>IF(OR('Cleanup TMS'!AQ37=0,'Cleanup TMS'!AQ37=""),"-",'Cleanup TMS'!AQ37)</f>
        <v>0.13</v>
      </c>
      <c r="V37" s="71" t="str">
        <f>IF(OR('Cleanup TMS'!AR37=0,'Cleanup TMS'!AR37=""),"-",'Cleanup TMS'!AR37)</f>
        <v>C</v>
      </c>
      <c r="W37" s="73">
        <f>IF('Cleanup TMS'!BB37=0,"-",'Cleanup TMS'!BB37)</f>
        <v>525</v>
      </c>
      <c r="X37" s="73">
        <f>'Cleanup TMS'!BC37</f>
        <v>109</v>
      </c>
      <c r="Y37" s="73">
        <f>'Cleanup TMS'!BD37</f>
        <v>80</v>
      </c>
      <c r="Z37" s="74">
        <f>IF(OR('Cleanup TMS'!BE37=0,'Cleanup TMS'!BE37=""),"-",'Cleanup TMS'!BE37)</f>
        <v>0.21</v>
      </c>
      <c r="AA37" s="74" t="str">
        <f>IF(OR('Cleanup TMS'!BF37=0,'Cleanup TMS'!BF37=""),"-",'Cleanup TMS'!BF37)</f>
        <v>C</v>
      </c>
      <c r="AB37" s="148">
        <f>IF(OR('Cleanup TMS'!BI37="",'Cleanup TMS'!BI37=0),"-",'Cleanup TMS'!BI37)</f>
        <v>0.05</v>
      </c>
      <c r="AC37" s="73">
        <f>'Cleanup TMS'!BS37</f>
        <v>10360</v>
      </c>
      <c r="AD37" s="73">
        <f t="shared" si="0"/>
        <v>1740</v>
      </c>
      <c r="AE37" s="74">
        <f>IF(OR('Cleanup TMS'!BU37=0,'Cleanup TMS'!BU37=""),"-",'Cleanup TMS'!BU37)</f>
        <v>0.17</v>
      </c>
      <c r="AF37" s="74" t="str">
        <f>IF(OR('Cleanup TMS'!BV37=0,'Cleanup TMS'!BV37=""),"-",'Cleanup TMS'!BV37)</f>
        <v>C</v>
      </c>
      <c r="AG37" s="73">
        <f>'Cleanup TMS'!CF37</f>
        <v>525</v>
      </c>
      <c r="AH37" s="73">
        <f t="shared" si="1"/>
        <v>139</v>
      </c>
      <c r="AI37" s="73">
        <f t="shared" si="2"/>
        <v>102</v>
      </c>
      <c r="AJ37" s="71">
        <f>IF(OR('Cleanup TMS'!CI37=0,'Cleanup TMS'!CI37=""),"-",'Cleanup TMS'!CI37)</f>
        <v>0.26</v>
      </c>
      <c r="AK37" s="75" t="str">
        <f>IF(OR('Cleanup TMS'!CJ37=0,'Cleanup TMS'!CJ37=""),"-",'Cleanup TMS'!CJ37)</f>
        <v>C</v>
      </c>
    </row>
    <row r="38" spans="1:37" ht="18.75" customHeight="1">
      <c r="A38" s="69">
        <f>'Cleanup TMS'!A38</f>
        <v>3248105</v>
      </c>
      <c r="B38" s="70">
        <f>'Cleanup TMS'!B38</f>
        <v>100</v>
      </c>
      <c r="C38" s="70" t="str">
        <f>IF('Cleanup TMS'!E38="","",'Cleanup TMS'!E38)</f>
        <v>-</v>
      </c>
      <c r="D38" s="70" t="str">
        <f>'Cleanup TMS'!F38</f>
        <v>SUMTER</v>
      </c>
      <c r="E38" s="70">
        <f>'Cleanup TMS'!G38</f>
        <v>45</v>
      </c>
      <c r="F38" s="71">
        <f>ROUND('Cleanup TMS'!H38,2)</f>
        <v>1.51</v>
      </c>
      <c r="G38" s="72" t="str">
        <f>'Cleanup TMS'!I38</f>
        <v>CR 209</v>
      </c>
      <c r="H38" s="72" t="str">
        <f>'Cleanup TMS'!J38</f>
        <v>CR 462 E</v>
      </c>
      <c r="I38" s="72" t="str">
        <f>'Cleanup TMS'!K38</f>
        <v>CR 216</v>
      </c>
      <c r="J38" s="70">
        <f>'Cleanup TMS'!L38</f>
        <v>2</v>
      </c>
      <c r="K38" s="70">
        <v>2</v>
      </c>
      <c r="L38" s="70" t="s">
        <v>646</v>
      </c>
      <c r="M38" s="70" t="s">
        <v>648</v>
      </c>
      <c r="N38" s="152" t="s">
        <v>651</v>
      </c>
      <c r="O38" s="152" t="s">
        <v>547</v>
      </c>
      <c r="P38" s="70" t="str">
        <f>'Cleanup TMS'!V38</f>
        <v>WILDWOOD</v>
      </c>
      <c r="Q38" s="70" t="str">
        <f>'Cleanup TMS'!W38</f>
        <v>UNINCORPORATED SUMTER COUNTY</v>
      </c>
      <c r="R38" s="70" t="s">
        <v>5</v>
      </c>
      <c r="S38" s="73">
        <f>IF('Cleanup TMS'!AO38=0,"-",'Cleanup TMS'!AO38)</f>
        <v>12390</v>
      </c>
      <c r="T38" s="73">
        <f>'Cleanup TMS'!AP38</f>
        <v>2491</v>
      </c>
      <c r="U38" s="71">
        <f>IF(OR('Cleanup TMS'!AQ38=0,'Cleanup TMS'!AQ38=""),"-",'Cleanup TMS'!AQ38)</f>
        <v>0.2</v>
      </c>
      <c r="V38" s="71" t="str">
        <f>IF(OR('Cleanup TMS'!AR38=0,'Cleanup TMS'!AR38=""),"-",'Cleanup TMS'!AR38)</f>
        <v>C</v>
      </c>
      <c r="W38" s="73">
        <f>IF('Cleanup TMS'!BB38=0,"-",'Cleanup TMS'!BB38)</f>
        <v>616</v>
      </c>
      <c r="X38" s="73">
        <f>'Cleanup TMS'!BC38</f>
        <v>266</v>
      </c>
      <c r="Y38" s="73">
        <f>'Cleanup TMS'!BD38</f>
        <v>220</v>
      </c>
      <c r="Z38" s="74">
        <f>IF(OR('Cleanup TMS'!BE38=0,'Cleanup TMS'!BE38=""),"-",'Cleanup TMS'!BE38)</f>
        <v>0.43</v>
      </c>
      <c r="AA38" s="74" t="str">
        <f>IF(OR('Cleanup TMS'!BF38=0,'Cleanup TMS'!BF38=""),"-",'Cleanup TMS'!BF38)</f>
        <v>C</v>
      </c>
      <c r="AB38" s="148">
        <f>IF(OR('Cleanup TMS'!BI38="",'Cleanup TMS'!BI38=0),"-",'Cleanup TMS'!BI38)</f>
        <v>0.05</v>
      </c>
      <c r="AC38" s="73">
        <f>'Cleanup TMS'!BS38</f>
        <v>12390</v>
      </c>
      <c r="AD38" s="73">
        <f t="shared" si="0"/>
        <v>3179</v>
      </c>
      <c r="AE38" s="74">
        <f>IF(OR('Cleanup TMS'!BU38=0,'Cleanup TMS'!BU38=""),"-",'Cleanup TMS'!BU38)</f>
        <v>0.26</v>
      </c>
      <c r="AF38" s="74" t="str">
        <f>IF(OR('Cleanup TMS'!BV38=0,'Cleanup TMS'!BV38=""),"-",'Cleanup TMS'!BV38)</f>
        <v>C</v>
      </c>
      <c r="AG38" s="73">
        <f>'Cleanup TMS'!CF38</f>
        <v>616</v>
      </c>
      <c r="AH38" s="73">
        <f>IF(X38="-","-",ROUND(X38*(1+AB38)^5,0))</f>
        <v>339</v>
      </c>
      <c r="AI38" s="73">
        <f>IF(Y38="-","-",ROUND(Y38*(1+AB38)^5,0))</f>
        <v>281</v>
      </c>
      <c r="AJ38" s="71">
        <f>IF(OR('Cleanup TMS'!CI38=0,'Cleanup TMS'!CI38=""),"-",'Cleanup TMS'!CI38)</f>
        <v>0.55000000000000004</v>
      </c>
      <c r="AK38" s="75" t="str">
        <f>IF(OR('Cleanup TMS'!CJ38=0,'Cleanup TMS'!CJ38=""),"-",'Cleanup TMS'!CJ38)</f>
        <v>C</v>
      </c>
    </row>
    <row r="39" spans="1:37" ht="18.75" customHeight="1">
      <c r="A39" s="69">
        <f>'Cleanup TMS'!A39</f>
        <v>3248110</v>
      </c>
      <c r="B39" s="70">
        <f>'Cleanup TMS'!B39</f>
        <v>103</v>
      </c>
      <c r="C39" s="70" t="str">
        <f>IF('Cleanup TMS'!E39="","",'Cleanup TMS'!E39)</f>
        <v/>
      </c>
      <c r="D39" s="70" t="str">
        <f>'Cleanup TMS'!F39</f>
        <v>SUMTER</v>
      </c>
      <c r="E39" s="70">
        <f>'Cleanup TMS'!G39</f>
        <v>35</v>
      </c>
      <c r="F39" s="71">
        <f>ROUND('Cleanup TMS'!H39,2)</f>
        <v>1.26</v>
      </c>
      <c r="G39" s="72" t="str">
        <f>'Cleanup TMS'!I39</f>
        <v>CR 209</v>
      </c>
      <c r="H39" s="72" t="str">
        <f>'Cleanup TMS'!J39</f>
        <v>CR 466</v>
      </c>
      <c r="I39" s="72" t="str">
        <f>'Cleanup TMS'!K39</f>
        <v>CR 202</v>
      </c>
      <c r="J39" s="70">
        <f>'Cleanup TMS'!L39</f>
        <v>2</v>
      </c>
      <c r="K39" s="70">
        <v>2</v>
      </c>
      <c r="L39" s="70" t="s">
        <v>646</v>
      </c>
      <c r="M39" s="70" t="s">
        <v>648</v>
      </c>
      <c r="N39" s="152" t="s">
        <v>651</v>
      </c>
      <c r="O39" s="152" t="s">
        <v>547</v>
      </c>
      <c r="P39" s="70" t="str">
        <f>'Cleanup TMS'!V39</f>
        <v>COUNTY</v>
      </c>
      <c r="Q39" s="70" t="str">
        <f>'Cleanup TMS'!W39</f>
        <v>WILDWOOD</v>
      </c>
      <c r="R39" s="70" t="s">
        <v>5</v>
      </c>
      <c r="S39" s="73">
        <f>IF('Cleanup TMS'!AO39=0,"-",'Cleanup TMS'!AO39)</f>
        <v>10360</v>
      </c>
      <c r="T39" s="73">
        <f>'Cleanup TMS'!AP39</f>
        <v>1272</v>
      </c>
      <c r="U39" s="71">
        <f>IF(OR('Cleanup TMS'!AQ39=0,'Cleanup TMS'!AQ39=""),"-",'Cleanup TMS'!AQ39)</f>
        <v>0.12</v>
      </c>
      <c r="V39" s="71" t="str">
        <f>IF(OR('Cleanup TMS'!AR39=0,'Cleanup TMS'!AR39=""),"-",'Cleanup TMS'!AR39)</f>
        <v>C</v>
      </c>
      <c r="W39" s="73">
        <f>IF('Cleanup TMS'!BB39=0,"-",'Cleanup TMS'!BB39)</f>
        <v>525</v>
      </c>
      <c r="X39" s="73">
        <f>'Cleanup TMS'!BC39</f>
        <v>191</v>
      </c>
      <c r="Y39" s="73">
        <f>'Cleanup TMS'!BD39</f>
        <v>40</v>
      </c>
      <c r="Z39" s="74">
        <f>IF(OR('Cleanup TMS'!BE39=0,'Cleanup TMS'!BE39=""),"-",'Cleanup TMS'!BE39)</f>
        <v>0.36</v>
      </c>
      <c r="AA39" s="74" t="str">
        <f>IF(OR('Cleanup TMS'!BF39=0,'Cleanup TMS'!BF39=""),"-",'Cleanup TMS'!BF39)</f>
        <v>C</v>
      </c>
      <c r="AB39" s="148">
        <f>IF(OR('Cleanup TMS'!BI39="",'Cleanup TMS'!BI39=0),"-",'Cleanup TMS'!BI39)</f>
        <v>0.01</v>
      </c>
      <c r="AC39" s="73">
        <f>'Cleanup TMS'!BS39</f>
        <v>10360</v>
      </c>
      <c r="AD39" s="73">
        <f>IF(T39="-","-",ROUND(T39*(1+AB39)^5,0))</f>
        <v>1337</v>
      </c>
      <c r="AE39" s="74">
        <f>IF(OR('Cleanup TMS'!BU39=0,'Cleanup TMS'!BU39=""),"-",'Cleanup TMS'!BU39)</f>
        <v>0.13</v>
      </c>
      <c r="AF39" s="74" t="str">
        <f>IF(OR('Cleanup TMS'!BV39=0,'Cleanup TMS'!BV39=""),"-",'Cleanup TMS'!BV39)</f>
        <v>C</v>
      </c>
      <c r="AG39" s="73">
        <f>'Cleanup TMS'!CF39</f>
        <v>525</v>
      </c>
      <c r="AH39" s="73">
        <f t="shared" si="1"/>
        <v>201</v>
      </c>
      <c r="AI39" s="73">
        <f t="shared" si="2"/>
        <v>42</v>
      </c>
      <c r="AJ39" s="71">
        <f>IF(OR('Cleanup TMS'!CI39=0,'Cleanup TMS'!CI39=""),"-",'Cleanup TMS'!CI39)</f>
        <v>0.38</v>
      </c>
      <c r="AK39" s="75" t="str">
        <f>IF(OR('Cleanup TMS'!CJ39=0,'Cleanup TMS'!CJ39=""),"-",'Cleanup TMS'!CJ39)</f>
        <v>C</v>
      </c>
    </row>
    <row r="40" spans="1:37" ht="18.75" customHeight="1">
      <c r="A40" s="69">
        <f>'Cleanup TMS'!A40</f>
        <v>3248400</v>
      </c>
      <c r="B40" s="70">
        <f>'Cleanup TMS'!B40</f>
        <v>94</v>
      </c>
      <c r="C40" s="70" t="str">
        <f>IF('Cleanup TMS'!E40="","",'Cleanup TMS'!E40)</f>
        <v/>
      </c>
      <c r="D40" s="70" t="str">
        <f>'Cleanup TMS'!F40</f>
        <v>SUMTER</v>
      </c>
      <c r="E40" s="70">
        <f>'Cleanup TMS'!G40</f>
        <v>35</v>
      </c>
      <c r="F40" s="71">
        <f>ROUND('Cleanup TMS'!H40,2)</f>
        <v>1.31</v>
      </c>
      <c r="G40" s="72" t="str">
        <f>'Cleanup TMS'!I40</f>
        <v>CR 104</v>
      </c>
      <c r="H40" s="72" t="str">
        <f>'Cleanup TMS'!J40</f>
        <v>US 301/SR 35</v>
      </c>
      <c r="I40" s="72" t="str">
        <f>'Cleanup TMS'!K40</f>
        <v>CR 101</v>
      </c>
      <c r="J40" s="70">
        <f>'Cleanup TMS'!L40</f>
        <v>2</v>
      </c>
      <c r="K40" s="70">
        <v>2</v>
      </c>
      <c r="L40" s="70" t="s">
        <v>646</v>
      </c>
      <c r="M40" s="70" t="s">
        <v>648</v>
      </c>
      <c r="N40" s="152" t="s">
        <v>651</v>
      </c>
      <c r="O40" s="152" t="s">
        <v>547</v>
      </c>
      <c r="P40" s="70" t="str">
        <f>'Cleanup TMS'!V40</f>
        <v>COUNTY</v>
      </c>
      <c r="Q40" s="70" t="str">
        <f>'Cleanup TMS'!W40</f>
        <v>UNINCORPORATED SUMTER COUNTY</v>
      </c>
      <c r="R40" s="70" t="s">
        <v>4</v>
      </c>
      <c r="S40" s="73">
        <f>IF('Cleanup TMS'!AO40=0,"-",'Cleanup TMS'!AO40)</f>
        <v>5110</v>
      </c>
      <c r="T40" s="73">
        <f>'Cleanup TMS'!AP40</f>
        <v>3208</v>
      </c>
      <c r="U40" s="71">
        <f>IF(OR('Cleanup TMS'!AQ40=0,'Cleanup TMS'!AQ40=""),"-",'Cleanup TMS'!AQ40)</f>
        <v>0.63</v>
      </c>
      <c r="V40" s="71" t="str">
        <f>IF(OR('Cleanup TMS'!AR40=0,'Cleanup TMS'!AR40=""),"-",'Cleanup TMS'!AR40)</f>
        <v>C</v>
      </c>
      <c r="W40" s="73">
        <f>IF('Cleanup TMS'!BB40=0,"-",'Cleanup TMS'!BB40)</f>
        <v>259</v>
      </c>
      <c r="X40" s="73">
        <f>'Cleanup TMS'!BC40</f>
        <v>108</v>
      </c>
      <c r="Y40" s="73">
        <f>'Cleanup TMS'!BD40</f>
        <v>242</v>
      </c>
      <c r="Z40" s="74">
        <f>IF(OR('Cleanup TMS'!BE40=0,'Cleanup TMS'!BE40=""),"-",'Cleanup TMS'!BE40)</f>
        <v>0.93</v>
      </c>
      <c r="AA40" s="74" t="str">
        <f>IF(OR('Cleanup TMS'!BF40=0,'Cleanup TMS'!BF40=""),"-",'Cleanup TMS'!BF40)</f>
        <v>C</v>
      </c>
      <c r="AB40" s="148">
        <f>IF(OR('Cleanup TMS'!BI40="",'Cleanup TMS'!BI40=0),"-",'Cleanup TMS'!BI40)</f>
        <v>2.75E-2</v>
      </c>
      <c r="AC40" s="73">
        <f>'Cleanup TMS'!BS40</f>
        <v>5110</v>
      </c>
      <c r="AD40" s="73">
        <f t="shared" si="0"/>
        <v>3674</v>
      </c>
      <c r="AE40" s="74">
        <f>IF(OR('Cleanup TMS'!BU40=0,'Cleanup TMS'!BU40=""),"-",'Cleanup TMS'!BU40)</f>
        <v>0.72</v>
      </c>
      <c r="AF40" s="74" t="str">
        <f>IF(OR('Cleanup TMS'!BV40=0,'Cleanup TMS'!BV40=""),"-",'Cleanup TMS'!BV40)</f>
        <v>C</v>
      </c>
      <c r="AG40" s="73">
        <f>'Cleanup TMS'!CF40</f>
        <v>259</v>
      </c>
      <c r="AH40" s="73">
        <f t="shared" si="1"/>
        <v>124</v>
      </c>
      <c r="AI40" s="73">
        <f t="shared" si="2"/>
        <v>277</v>
      </c>
      <c r="AJ40" s="71">
        <f>IF(OR('Cleanup TMS'!CI40=0,'Cleanup TMS'!CI40=""),"-",'Cleanup TMS'!CI40)</f>
        <v>1.07</v>
      </c>
      <c r="AK40" s="75" t="str">
        <f>IF(OR('Cleanup TMS'!CJ40=0,'Cleanup TMS'!CJ40=""),"-",'Cleanup TMS'!CJ40)</f>
        <v>D</v>
      </c>
    </row>
    <row r="41" spans="1:37" ht="18.75" customHeight="1">
      <c r="A41" s="69">
        <f>'Cleanup TMS'!A41</f>
        <v>3253100</v>
      </c>
      <c r="B41" s="70">
        <f>'Cleanup TMS'!B41</f>
        <v>85307</v>
      </c>
      <c r="C41" s="70">
        <f>IF('Cleanup TMS'!E41="","",'Cleanup TMS'!E41)</f>
        <v>85307</v>
      </c>
      <c r="D41" s="70" t="str">
        <f>'Cleanup TMS'!F41</f>
        <v>FDOT</v>
      </c>
      <c r="E41" s="70">
        <f>'Cleanup TMS'!G41</f>
        <v>60</v>
      </c>
      <c r="F41" s="71">
        <f>ROUND('Cleanup TMS'!H41,2)</f>
        <v>0.61</v>
      </c>
      <c r="G41" s="72" t="str">
        <f>'Cleanup TMS'!I41</f>
        <v>US 301/SR 35</v>
      </c>
      <c r="H41" s="72" t="str">
        <f>'Cleanup TMS'!J41</f>
        <v>HERNANDO COUNTY BOUNDARY</v>
      </c>
      <c r="I41" s="72" t="str">
        <f>'Cleanup TMS'!K41</f>
        <v>CR 656</v>
      </c>
      <c r="J41" s="70">
        <f>'Cleanup TMS'!L41</f>
        <v>2</v>
      </c>
      <c r="K41" s="70">
        <v>2</v>
      </c>
      <c r="L41" s="70" t="s">
        <v>647</v>
      </c>
      <c r="M41" s="70" t="s">
        <v>648</v>
      </c>
      <c r="N41" s="152" t="s">
        <v>652</v>
      </c>
      <c r="O41" s="152" t="s">
        <v>654</v>
      </c>
      <c r="P41" s="70" t="str">
        <f>'Cleanup TMS'!V41</f>
        <v>STATE</v>
      </c>
      <c r="Q41" s="70" t="str">
        <f>'Cleanup TMS'!W41</f>
        <v>UNINCORPORATED SUMTER COUNTY</v>
      </c>
      <c r="R41" s="70" t="s">
        <v>4</v>
      </c>
      <c r="S41" s="73">
        <f>IF('Cleanup TMS'!AO41=0,"-",'Cleanup TMS'!AO41)</f>
        <v>8600</v>
      </c>
      <c r="T41" s="73">
        <f>'Cleanup TMS'!AP41</f>
        <v>4560</v>
      </c>
      <c r="U41" s="71">
        <f>IF(OR('Cleanup TMS'!AQ41=0,'Cleanup TMS'!AQ41=""),"-",'Cleanup TMS'!AQ41)</f>
        <v>0.53</v>
      </c>
      <c r="V41" s="71" t="str">
        <f>IF(OR('Cleanup TMS'!AR41=0,'Cleanup TMS'!AR41=""),"-",'Cleanup TMS'!AR41)</f>
        <v>B</v>
      </c>
      <c r="W41" s="73">
        <f>IF('Cleanup TMS'!BB41=0,"-",'Cleanup TMS'!BB41)</f>
        <v>450</v>
      </c>
      <c r="X41" s="73">
        <f>'Cleanup TMS'!BC41</f>
        <v>188</v>
      </c>
      <c r="Y41" s="73">
        <f>'Cleanup TMS'!BD41</f>
        <v>222</v>
      </c>
      <c r="Z41" s="74">
        <f>IF(OR('Cleanup TMS'!BE41=0,'Cleanup TMS'!BE41=""),"-",'Cleanup TMS'!BE41)</f>
        <v>0.49</v>
      </c>
      <c r="AA41" s="74" t="str">
        <f>IF(OR('Cleanup TMS'!BF41=0,'Cleanup TMS'!BF41=""),"-",'Cleanup TMS'!BF41)</f>
        <v>B</v>
      </c>
      <c r="AB41" s="148">
        <f>IF(OR('Cleanup TMS'!BI41="",'Cleanup TMS'!BI41=0),"-",'Cleanup TMS'!BI41)</f>
        <v>0.01</v>
      </c>
      <c r="AC41" s="73">
        <f>'Cleanup TMS'!BS41</f>
        <v>8600</v>
      </c>
      <c r="AD41" s="73">
        <f t="shared" si="0"/>
        <v>4793</v>
      </c>
      <c r="AE41" s="74">
        <f>IF(OR('Cleanup TMS'!BU41=0,'Cleanup TMS'!BU41=""),"-",'Cleanup TMS'!BU41)</f>
        <v>0.56000000000000005</v>
      </c>
      <c r="AF41" s="74" t="str">
        <f>IF(OR('Cleanup TMS'!BV41=0,'Cleanup TMS'!BV41=""),"-",'Cleanup TMS'!BV41)</f>
        <v>C</v>
      </c>
      <c r="AG41" s="73">
        <f>'Cleanup TMS'!CF41</f>
        <v>450</v>
      </c>
      <c r="AH41" s="73">
        <f t="shared" si="1"/>
        <v>198</v>
      </c>
      <c r="AI41" s="73">
        <f t="shared" si="2"/>
        <v>233</v>
      </c>
      <c r="AJ41" s="71">
        <f>IF(OR('Cleanup TMS'!CI41=0,'Cleanup TMS'!CI41=""),"-",'Cleanup TMS'!CI41)</f>
        <v>0.52</v>
      </c>
      <c r="AK41" s="75" t="str">
        <f>IF(OR('Cleanup TMS'!CJ41=0,'Cleanup TMS'!CJ41=""),"-",'Cleanup TMS'!CJ41)</f>
        <v>B</v>
      </c>
    </row>
    <row r="42" spans="1:37" ht="18.75" customHeight="1">
      <c r="A42" s="69">
        <f>'Cleanup TMS'!A42</f>
        <v>3253110</v>
      </c>
      <c r="B42" s="70">
        <f>'Cleanup TMS'!B42</f>
        <v>180042</v>
      </c>
      <c r="C42" s="70">
        <f>IF('Cleanup TMS'!E42="","",'Cleanup TMS'!E42)</f>
        <v>180042</v>
      </c>
      <c r="D42" s="70" t="str">
        <f>'Cleanup TMS'!F42</f>
        <v>FDOT</v>
      </c>
      <c r="E42" s="70">
        <f>'Cleanup TMS'!G42</f>
        <v>30</v>
      </c>
      <c r="F42" s="71">
        <f>ROUND('Cleanup TMS'!H42,2)</f>
        <v>0.18</v>
      </c>
      <c r="G42" s="72" t="str">
        <f>'Cleanup TMS'!I42</f>
        <v>US 301/SR 35 (NOBLE AVE)</v>
      </c>
      <c r="H42" s="72" t="str">
        <f>'Cleanup TMS'!J42</f>
        <v>CR 48 (FLORIDA ST)</v>
      </c>
      <c r="I42" s="72" t="str">
        <f>'Cleanup TMS'!K42</f>
        <v>CR 476 (NOBLE AVE)</v>
      </c>
      <c r="J42" s="70">
        <f>'Cleanup TMS'!L42</f>
        <v>2</v>
      </c>
      <c r="K42" s="70">
        <v>2</v>
      </c>
      <c r="L42" s="70" t="s">
        <v>647</v>
      </c>
      <c r="M42" s="70" t="s">
        <v>648</v>
      </c>
      <c r="N42" s="152" t="s">
        <v>651</v>
      </c>
      <c r="O42" s="152" t="s">
        <v>547</v>
      </c>
      <c r="P42" s="70" t="str">
        <f>'Cleanup TMS'!V42</f>
        <v>STATE</v>
      </c>
      <c r="Q42" s="70" t="str">
        <f>'Cleanup TMS'!W42</f>
        <v>BUSHNELL</v>
      </c>
      <c r="R42" s="70" t="s">
        <v>4</v>
      </c>
      <c r="S42" s="73">
        <f>IF('Cleanup TMS'!AO42=0,"-",'Cleanup TMS'!AO42)</f>
        <v>10320</v>
      </c>
      <c r="T42" s="73">
        <f>'Cleanup TMS'!AP42</f>
        <v>3770</v>
      </c>
      <c r="U42" s="71">
        <f>IF(OR('Cleanup TMS'!AQ42=0,'Cleanup TMS'!AQ42=""),"-",'Cleanup TMS'!AQ42)</f>
        <v>0.37</v>
      </c>
      <c r="V42" s="71" t="str">
        <f>IF(OR('Cleanup TMS'!AR42=0,'Cleanup TMS'!AR42=""),"-",'Cleanup TMS'!AR42)</f>
        <v>C</v>
      </c>
      <c r="W42" s="73">
        <f>IF('Cleanup TMS'!BB42=0,"-",'Cleanup TMS'!BB42)</f>
        <v>536</v>
      </c>
      <c r="X42" s="73">
        <f>'Cleanup TMS'!BC42</f>
        <v>190</v>
      </c>
      <c r="Y42" s="73">
        <f>'Cleanup TMS'!BD42</f>
        <v>168</v>
      </c>
      <c r="Z42" s="74">
        <f>IF(OR('Cleanup TMS'!BE42=0,'Cleanup TMS'!BE42=""),"-",'Cleanup TMS'!BE42)</f>
        <v>0.35</v>
      </c>
      <c r="AA42" s="74" t="str">
        <f>IF(OR('Cleanup TMS'!BF42=0,'Cleanup TMS'!BF42=""),"-",'Cleanup TMS'!BF42)</f>
        <v>C</v>
      </c>
      <c r="AB42" s="148">
        <f>IF(OR('Cleanup TMS'!BI42="",'Cleanup TMS'!BI42=0),"-",'Cleanup TMS'!BI42)</f>
        <v>0.01</v>
      </c>
      <c r="AC42" s="73">
        <f>'Cleanup TMS'!BS42</f>
        <v>10320</v>
      </c>
      <c r="AD42" s="73">
        <f t="shared" si="0"/>
        <v>3962</v>
      </c>
      <c r="AE42" s="74">
        <f>IF(OR('Cleanup TMS'!BU42=0,'Cleanup TMS'!BU42=""),"-",'Cleanup TMS'!BU42)</f>
        <v>0.38</v>
      </c>
      <c r="AF42" s="74" t="str">
        <f>IF(OR('Cleanup TMS'!BV42=0,'Cleanup TMS'!BV42=""),"-",'Cleanup TMS'!BV42)</f>
        <v>C</v>
      </c>
      <c r="AG42" s="73">
        <f>'Cleanup TMS'!CF42</f>
        <v>536</v>
      </c>
      <c r="AH42" s="73">
        <f t="shared" si="1"/>
        <v>200</v>
      </c>
      <c r="AI42" s="73">
        <f t="shared" si="2"/>
        <v>177</v>
      </c>
      <c r="AJ42" s="71">
        <f>IF(OR('Cleanup TMS'!CI42=0,'Cleanup TMS'!CI42=""),"-",'Cleanup TMS'!CI42)</f>
        <v>0.37</v>
      </c>
      <c r="AK42" s="75" t="str">
        <f>IF(OR('Cleanup TMS'!CJ42=0,'Cleanup TMS'!CJ42=""),"-",'Cleanup TMS'!CJ42)</f>
        <v>C</v>
      </c>
    </row>
    <row r="43" spans="1:37" ht="18.75" customHeight="1">
      <c r="A43" s="69">
        <f>'Cleanup TMS'!A43</f>
        <v>3253130</v>
      </c>
      <c r="B43" s="70">
        <f>'Cleanup TMS'!B43</f>
        <v>180117</v>
      </c>
      <c r="C43" s="70">
        <f>IF('Cleanup TMS'!E43="","",'Cleanup TMS'!E43)</f>
        <v>180117</v>
      </c>
      <c r="D43" s="70" t="str">
        <f>'Cleanup TMS'!F43</f>
        <v>FDOT</v>
      </c>
      <c r="E43" s="70">
        <f>'Cleanup TMS'!G43</f>
        <v>30</v>
      </c>
      <c r="F43" s="71">
        <f>ROUND('Cleanup TMS'!H43,2)</f>
        <v>0.13</v>
      </c>
      <c r="G43" s="72" t="str">
        <f>'Cleanup TMS'!I43</f>
        <v>US 301/SR 35 (NOBLE AVE)</v>
      </c>
      <c r="H43" s="72" t="str">
        <f>'Cleanup TMS'!J43</f>
        <v>SR 48 (MAIN ST)</v>
      </c>
      <c r="I43" s="72" t="str">
        <f>'Cleanup TMS'!K43</f>
        <v>CR 48 (FLORIDA ST)</v>
      </c>
      <c r="J43" s="70">
        <f>'Cleanup TMS'!L43</f>
        <v>2</v>
      </c>
      <c r="K43" s="70">
        <v>2</v>
      </c>
      <c r="L43" s="70" t="s">
        <v>646</v>
      </c>
      <c r="M43" s="70" t="s">
        <v>648</v>
      </c>
      <c r="N43" s="152" t="s">
        <v>651</v>
      </c>
      <c r="O43" s="152" t="s">
        <v>547</v>
      </c>
      <c r="P43" s="70" t="str">
        <f>'Cleanup TMS'!V43</f>
        <v>STATE</v>
      </c>
      <c r="Q43" s="70" t="str">
        <f>'Cleanup TMS'!W43</f>
        <v>BUSHNELL</v>
      </c>
      <c r="R43" s="70" t="s">
        <v>5</v>
      </c>
      <c r="S43" s="73">
        <f>IF('Cleanup TMS'!AO43=0,"-",'Cleanup TMS'!AO43)</f>
        <v>11840</v>
      </c>
      <c r="T43" s="73">
        <f>'Cleanup TMS'!AP43</f>
        <v>8820</v>
      </c>
      <c r="U43" s="71">
        <f>IF(OR('Cleanup TMS'!AQ43=0,'Cleanup TMS'!AQ43=""),"-",'Cleanup TMS'!AQ43)</f>
        <v>0.74</v>
      </c>
      <c r="V43" s="71" t="str">
        <f>IF(OR('Cleanup TMS'!AR43=0,'Cleanup TMS'!AR43=""),"-",'Cleanup TMS'!AR43)</f>
        <v>D</v>
      </c>
      <c r="W43" s="73">
        <f>IF('Cleanup TMS'!BB43=0,"-",'Cleanup TMS'!BB43)</f>
        <v>600</v>
      </c>
      <c r="X43" s="73">
        <f>'Cleanup TMS'!BC43</f>
        <v>304</v>
      </c>
      <c r="Y43" s="73">
        <f>'Cleanup TMS'!BD43</f>
        <v>403</v>
      </c>
      <c r="Z43" s="74">
        <f>IF(OR('Cleanup TMS'!BE43=0,'Cleanup TMS'!BE43=""),"-",'Cleanup TMS'!BE43)</f>
        <v>0.67</v>
      </c>
      <c r="AA43" s="74" t="str">
        <f>IF(OR('Cleanup TMS'!BF43=0,'Cleanup TMS'!BF43=""),"-",'Cleanup TMS'!BF43)</f>
        <v>D</v>
      </c>
      <c r="AB43" s="148">
        <f>IF(OR('Cleanup TMS'!BI43="",'Cleanup TMS'!BI43=0),"-",'Cleanup TMS'!BI43)</f>
        <v>0.01</v>
      </c>
      <c r="AC43" s="73">
        <f>'Cleanup TMS'!BS43</f>
        <v>11840</v>
      </c>
      <c r="AD43" s="73">
        <f t="shared" si="0"/>
        <v>9270</v>
      </c>
      <c r="AE43" s="74">
        <f>IF(OR('Cleanup TMS'!BU43=0,'Cleanup TMS'!BU43=""),"-",'Cleanup TMS'!BU43)</f>
        <v>0.78</v>
      </c>
      <c r="AF43" s="74" t="str">
        <f>IF(OR('Cleanup TMS'!BV43=0,'Cleanup TMS'!BV43=""),"-",'Cleanup TMS'!BV43)</f>
        <v>D</v>
      </c>
      <c r="AG43" s="73">
        <f>'Cleanup TMS'!CF43</f>
        <v>600</v>
      </c>
      <c r="AH43" s="73">
        <f t="shared" si="1"/>
        <v>320</v>
      </c>
      <c r="AI43" s="73">
        <f t="shared" si="2"/>
        <v>424</v>
      </c>
      <c r="AJ43" s="71">
        <f>IF(OR('Cleanup TMS'!CI43=0,'Cleanup TMS'!CI43=""),"-",'Cleanup TMS'!CI43)</f>
        <v>0.71</v>
      </c>
      <c r="AK43" s="75" t="str">
        <f>IF(OR('Cleanup TMS'!CJ43=0,'Cleanup TMS'!CJ43=""),"-",'Cleanup TMS'!CJ43)</f>
        <v>D</v>
      </c>
    </row>
    <row r="44" spans="1:37" ht="18.75" customHeight="1">
      <c r="A44" s="69">
        <f>'Cleanup TMS'!A44</f>
        <v>3253140</v>
      </c>
      <c r="B44" s="70">
        <f>'Cleanup TMS'!B44</f>
        <v>180112</v>
      </c>
      <c r="C44" s="70">
        <f>IF('Cleanup TMS'!E44="","",'Cleanup TMS'!E44)</f>
        <v>180112</v>
      </c>
      <c r="D44" s="70" t="str">
        <f>'Cleanup TMS'!F44</f>
        <v>FDOT</v>
      </c>
      <c r="E44" s="70">
        <f>'Cleanup TMS'!G44</f>
        <v>60</v>
      </c>
      <c r="F44" s="71">
        <f>ROUND('Cleanup TMS'!H44,2)</f>
        <v>3.01</v>
      </c>
      <c r="G44" s="72" t="str">
        <f>'Cleanup TMS'!I44</f>
        <v>US 301/SR 35</v>
      </c>
      <c r="H44" s="72" t="str">
        <f>'Cleanup TMS'!J44</f>
        <v>CR 478</v>
      </c>
      <c r="I44" s="72" t="str">
        <f>'Cleanup TMS'!K44</f>
        <v>CR 476 (SEMINOLE AVE)</v>
      </c>
      <c r="J44" s="70">
        <f>'Cleanup TMS'!L44</f>
        <v>2</v>
      </c>
      <c r="K44" s="70">
        <v>2</v>
      </c>
      <c r="L44" s="70" t="s">
        <v>646</v>
      </c>
      <c r="M44" s="70" t="s">
        <v>648</v>
      </c>
      <c r="N44" s="152" t="s">
        <v>651</v>
      </c>
      <c r="O44" s="152" t="s">
        <v>547</v>
      </c>
      <c r="P44" s="70" t="str">
        <f>'Cleanup TMS'!V44</f>
        <v>STATE</v>
      </c>
      <c r="Q44" s="70" t="str">
        <f>'Cleanup TMS'!W44</f>
        <v>BUSHNELL</v>
      </c>
      <c r="R44" s="70" t="s">
        <v>5</v>
      </c>
      <c r="S44" s="73">
        <f>IF('Cleanup TMS'!AO44=0,"-",'Cleanup TMS'!AO44)</f>
        <v>14160</v>
      </c>
      <c r="T44" s="73">
        <f>'Cleanup TMS'!AP44</f>
        <v>6400</v>
      </c>
      <c r="U44" s="71">
        <f>IF(OR('Cleanup TMS'!AQ44=0,'Cleanup TMS'!AQ44=""),"-",'Cleanup TMS'!AQ44)</f>
        <v>0.45</v>
      </c>
      <c r="V44" s="71" t="str">
        <f>IF(OR('Cleanup TMS'!AR44=0,'Cleanup TMS'!AR44=""),"-",'Cleanup TMS'!AR44)</f>
        <v>C</v>
      </c>
      <c r="W44" s="73">
        <f>IF('Cleanup TMS'!BB44=0,"-",'Cleanup TMS'!BB44)</f>
        <v>704</v>
      </c>
      <c r="X44" s="73">
        <f>'Cleanup TMS'!BC44</f>
        <v>322</v>
      </c>
      <c r="Y44" s="73">
        <f>'Cleanup TMS'!BD44</f>
        <v>286</v>
      </c>
      <c r="Z44" s="74">
        <f>IF(OR('Cleanup TMS'!BE44=0,'Cleanup TMS'!BE44=""),"-",'Cleanup TMS'!BE44)</f>
        <v>0.46</v>
      </c>
      <c r="AA44" s="74" t="str">
        <f>IF(OR('Cleanup TMS'!BF44=0,'Cleanup TMS'!BF44=""),"-",'Cleanup TMS'!BF44)</f>
        <v>C</v>
      </c>
      <c r="AB44" s="148">
        <f>IF(OR('Cleanup TMS'!BI44="",'Cleanup TMS'!BI44=0),"-",'Cleanup TMS'!BI44)</f>
        <v>0.01</v>
      </c>
      <c r="AC44" s="73">
        <f>'Cleanup TMS'!BS44</f>
        <v>14160</v>
      </c>
      <c r="AD44" s="73">
        <f t="shared" si="0"/>
        <v>6726</v>
      </c>
      <c r="AE44" s="74">
        <f>IF(OR('Cleanup TMS'!BU44=0,'Cleanup TMS'!BU44=""),"-",'Cleanup TMS'!BU44)</f>
        <v>0.48</v>
      </c>
      <c r="AF44" s="74" t="str">
        <f>IF(OR('Cleanup TMS'!BV44=0,'Cleanup TMS'!BV44=""),"-",'Cleanup TMS'!BV44)</f>
        <v>C</v>
      </c>
      <c r="AG44" s="73">
        <f>'Cleanup TMS'!CF44</f>
        <v>704</v>
      </c>
      <c r="AH44" s="73">
        <f t="shared" si="1"/>
        <v>338</v>
      </c>
      <c r="AI44" s="73">
        <f t="shared" si="2"/>
        <v>301</v>
      </c>
      <c r="AJ44" s="71">
        <f>IF(OR('Cleanup TMS'!CI44=0,'Cleanup TMS'!CI44=""),"-",'Cleanup TMS'!CI44)</f>
        <v>0.48</v>
      </c>
      <c r="AK44" s="75" t="str">
        <f>IF(OR('Cleanup TMS'!CJ44=0,'Cleanup TMS'!CJ44=""),"-",'Cleanup TMS'!CJ44)</f>
        <v>C</v>
      </c>
    </row>
    <row r="45" spans="1:37" ht="18.75" customHeight="1">
      <c r="A45" s="69">
        <f>'Cleanup TMS'!A45</f>
        <v>3253150</v>
      </c>
      <c r="B45" s="70">
        <f>'Cleanup TMS'!B45</f>
        <v>180117</v>
      </c>
      <c r="C45" s="70">
        <f>IF('Cleanup TMS'!E45="","",'Cleanup TMS'!E45)</f>
        <v>180117</v>
      </c>
      <c r="D45" s="70" t="str">
        <f>'Cleanup TMS'!F45</f>
        <v>FDOT</v>
      </c>
      <c r="E45" s="70">
        <f>'Cleanup TMS'!G45</f>
        <v>45</v>
      </c>
      <c r="F45" s="71">
        <f>ROUND('Cleanup TMS'!H45,2)</f>
        <v>0.53</v>
      </c>
      <c r="G45" s="72" t="str">
        <f>'Cleanup TMS'!I45</f>
        <v>US 301/SR 35</v>
      </c>
      <c r="H45" s="72" t="str">
        <f>'Cleanup TMS'!J45</f>
        <v>CR 476 (SEMINOLE AVE)</v>
      </c>
      <c r="I45" s="72" t="str">
        <f>'Cleanup TMS'!K45</f>
        <v>SR 48 (MAIN ST)</v>
      </c>
      <c r="J45" s="70">
        <f>'Cleanup TMS'!L45</f>
        <v>4</v>
      </c>
      <c r="K45" s="70">
        <v>4</v>
      </c>
      <c r="L45" s="70" t="s">
        <v>646</v>
      </c>
      <c r="M45" s="70" t="s">
        <v>648</v>
      </c>
      <c r="N45" s="152" t="s">
        <v>651</v>
      </c>
      <c r="O45" s="152" t="s">
        <v>547</v>
      </c>
      <c r="P45" s="70" t="str">
        <f>'Cleanup TMS'!V45</f>
        <v>STATE</v>
      </c>
      <c r="Q45" s="70" t="str">
        <f>'Cleanup TMS'!W45</f>
        <v>BUSHNELL</v>
      </c>
      <c r="R45" s="70" t="s">
        <v>5</v>
      </c>
      <c r="S45" s="73">
        <f>IF('Cleanup TMS'!AO45=0,"-",'Cleanup TMS'!AO45)</f>
        <v>37810</v>
      </c>
      <c r="T45" s="73">
        <f>'Cleanup TMS'!AP45</f>
        <v>8820</v>
      </c>
      <c r="U45" s="71">
        <f>IF(OR('Cleanup TMS'!AQ45=0,'Cleanup TMS'!AQ45=""),"-",'Cleanup TMS'!AQ45)</f>
        <v>0.23</v>
      </c>
      <c r="V45" s="71" t="str">
        <f>IF(OR('Cleanup TMS'!AR45=0,'Cleanup TMS'!AR45=""),"-",'Cleanup TMS'!AR45)</f>
        <v>C</v>
      </c>
      <c r="W45" s="73">
        <f>IF('Cleanup TMS'!BB45=0,"-",'Cleanup TMS'!BB45)</f>
        <v>1900</v>
      </c>
      <c r="X45" s="73">
        <f>'Cleanup TMS'!BC45</f>
        <v>304</v>
      </c>
      <c r="Y45" s="73">
        <f>'Cleanup TMS'!BD45</f>
        <v>403</v>
      </c>
      <c r="Z45" s="74">
        <f>IF(OR('Cleanup TMS'!BE45=0,'Cleanup TMS'!BE45=""),"-",'Cleanup TMS'!BE45)</f>
        <v>0.21</v>
      </c>
      <c r="AA45" s="74" t="str">
        <f>IF(OR('Cleanup TMS'!BF45=0,'Cleanup TMS'!BF45=""),"-",'Cleanup TMS'!BF45)</f>
        <v>C</v>
      </c>
      <c r="AB45" s="148">
        <f>IF(OR('Cleanup TMS'!BI45="",'Cleanup TMS'!BI45=0),"-",'Cleanup TMS'!BI45)</f>
        <v>0.01</v>
      </c>
      <c r="AC45" s="73">
        <f>'Cleanup TMS'!BS45</f>
        <v>37810</v>
      </c>
      <c r="AD45" s="73">
        <f t="shared" si="0"/>
        <v>9270</v>
      </c>
      <c r="AE45" s="74">
        <f>IF(OR('Cleanup TMS'!BU45=0,'Cleanup TMS'!BU45=""),"-",'Cleanup TMS'!BU45)</f>
        <v>0.25</v>
      </c>
      <c r="AF45" s="74" t="str">
        <f>IF(OR('Cleanup TMS'!BV45=0,'Cleanup TMS'!BV45=""),"-",'Cleanup TMS'!BV45)</f>
        <v>C</v>
      </c>
      <c r="AG45" s="73">
        <f>'Cleanup TMS'!CF45</f>
        <v>1900</v>
      </c>
      <c r="AH45" s="73">
        <f t="shared" si="1"/>
        <v>320</v>
      </c>
      <c r="AI45" s="73">
        <f t="shared" si="2"/>
        <v>424</v>
      </c>
      <c r="AJ45" s="71">
        <f>IF(OR('Cleanup TMS'!CI45=0,'Cleanup TMS'!CI45=""),"-",'Cleanup TMS'!CI45)</f>
        <v>0.22</v>
      </c>
      <c r="AK45" s="75" t="str">
        <f>IF(OR('Cleanup TMS'!CJ45=0,'Cleanup TMS'!CJ45=""),"-",'Cleanup TMS'!CJ45)</f>
        <v>C</v>
      </c>
    </row>
    <row r="46" spans="1:37" ht="18.75" customHeight="1">
      <c r="A46" s="69">
        <f>'Cleanup TMS'!A46</f>
        <v>3253170</v>
      </c>
      <c r="B46" s="70">
        <f>'Cleanup TMS'!B46</f>
        <v>180088</v>
      </c>
      <c r="C46" s="70">
        <f>IF('Cleanup TMS'!E46="","",'Cleanup TMS'!E46)</f>
        <v>180088</v>
      </c>
      <c r="D46" s="70" t="str">
        <f>'Cleanup TMS'!F46</f>
        <v>FDOT</v>
      </c>
      <c r="E46" s="70">
        <f>'Cleanup TMS'!G46</f>
        <v>45</v>
      </c>
      <c r="F46" s="71">
        <f>ROUND('Cleanup TMS'!H46,2)</f>
        <v>0.45</v>
      </c>
      <c r="G46" s="72" t="str">
        <f>'Cleanup TMS'!I46</f>
        <v>US 301/SR 35</v>
      </c>
      <c r="H46" s="72" t="str">
        <f>'Cleanup TMS'!J46</f>
        <v>CR 470 E (S)</v>
      </c>
      <c r="I46" s="72" t="str">
        <f>'Cleanup TMS'!K46</f>
        <v>SR 471</v>
      </c>
      <c r="J46" s="70">
        <f>'Cleanup TMS'!L46</f>
        <v>2</v>
      </c>
      <c r="K46" s="70">
        <v>2</v>
      </c>
      <c r="L46" s="70" t="s">
        <v>646</v>
      </c>
      <c r="M46" s="70" t="s">
        <v>648</v>
      </c>
      <c r="N46" s="152" t="s">
        <v>651</v>
      </c>
      <c r="O46" s="152" t="s">
        <v>547</v>
      </c>
      <c r="P46" s="70" t="str">
        <f>'Cleanup TMS'!V46</f>
        <v>STATE</v>
      </c>
      <c r="Q46" s="70" t="str">
        <f>'Cleanup TMS'!W46</f>
        <v>UNINCORPORATED SUMTER COUNTY</v>
      </c>
      <c r="R46" s="70" t="s">
        <v>5</v>
      </c>
      <c r="S46" s="73">
        <f>IF('Cleanup TMS'!AO46=0,"-",'Cleanup TMS'!AO46)</f>
        <v>18585</v>
      </c>
      <c r="T46" s="73">
        <f>'Cleanup TMS'!AP46</f>
        <v>4850</v>
      </c>
      <c r="U46" s="71">
        <f>IF(OR('Cleanup TMS'!AQ46=0,'Cleanup TMS'!AQ46=""),"-",'Cleanup TMS'!AQ46)</f>
        <v>0.26</v>
      </c>
      <c r="V46" s="71" t="str">
        <f>IF(OR('Cleanup TMS'!AR46=0,'Cleanup TMS'!AR46=""),"-",'Cleanup TMS'!AR46)</f>
        <v>C</v>
      </c>
      <c r="W46" s="73">
        <f>IF('Cleanup TMS'!BB46=0,"-",'Cleanup TMS'!BB46)</f>
        <v>924</v>
      </c>
      <c r="X46" s="73">
        <f>'Cleanup TMS'!BC46</f>
        <v>244</v>
      </c>
      <c r="Y46" s="73">
        <f>'Cleanup TMS'!BD46</f>
        <v>217</v>
      </c>
      <c r="Z46" s="74">
        <f>IF(OR('Cleanup TMS'!BE46=0,'Cleanup TMS'!BE46=""),"-",'Cleanup TMS'!BE46)</f>
        <v>0.26</v>
      </c>
      <c r="AA46" s="74" t="str">
        <f>IF(OR('Cleanup TMS'!BF46=0,'Cleanup TMS'!BF46=""),"-",'Cleanup TMS'!BF46)</f>
        <v>C</v>
      </c>
      <c r="AB46" s="148">
        <f>IF(OR('Cleanup TMS'!BI46="",'Cleanup TMS'!BI46=0),"-",'Cleanup TMS'!BI46)</f>
        <v>0.01</v>
      </c>
      <c r="AC46" s="73">
        <f>'Cleanup TMS'!BS46</f>
        <v>18585</v>
      </c>
      <c r="AD46" s="73">
        <f t="shared" si="0"/>
        <v>5097</v>
      </c>
      <c r="AE46" s="74">
        <f>IF(OR('Cleanup TMS'!BU46=0,'Cleanup TMS'!BU46=""),"-",'Cleanup TMS'!BU46)</f>
        <v>0.27</v>
      </c>
      <c r="AF46" s="74" t="str">
        <f>IF(OR('Cleanup TMS'!BV46=0,'Cleanup TMS'!BV46=""),"-",'Cleanup TMS'!BV46)</f>
        <v>C</v>
      </c>
      <c r="AG46" s="73">
        <f>'Cleanup TMS'!CF46</f>
        <v>924</v>
      </c>
      <c r="AH46" s="73">
        <f t="shared" si="1"/>
        <v>256</v>
      </c>
      <c r="AI46" s="73">
        <f t="shared" si="2"/>
        <v>228</v>
      </c>
      <c r="AJ46" s="71">
        <f>IF(OR('Cleanup TMS'!CI46=0,'Cleanup TMS'!CI46=""),"-",'Cleanup TMS'!CI46)</f>
        <v>0.28000000000000003</v>
      </c>
      <c r="AK46" s="75" t="str">
        <f>IF(OR('Cleanup TMS'!CJ46=0,'Cleanup TMS'!CJ46=""),"-",'Cleanup TMS'!CJ46)</f>
        <v>C</v>
      </c>
    </row>
    <row r="47" spans="1:37" ht="18.75" customHeight="1">
      <c r="A47" s="69">
        <f>'Cleanup TMS'!A47</f>
        <v>3253180</v>
      </c>
      <c r="B47" s="70">
        <f>'Cleanup TMS'!B47</f>
        <v>180083</v>
      </c>
      <c r="C47" s="70">
        <f>IF('Cleanup TMS'!E47="","",'Cleanup TMS'!E47)</f>
        <v>180083</v>
      </c>
      <c r="D47" s="70" t="str">
        <f>'Cleanup TMS'!F47</f>
        <v>FDOT</v>
      </c>
      <c r="E47" s="70">
        <f>'Cleanup TMS'!G47</f>
        <v>45</v>
      </c>
      <c r="F47" s="71">
        <f>ROUND('Cleanup TMS'!H47,2)</f>
        <v>0.11</v>
      </c>
      <c r="G47" s="72" t="str">
        <f>'Cleanup TMS'!I47</f>
        <v>US 301/SR 35</v>
      </c>
      <c r="H47" s="72" t="str">
        <f>'Cleanup TMS'!J47</f>
        <v>SR 471</v>
      </c>
      <c r="I47" s="72" t="str">
        <f>'Cleanup TMS'!K47</f>
        <v>CR 470 E (N)</v>
      </c>
      <c r="J47" s="70">
        <f>'Cleanup TMS'!L47</f>
        <v>2</v>
      </c>
      <c r="K47" s="70">
        <v>2</v>
      </c>
      <c r="L47" s="70" t="s">
        <v>646</v>
      </c>
      <c r="M47" s="70" t="s">
        <v>648</v>
      </c>
      <c r="N47" s="152" t="s">
        <v>651</v>
      </c>
      <c r="O47" s="152" t="s">
        <v>547</v>
      </c>
      <c r="P47" s="70" t="str">
        <f>'Cleanup TMS'!V47</f>
        <v>STATE</v>
      </c>
      <c r="Q47" s="70" t="str">
        <f>'Cleanup TMS'!W47</f>
        <v>UNINCORPORATED SUMTER COUNTY</v>
      </c>
      <c r="R47" s="70" t="s">
        <v>5</v>
      </c>
      <c r="S47" s="73">
        <f>IF('Cleanup TMS'!AO47=0,"-",'Cleanup TMS'!AO47)</f>
        <v>18585</v>
      </c>
      <c r="T47" s="73">
        <f>'Cleanup TMS'!AP47</f>
        <v>16640</v>
      </c>
      <c r="U47" s="71">
        <f>IF(OR('Cleanup TMS'!AQ47=0,'Cleanup TMS'!AQ47=""),"-",'Cleanup TMS'!AQ47)</f>
        <v>0.9</v>
      </c>
      <c r="V47" s="71" t="str">
        <f>IF(OR('Cleanup TMS'!AR47=0,'Cleanup TMS'!AR47=""),"-",'Cleanup TMS'!AR47)</f>
        <v>C</v>
      </c>
      <c r="W47" s="73">
        <f>IF('Cleanup TMS'!BB47=0,"-",'Cleanup TMS'!BB47)</f>
        <v>924</v>
      </c>
      <c r="X47" s="73">
        <f>'Cleanup TMS'!BC47</f>
        <v>838</v>
      </c>
      <c r="Y47" s="73">
        <f>'Cleanup TMS'!BD47</f>
        <v>743</v>
      </c>
      <c r="Z47" s="74">
        <f>IF(OR('Cleanup TMS'!BE47=0,'Cleanup TMS'!BE47=""),"-",'Cleanup TMS'!BE47)</f>
        <v>0.91</v>
      </c>
      <c r="AA47" s="74" t="str">
        <f>IF(OR('Cleanup TMS'!BF47=0,'Cleanup TMS'!BF47=""),"-",'Cleanup TMS'!BF47)</f>
        <v>C</v>
      </c>
      <c r="AB47" s="148">
        <f>IF(OR('Cleanup TMS'!BI47="",'Cleanup TMS'!BI47=0),"-",'Cleanup TMS'!BI47)</f>
        <v>0.05</v>
      </c>
      <c r="AC47" s="73">
        <f>'Cleanup TMS'!BS47</f>
        <v>18585</v>
      </c>
      <c r="AD47" s="73">
        <f t="shared" si="0"/>
        <v>21237</v>
      </c>
      <c r="AE47" s="74">
        <f>IF(OR('Cleanup TMS'!BU47=0,'Cleanup TMS'!BU47=""),"-",'Cleanup TMS'!BU47)</f>
        <v>1.1399999999999999</v>
      </c>
      <c r="AF47" s="74" t="str">
        <f>IF(OR('Cleanup TMS'!BV47=0,'Cleanup TMS'!BV47=""),"-",'Cleanup TMS'!BV47)</f>
        <v>F</v>
      </c>
      <c r="AG47" s="73">
        <f>'Cleanup TMS'!CF47</f>
        <v>924</v>
      </c>
      <c r="AH47" s="73">
        <f t="shared" si="1"/>
        <v>1070</v>
      </c>
      <c r="AI47" s="73">
        <f t="shared" si="2"/>
        <v>948</v>
      </c>
      <c r="AJ47" s="71">
        <f>IF(OR('Cleanup TMS'!CI47=0,'Cleanup TMS'!CI47=""),"-",'Cleanup TMS'!CI47)</f>
        <v>1.1599999999999999</v>
      </c>
      <c r="AK47" s="75" t="str">
        <f>IF(OR('Cleanup TMS'!CJ47=0,'Cleanup TMS'!CJ47=""),"-",'Cleanup TMS'!CJ47)</f>
        <v>F</v>
      </c>
    </row>
    <row r="48" spans="1:37" ht="18.75" customHeight="1">
      <c r="A48" s="69">
        <f>'Cleanup TMS'!A48</f>
        <v>3253190</v>
      </c>
      <c r="B48" s="70">
        <f>'Cleanup TMS'!B48</f>
        <v>180041</v>
      </c>
      <c r="C48" s="70">
        <f>IF('Cleanup TMS'!E48="","",'Cleanup TMS'!E48)</f>
        <v>180041</v>
      </c>
      <c r="D48" s="70" t="str">
        <f>'Cleanup TMS'!F48</f>
        <v>FDOT</v>
      </c>
      <c r="E48" s="70">
        <f>'Cleanup TMS'!G48</f>
        <v>35</v>
      </c>
      <c r="F48" s="71">
        <f>ROUND('Cleanup TMS'!H48,2)</f>
        <v>3.06</v>
      </c>
      <c r="G48" s="72" t="str">
        <f>'Cleanup TMS'!I48</f>
        <v>US 301/SR 35</v>
      </c>
      <c r="H48" s="262" t="str">
        <f>'Cleanup TMS'!J48</f>
        <v>CR 470 E (N)</v>
      </c>
      <c r="I48" s="262" t="str">
        <f>'Cleanup TMS'!K48</f>
        <v>CR 514 (WARM SPRINGS AVE)</v>
      </c>
      <c r="J48" s="70">
        <f>'Cleanup TMS'!L48</f>
        <v>2</v>
      </c>
      <c r="K48" s="70">
        <v>2</v>
      </c>
      <c r="L48" s="70" t="s">
        <v>646</v>
      </c>
      <c r="M48" s="70" t="s">
        <v>648</v>
      </c>
      <c r="N48" s="152" t="s">
        <v>651</v>
      </c>
      <c r="O48" s="152" t="s">
        <v>547</v>
      </c>
      <c r="P48" s="70" t="str">
        <f>'Cleanup TMS'!V48</f>
        <v>STATE</v>
      </c>
      <c r="Q48" s="70" t="str">
        <f>'Cleanup TMS'!W48</f>
        <v>COLEMAN</v>
      </c>
      <c r="R48" s="70" t="s">
        <v>5</v>
      </c>
      <c r="S48" s="73">
        <f>IF('Cleanup TMS'!AO48=0,"-",'Cleanup TMS'!AO48)</f>
        <v>15540</v>
      </c>
      <c r="T48" s="73">
        <f>'Cleanup TMS'!AP48</f>
        <v>8831.428571428638</v>
      </c>
      <c r="U48" s="71">
        <f>IF(OR('Cleanup TMS'!AQ48=0,'Cleanup TMS'!AQ48=""),"-",'Cleanup TMS'!AQ48)</f>
        <v>0.56999999999999995</v>
      </c>
      <c r="V48" s="71" t="str">
        <f>IF(OR('Cleanup TMS'!AR48=0,'Cleanup TMS'!AR48=""),"-",'Cleanup TMS'!AR48)</f>
        <v>D</v>
      </c>
      <c r="W48" s="73">
        <f>IF('Cleanup TMS'!BB48=0,"-",'Cleanup TMS'!BB48)</f>
        <v>788</v>
      </c>
      <c r="X48" s="73">
        <f>'Cleanup TMS'!BC48</f>
        <v>445</v>
      </c>
      <c r="Y48" s="73">
        <f>'Cleanup TMS'!BD48</f>
        <v>394</v>
      </c>
      <c r="Z48" s="74">
        <f>IF(OR('Cleanup TMS'!BE48=0,'Cleanup TMS'!BE48=""),"-",'Cleanup TMS'!BE48)</f>
        <v>0.56000000000000005</v>
      </c>
      <c r="AA48" s="74" t="str">
        <f>IF(OR('Cleanup TMS'!BF48=0,'Cleanup TMS'!BF48=""),"-",'Cleanup TMS'!BF48)</f>
        <v>D</v>
      </c>
      <c r="AB48" s="148">
        <f>IF(OR('Cleanup TMS'!BI48="",'Cleanup TMS'!BI48=0),"-",'Cleanup TMS'!BI48)</f>
        <v>0.01</v>
      </c>
      <c r="AC48" s="73">
        <f>'Cleanup TMS'!BS48</f>
        <v>15540</v>
      </c>
      <c r="AD48" s="73">
        <f t="shared" si="0"/>
        <v>9282</v>
      </c>
      <c r="AE48" s="74">
        <f>IF(OR('Cleanup TMS'!BU48=0,'Cleanup TMS'!BU48=""),"-",'Cleanup TMS'!BU48)</f>
        <v>0.6</v>
      </c>
      <c r="AF48" s="74" t="str">
        <f>IF(OR('Cleanup TMS'!BV48=0,'Cleanup TMS'!BV48=""),"-",'Cleanup TMS'!BV48)</f>
        <v>D</v>
      </c>
      <c r="AG48" s="73">
        <f>'Cleanup TMS'!CF48</f>
        <v>788</v>
      </c>
      <c r="AH48" s="73">
        <f t="shared" si="1"/>
        <v>468</v>
      </c>
      <c r="AI48" s="73">
        <f t="shared" si="2"/>
        <v>414</v>
      </c>
      <c r="AJ48" s="71">
        <f>IF(OR('Cleanup TMS'!CI48=0,'Cleanup TMS'!CI48=""),"-",'Cleanup TMS'!CI48)</f>
        <v>0.59</v>
      </c>
      <c r="AK48" s="75" t="str">
        <f>IF(OR('Cleanup TMS'!CJ48=0,'Cleanup TMS'!CJ48=""),"-",'Cleanup TMS'!CJ48)</f>
        <v>D</v>
      </c>
    </row>
    <row r="49" spans="1:37" ht="18.75" customHeight="1">
      <c r="A49" s="69">
        <f>'Cleanup TMS'!A49</f>
        <v>3253200</v>
      </c>
      <c r="B49" s="70" t="str">
        <f>'Cleanup TMS'!B49</f>
        <v>180041: 180077</v>
      </c>
      <c r="C49" s="70" t="str">
        <f>IF('Cleanup TMS'!E49="","",'Cleanup TMS'!E49)</f>
        <v>180041: 180077</v>
      </c>
      <c r="D49" s="70" t="str">
        <f>'Cleanup TMS'!F49</f>
        <v>FDOT</v>
      </c>
      <c r="E49" s="70">
        <f>'Cleanup TMS'!G49</f>
        <v>45</v>
      </c>
      <c r="F49" s="71">
        <f>ROUND('Cleanup TMS'!H49,2)</f>
        <v>1.24</v>
      </c>
      <c r="G49" s="72" t="str">
        <f>'Cleanup TMS'!I49</f>
        <v>US 301/SR 35 (WARM SPRINGS AVE)</v>
      </c>
      <c r="H49" s="262" t="str">
        <f>'Cleanup TMS'!J49</f>
        <v>CR 514 (WARM SPRING AVE)</v>
      </c>
      <c r="I49" s="262" t="str">
        <f>'Cleanup TMS'!K49</f>
        <v>CR 468</v>
      </c>
      <c r="J49" s="70">
        <f>'Cleanup TMS'!L49</f>
        <v>2</v>
      </c>
      <c r="K49" s="70">
        <v>2</v>
      </c>
      <c r="L49" s="70" t="s">
        <v>646</v>
      </c>
      <c r="M49" s="70" t="s">
        <v>648</v>
      </c>
      <c r="N49" s="152" t="s">
        <v>651</v>
      </c>
      <c r="O49" s="152" t="s">
        <v>547</v>
      </c>
      <c r="P49" s="70" t="str">
        <f>'Cleanup TMS'!V49</f>
        <v>STATE</v>
      </c>
      <c r="Q49" s="70" t="str">
        <f>'Cleanup TMS'!W49</f>
        <v>COLEMAN</v>
      </c>
      <c r="R49" s="70" t="s">
        <v>5</v>
      </c>
      <c r="S49" s="73">
        <f>IF('Cleanup TMS'!AO49=0,"-",'Cleanup TMS'!AO49)</f>
        <v>14160</v>
      </c>
      <c r="T49" s="73">
        <f>'Cleanup TMS'!AP49</f>
        <v>13465</v>
      </c>
      <c r="U49" s="71">
        <f>IF(OR('Cleanup TMS'!AQ49=0,'Cleanup TMS'!AQ49=""),"-",'Cleanup TMS'!AQ49)</f>
        <v>0.95</v>
      </c>
      <c r="V49" s="71" t="str">
        <f>IF(OR('Cleanup TMS'!AR49=0,'Cleanup TMS'!AR49=""),"-",'Cleanup TMS'!AR49)</f>
        <v>D</v>
      </c>
      <c r="W49" s="73">
        <f>IF('Cleanup TMS'!BB49=0,"-",'Cleanup TMS'!BB49)</f>
        <v>704</v>
      </c>
      <c r="X49" s="73">
        <f>'Cleanup TMS'!BC49</f>
        <v>695</v>
      </c>
      <c r="Y49" s="73">
        <f>'Cleanup TMS'!BD49</f>
        <v>616</v>
      </c>
      <c r="Z49" s="74">
        <f>IF(OR('Cleanup TMS'!BE49=0,'Cleanup TMS'!BE49=""),"-",'Cleanup TMS'!BE49)</f>
        <v>0.99</v>
      </c>
      <c r="AA49" s="74" t="str">
        <f>IF(OR('Cleanup TMS'!BF49=0,'Cleanup TMS'!BF49=""),"-",'Cleanup TMS'!BF49)</f>
        <v>D</v>
      </c>
      <c r="AB49" s="148">
        <f>IF(OR('Cleanup TMS'!BI49="",'Cleanup TMS'!BI49=0),"-",'Cleanup TMS'!BI49)</f>
        <v>0.01</v>
      </c>
      <c r="AC49" s="73">
        <f>'Cleanup TMS'!BS49</f>
        <v>14160</v>
      </c>
      <c r="AD49" s="73">
        <f t="shared" si="0"/>
        <v>14152</v>
      </c>
      <c r="AE49" s="74">
        <f>IF(OR('Cleanup TMS'!BU49=0,'Cleanup TMS'!BU49=""),"-",'Cleanup TMS'!BU49)</f>
        <v>1</v>
      </c>
      <c r="AF49" s="74" t="str">
        <f>IF(OR('Cleanup TMS'!BV49=0,'Cleanup TMS'!BV49=""),"-",'Cleanup TMS'!BV49)</f>
        <v>D</v>
      </c>
      <c r="AG49" s="73">
        <f>'Cleanup TMS'!CF49</f>
        <v>704</v>
      </c>
      <c r="AH49" s="73">
        <f t="shared" si="1"/>
        <v>730</v>
      </c>
      <c r="AI49" s="73">
        <f t="shared" si="2"/>
        <v>647</v>
      </c>
      <c r="AJ49" s="71">
        <f>IF(OR('Cleanup TMS'!CI49=0,'Cleanup TMS'!CI49=""),"-",'Cleanup TMS'!CI49)</f>
        <v>1.04</v>
      </c>
      <c r="AK49" s="75" t="str">
        <f>IF(OR('Cleanup TMS'!CJ49=0,'Cleanup TMS'!CJ49=""),"-",'Cleanup TMS'!CJ49)</f>
        <v>F</v>
      </c>
    </row>
    <row r="50" spans="1:37" ht="18.75" customHeight="1">
      <c r="A50" s="69">
        <f>'Cleanup TMS'!A50</f>
        <v>3253210</v>
      </c>
      <c r="B50" s="70">
        <f>'Cleanup TMS'!B50</f>
        <v>180077</v>
      </c>
      <c r="C50" s="70">
        <f>IF('Cleanup TMS'!E50="","",'Cleanup TMS'!E50)</f>
        <v>180077</v>
      </c>
      <c r="D50" s="70" t="str">
        <f>'Cleanup TMS'!F50</f>
        <v>FDOT</v>
      </c>
      <c r="E50" s="70">
        <f>'Cleanup TMS'!G50</f>
        <v>55</v>
      </c>
      <c r="F50" s="71">
        <f>ROUND('Cleanup TMS'!H50,2)</f>
        <v>2.73</v>
      </c>
      <c r="G50" s="72" t="str">
        <f>'Cleanup TMS'!I50</f>
        <v>US 301/SR 35</v>
      </c>
      <c r="H50" s="72" t="str">
        <f>'Cleanup TMS'!J50</f>
        <v>CR 468</v>
      </c>
      <c r="I50" s="72" t="str">
        <f>'Cleanup TMS'!K50</f>
        <v>SR 91/FLORIDAS TURNPIKE</v>
      </c>
      <c r="J50" s="70">
        <f>'Cleanup TMS'!L50</f>
        <v>2</v>
      </c>
      <c r="K50" s="70">
        <v>2</v>
      </c>
      <c r="L50" s="70" t="s">
        <v>646</v>
      </c>
      <c r="M50" s="70" t="s">
        <v>648</v>
      </c>
      <c r="N50" s="152" t="s">
        <v>651</v>
      </c>
      <c r="O50" s="152" t="s">
        <v>547</v>
      </c>
      <c r="P50" s="70" t="str">
        <f>'Cleanup TMS'!V50</f>
        <v>STATE</v>
      </c>
      <c r="Q50" s="70" t="str">
        <f>'Cleanup TMS'!W50</f>
        <v>WILDWOOD</v>
      </c>
      <c r="R50" s="70" t="s">
        <v>5</v>
      </c>
      <c r="S50" s="73">
        <f>IF('Cleanup TMS'!AO50=0,"-",'Cleanup TMS'!AO50)</f>
        <v>17700</v>
      </c>
      <c r="T50" s="73">
        <f>'Cleanup TMS'!AP50</f>
        <v>18760</v>
      </c>
      <c r="U50" s="71">
        <f>IF(OR('Cleanup TMS'!AQ50=0,'Cleanup TMS'!AQ50=""),"-",'Cleanup TMS'!AQ50)</f>
        <v>1.06</v>
      </c>
      <c r="V50" s="71" t="str">
        <f>IF(OR('Cleanup TMS'!AR50=0,'Cleanup TMS'!AR50=""),"-",'Cleanup TMS'!AR50)</f>
        <v>F</v>
      </c>
      <c r="W50" s="73">
        <f>IF('Cleanup TMS'!BB50=0,"-",'Cleanup TMS'!BB50)</f>
        <v>880</v>
      </c>
      <c r="X50" s="73">
        <f>'Cleanup TMS'!BC50</f>
        <v>945</v>
      </c>
      <c r="Y50" s="73">
        <f>'Cleanup TMS'!BD50</f>
        <v>838</v>
      </c>
      <c r="Z50" s="74">
        <f>IF(OR('Cleanup TMS'!BE50=0,'Cleanup TMS'!BE50=""),"-",'Cleanup TMS'!BE50)</f>
        <v>1.07</v>
      </c>
      <c r="AA50" s="74" t="str">
        <f>IF(OR('Cleanup TMS'!BF50=0,'Cleanup TMS'!BF50=""),"-",'Cleanup TMS'!BF50)</f>
        <v>F</v>
      </c>
      <c r="AB50" s="148">
        <f>IF(OR('Cleanup TMS'!BI50="",'Cleanup TMS'!BI50=0),"-",'Cleanup TMS'!BI50)</f>
        <v>3.7499999999999999E-2</v>
      </c>
      <c r="AC50" s="73">
        <f>'Cleanup TMS'!BS50</f>
        <v>17700</v>
      </c>
      <c r="AD50" s="73">
        <f t="shared" si="0"/>
        <v>22551</v>
      </c>
      <c r="AE50" s="74">
        <f>IF(OR('Cleanup TMS'!BU50=0,'Cleanup TMS'!BU50=""),"-",'Cleanup TMS'!BU50)</f>
        <v>1.27</v>
      </c>
      <c r="AF50" s="74" t="str">
        <f>IF(OR('Cleanup TMS'!BV50=0,'Cleanup TMS'!BV50=""),"-",'Cleanup TMS'!BV50)</f>
        <v>F</v>
      </c>
      <c r="AG50" s="73">
        <f>'Cleanup TMS'!CF50</f>
        <v>880</v>
      </c>
      <c r="AH50" s="73">
        <f t="shared" si="1"/>
        <v>1136</v>
      </c>
      <c r="AI50" s="73">
        <f t="shared" si="2"/>
        <v>1007</v>
      </c>
      <c r="AJ50" s="71">
        <f>IF(OR('Cleanup TMS'!CI50=0,'Cleanup TMS'!CI50=""),"-",'Cleanup TMS'!CI50)</f>
        <v>1.29</v>
      </c>
      <c r="AK50" s="75" t="str">
        <f>IF(OR('Cleanup TMS'!CJ50=0,'Cleanup TMS'!CJ50=""),"-",'Cleanup TMS'!CJ50)</f>
        <v>F</v>
      </c>
    </row>
    <row r="51" spans="1:37" ht="18.75" customHeight="1">
      <c r="A51" s="69">
        <f>'Cleanup TMS'!A51</f>
        <v>3253220</v>
      </c>
      <c r="B51" s="70" t="str">
        <f>'Cleanup TMS'!B51</f>
        <v>180077: 180006</v>
      </c>
      <c r="C51" s="70" t="str">
        <f>IF('Cleanup TMS'!E51="","",'Cleanup TMS'!E51)</f>
        <v>180077: 180006</v>
      </c>
      <c r="D51" s="70" t="str">
        <f>'Cleanup TMS'!F51</f>
        <v>FDOT</v>
      </c>
      <c r="E51" s="70">
        <f>'Cleanup TMS'!G51</f>
        <v>45</v>
      </c>
      <c r="F51" s="71">
        <f>ROUND('Cleanup TMS'!H51,2)</f>
        <v>0.18</v>
      </c>
      <c r="G51" s="72" t="str">
        <f>'Cleanup TMS'!I51</f>
        <v>US 301/SR 35 (MAIN ST)</v>
      </c>
      <c r="H51" s="72" t="str">
        <f>'Cleanup TMS'!J51</f>
        <v>SR 91/FLORIDAS TURNPIKE</v>
      </c>
      <c r="I51" s="72" t="str">
        <f>'Cleanup TMS'!K51</f>
        <v>CR 156 (CLAY DRAIN RD)</v>
      </c>
      <c r="J51" s="70">
        <f>'Cleanup TMS'!L51</f>
        <v>2</v>
      </c>
      <c r="K51" s="70">
        <v>2</v>
      </c>
      <c r="L51" s="70" t="s">
        <v>646</v>
      </c>
      <c r="M51" s="70" t="s">
        <v>649</v>
      </c>
      <c r="N51" s="152" t="s">
        <v>652</v>
      </c>
      <c r="O51" s="152" t="s">
        <v>547</v>
      </c>
      <c r="P51" s="70" t="str">
        <f>'Cleanup TMS'!V51</f>
        <v>STATE</v>
      </c>
      <c r="Q51" s="70" t="str">
        <f>'Cleanup TMS'!W51</f>
        <v>WILDWOOD</v>
      </c>
      <c r="R51" s="70" t="s">
        <v>5</v>
      </c>
      <c r="S51" s="73">
        <f>IF('Cleanup TMS'!AO51=0,"-",'Cleanup TMS'!AO51)</f>
        <v>25410</v>
      </c>
      <c r="T51" s="73">
        <f>'Cleanup TMS'!AP51</f>
        <v>19435</v>
      </c>
      <c r="U51" s="71">
        <f>IF(OR('Cleanup TMS'!AQ51=0,'Cleanup TMS'!AQ51=""),"-",'Cleanup TMS'!AQ51)</f>
        <v>0.76</v>
      </c>
      <c r="V51" s="71" t="str">
        <f>IF(OR('Cleanup TMS'!AR51=0,'Cleanup TMS'!AR51=""),"-",'Cleanup TMS'!AR51)</f>
        <v>D</v>
      </c>
      <c r="W51" s="73">
        <f>IF('Cleanup TMS'!BB51=0,"-",'Cleanup TMS'!BB51)</f>
        <v>1260</v>
      </c>
      <c r="X51" s="73">
        <f>'Cleanup TMS'!BC51</f>
        <v>952</v>
      </c>
      <c r="Y51" s="73">
        <f>'Cleanup TMS'!BD51</f>
        <v>844.5</v>
      </c>
      <c r="Z51" s="74">
        <f>IF(OR('Cleanup TMS'!BE51=0,'Cleanup TMS'!BE51=""),"-",'Cleanup TMS'!BE51)</f>
        <v>0.76</v>
      </c>
      <c r="AA51" s="74" t="str">
        <f>IF(OR('Cleanup TMS'!BF51=0,'Cleanup TMS'!BF51=""),"-",'Cleanup TMS'!BF51)</f>
        <v>D</v>
      </c>
      <c r="AB51" s="148">
        <f>IF(OR('Cleanup TMS'!BI51="",'Cleanup TMS'!BI51=0),"-",'Cleanup TMS'!BI51)</f>
        <v>1.4999999999999999E-2</v>
      </c>
      <c r="AC51" s="73">
        <f>'Cleanup TMS'!BS51</f>
        <v>25410</v>
      </c>
      <c r="AD51" s="73">
        <f t="shared" si="0"/>
        <v>20937</v>
      </c>
      <c r="AE51" s="74">
        <f>IF(OR('Cleanup TMS'!BU51=0,'Cleanup TMS'!BU51=""),"-",'Cleanup TMS'!BU51)</f>
        <v>0.82</v>
      </c>
      <c r="AF51" s="74" t="str">
        <f>IF(OR('Cleanup TMS'!BV51=0,'Cleanup TMS'!BV51=""),"-",'Cleanup TMS'!BV51)</f>
        <v>D</v>
      </c>
      <c r="AG51" s="73">
        <f>'Cleanup TMS'!CF51</f>
        <v>1260</v>
      </c>
      <c r="AH51" s="73">
        <f t="shared" si="1"/>
        <v>1026</v>
      </c>
      <c r="AI51" s="73">
        <f t="shared" si="2"/>
        <v>910</v>
      </c>
      <c r="AJ51" s="71">
        <f>IF(OR('Cleanup TMS'!CI51=0,'Cleanup TMS'!CI51=""),"-",'Cleanup TMS'!CI51)</f>
        <v>0.81</v>
      </c>
      <c r="AK51" s="75" t="str">
        <f>IF(OR('Cleanup TMS'!CJ51=0,'Cleanup TMS'!CJ51=""),"-",'Cleanup TMS'!CJ51)</f>
        <v>D</v>
      </c>
    </row>
    <row r="52" spans="1:37" ht="18.75" customHeight="1">
      <c r="A52" s="69">
        <f>'Cleanup TMS'!A52</f>
        <v>3253230</v>
      </c>
      <c r="B52" s="70">
        <f>'Cleanup TMS'!B52</f>
        <v>180006</v>
      </c>
      <c r="C52" s="70">
        <f>IF('Cleanup TMS'!E52="","",'Cleanup TMS'!E52)</f>
        <v>180006</v>
      </c>
      <c r="D52" s="70" t="str">
        <f>'Cleanup TMS'!F52</f>
        <v>FDOT</v>
      </c>
      <c r="E52" s="70">
        <f>'Cleanup TMS'!G52</f>
        <v>45</v>
      </c>
      <c r="F52" s="71">
        <f>ROUND('Cleanup TMS'!H52,2)</f>
        <v>0.51</v>
      </c>
      <c r="G52" s="72" t="str">
        <f>'Cleanup TMS'!I52</f>
        <v>US 301/SR 35 (MAIN ST)</v>
      </c>
      <c r="H52" s="72" t="str">
        <f>'Cleanup TMS'!J52</f>
        <v>CR 156 (CLAY DRAIN RD)</v>
      </c>
      <c r="I52" s="72" t="str">
        <f>'Cleanup TMS'!K52</f>
        <v>SR 44</v>
      </c>
      <c r="J52" s="70">
        <f>'Cleanup TMS'!L52</f>
        <v>4</v>
      </c>
      <c r="K52" s="70">
        <v>4</v>
      </c>
      <c r="L52" s="70" t="s">
        <v>646</v>
      </c>
      <c r="M52" s="70" t="s">
        <v>649</v>
      </c>
      <c r="N52" s="152" t="s">
        <v>651</v>
      </c>
      <c r="O52" s="152" t="s">
        <v>547</v>
      </c>
      <c r="P52" s="70" t="str">
        <f>'Cleanup TMS'!V52</f>
        <v>STATE</v>
      </c>
      <c r="Q52" s="70" t="str">
        <f>'Cleanup TMS'!W52</f>
        <v>WILDWOOD</v>
      </c>
      <c r="R52" s="70" t="s">
        <v>5</v>
      </c>
      <c r="S52" s="73">
        <f>IF('Cleanup TMS'!AO52=0,"-",'Cleanup TMS'!AO52)</f>
        <v>41790</v>
      </c>
      <c r="T52" s="73">
        <f>'Cleanup TMS'!AP52</f>
        <v>20110</v>
      </c>
      <c r="U52" s="71">
        <f>IF(OR('Cleanup TMS'!AQ52=0,'Cleanup TMS'!AQ52=""),"-",'Cleanup TMS'!AQ52)</f>
        <v>0.48</v>
      </c>
      <c r="V52" s="71" t="str">
        <f>IF(OR('Cleanup TMS'!AR52=0,'Cleanup TMS'!AR52=""),"-",'Cleanup TMS'!AR52)</f>
        <v>C</v>
      </c>
      <c r="W52" s="73">
        <f>IF('Cleanup TMS'!BB52=0,"-",'Cleanup TMS'!BB52)</f>
        <v>2100</v>
      </c>
      <c r="X52" s="73">
        <f>'Cleanup TMS'!BC52</f>
        <v>959</v>
      </c>
      <c r="Y52" s="73">
        <f>'Cleanup TMS'!BD52</f>
        <v>851</v>
      </c>
      <c r="Z52" s="74">
        <f>IF(OR('Cleanup TMS'!BE52=0,'Cleanup TMS'!BE52=""),"-",'Cleanup TMS'!BE52)</f>
        <v>0.46</v>
      </c>
      <c r="AA52" s="74" t="str">
        <f>IF(OR('Cleanup TMS'!BF52=0,'Cleanup TMS'!BF52=""),"-",'Cleanup TMS'!BF52)</f>
        <v>C</v>
      </c>
      <c r="AB52" s="148">
        <f>IF(OR('Cleanup TMS'!BI52="",'Cleanup TMS'!BI52=0),"-",'Cleanup TMS'!BI52)</f>
        <v>0.01</v>
      </c>
      <c r="AC52" s="73">
        <f>'Cleanup TMS'!BS52</f>
        <v>41790</v>
      </c>
      <c r="AD52" s="73">
        <f t="shared" si="0"/>
        <v>21136</v>
      </c>
      <c r="AE52" s="74">
        <f>IF(OR('Cleanup TMS'!BU52=0,'Cleanup TMS'!BU52=""),"-",'Cleanup TMS'!BU52)</f>
        <v>0.51</v>
      </c>
      <c r="AF52" s="74" t="str">
        <f>IF(OR('Cleanup TMS'!BV52=0,'Cleanup TMS'!BV52=""),"-",'Cleanup TMS'!BV52)</f>
        <v>C</v>
      </c>
      <c r="AG52" s="73">
        <f>'Cleanup TMS'!CF52</f>
        <v>2100</v>
      </c>
      <c r="AH52" s="73">
        <f t="shared" si="1"/>
        <v>1008</v>
      </c>
      <c r="AI52" s="73">
        <f t="shared" si="2"/>
        <v>894</v>
      </c>
      <c r="AJ52" s="71">
        <f>IF(OR('Cleanup TMS'!CI52=0,'Cleanup TMS'!CI52=""),"-",'Cleanup TMS'!CI52)</f>
        <v>0.48</v>
      </c>
      <c r="AK52" s="75" t="str">
        <f>IF(OR('Cleanup TMS'!CJ52=0,'Cleanup TMS'!CJ52=""),"-",'Cleanup TMS'!CJ52)</f>
        <v>C</v>
      </c>
    </row>
    <row r="53" spans="1:37" ht="18.75" customHeight="1">
      <c r="A53" s="69">
        <f>'Cleanup TMS'!A53</f>
        <v>3253240</v>
      </c>
      <c r="B53" s="70">
        <f>'Cleanup TMS'!B53</f>
        <v>185016</v>
      </c>
      <c r="C53" s="70">
        <f>IF('Cleanup TMS'!E53="","",'Cleanup TMS'!E53)</f>
        <v>185016</v>
      </c>
      <c r="D53" s="70" t="str">
        <f>'Cleanup TMS'!F53</f>
        <v>FDOT</v>
      </c>
      <c r="E53" s="70">
        <f>'Cleanup TMS'!G53</f>
        <v>40</v>
      </c>
      <c r="F53" s="71">
        <f>ROUND('Cleanup TMS'!H53,2)</f>
        <v>0.79</v>
      </c>
      <c r="G53" s="72" t="str">
        <f>'Cleanup TMS'!I53</f>
        <v>US 301/SR 35 (MAIN ST)</v>
      </c>
      <c r="H53" s="72" t="str">
        <f>'Cleanup TMS'!J53</f>
        <v>SR 44</v>
      </c>
      <c r="I53" s="72" t="str">
        <f>'Cleanup TMS'!K53</f>
        <v>CR 44A</v>
      </c>
      <c r="J53" s="70">
        <f>'Cleanup TMS'!L53</f>
        <v>4</v>
      </c>
      <c r="K53" s="70">
        <v>4</v>
      </c>
      <c r="L53" s="70" t="s">
        <v>646</v>
      </c>
      <c r="M53" s="70" t="s">
        <v>649</v>
      </c>
      <c r="N53" s="152" t="s">
        <v>651</v>
      </c>
      <c r="O53" s="152" t="s">
        <v>547</v>
      </c>
      <c r="P53" s="70" t="str">
        <f>'Cleanup TMS'!V53</f>
        <v>STATE</v>
      </c>
      <c r="Q53" s="70" t="str">
        <f>'Cleanup TMS'!W53</f>
        <v>WILDWOOD</v>
      </c>
      <c r="R53" s="70" t="s">
        <v>5</v>
      </c>
      <c r="S53" s="73">
        <f>IF('Cleanup TMS'!AO53=0,"-",'Cleanup TMS'!AO53)</f>
        <v>39800</v>
      </c>
      <c r="T53" s="73">
        <f>'Cleanup TMS'!AP53</f>
        <v>23700</v>
      </c>
      <c r="U53" s="71">
        <f>IF(OR('Cleanup TMS'!AQ53=0,'Cleanup TMS'!AQ53=""),"-",'Cleanup TMS'!AQ53)</f>
        <v>0.6</v>
      </c>
      <c r="V53" s="71" t="str">
        <f>IF(OR('Cleanup TMS'!AR53=0,'Cleanup TMS'!AR53=""),"-",'Cleanup TMS'!AR53)</f>
        <v>C</v>
      </c>
      <c r="W53" s="73">
        <f>IF('Cleanup TMS'!BB53=0,"-",'Cleanup TMS'!BB53)</f>
        <v>2000</v>
      </c>
      <c r="X53" s="73">
        <f>'Cleanup TMS'!BC53</f>
        <v>1130</v>
      </c>
      <c r="Y53" s="73">
        <f>'Cleanup TMS'!BD53</f>
        <v>1003</v>
      </c>
      <c r="Z53" s="74">
        <f>IF(OR('Cleanup TMS'!BE53=0,'Cleanup TMS'!BE53=""),"-",'Cleanup TMS'!BE53)</f>
        <v>0.56999999999999995</v>
      </c>
      <c r="AA53" s="74" t="str">
        <f>IF(OR('Cleanup TMS'!BF53=0,'Cleanup TMS'!BF53=""),"-",'Cleanup TMS'!BF53)</f>
        <v>C</v>
      </c>
      <c r="AB53" s="148">
        <f>IF(OR('Cleanup TMS'!BI53="",'Cleanup TMS'!BI53=0),"-",'Cleanup TMS'!BI53)</f>
        <v>0.01</v>
      </c>
      <c r="AC53" s="73">
        <f>'Cleanup TMS'!BS53</f>
        <v>39800</v>
      </c>
      <c r="AD53" s="73">
        <f t="shared" si="0"/>
        <v>24909</v>
      </c>
      <c r="AE53" s="74">
        <f>IF(OR('Cleanup TMS'!BU53=0,'Cleanup TMS'!BU53=""),"-",'Cleanup TMS'!BU53)</f>
        <v>0.63</v>
      </c>
      <c r="AF53" s="74" t="str">
        <f>IF(OR('Cleanup TMS'!BV53=0,'Cleanup TMS'!BV53=""),"-",'Cleanup TMS'!BV53)</f>
        <v>C</v>
      </c>
      <c r="AG53" s="73">
        <f>'Cleanup TMS'!CF53</f>
        <v>2000</v>
      </c>
      <c r="AH53" s="73">
        <f t="shared" si="1"/>
        <v>1188</v>
      </c>
      <c r="AI53" s="73">
        <f t="shared" si="2"/>
        <v>1054</v>
      </c>
      <c r="AJ53" s="71">
        <f>IF(OR('Cleanup TMS'!CI53=0,'Cleanup TMS'!CI53=""),"-",'Cleanup TMS'!CI53)</f>
        <v>0.59</v>
      </c>
      <c r="AK53" s="75" t="str">
        <f>IF(OR('Cleanup TMS'!CJ53=0,'Cleanup TMS'!CJ53=""),"-",'Cleanup TMS'!CJ53)</f>
        <v>C</v>
      </c>
    </row>
    <row r="54" spans="1:37" ht="18.75" customHeight="1">
      <c r="A54" s="69">
        <f>'Cleanup TMS'!A54</f>
        <v>3253250</v>
      </c>
      <c r="B54" s="70">
        <f>'Cleanup TMS'!B54</f>
        <v>180026</v>
      </c>
      <c r="C54" s="70">
        <f>IF('Cleanup TMS'!E54="","",'Cleanup TMS'!E54)</f>
        <v>180026</v>
      </c>
      <c r="D54" s="70" t="str">
        <f>'Cleanup TMS'!F54</f>
        <v>FDOT</v>
      </c>
      <c r="E54" s="70">
        <f>'Cleanup TMS'!G54</f>
        <v>35</v>
      </c>
      <c r="F54" s="71">
        <f>ROUND('Cleanup TMS'!H54,2)</f>
        <v>0.54</v>
      </c>
      <c r="G54" s="72" t="str">
        <f>'Cleanup TMS'!I54</f>
        <v>US 301/SR 35 (MAIN ST)</v>
      </c>
      <c r="H54" s="72" t="str">
        <f>'Cleanup TMS'!J54</f>
        <v>CR 44A</v>
      </c>
      <c r="I54" s="72" t="str">
        <f>'Cleanup TMS'!K54</f>
        <v>CR 466A (CLEVELAND AVE)</v>
      </c>
      <c r="J54" s="70">
        <f>'Cleanup TMS'!L54</f>
        <v>4</v>
      </c>
      <c r="K54" s="70">
        <v>4</v>
      </c>
      <c r="L54" s="70" t="s">
        <v>646</v>
      </c>
      <c r="M54" s="70" t="s">
        <v>649</v>
      </c>
      <c r="N54" s="152" t="s">
        <v>651</v>
      </c>
      <c r="O54" s="152" t="s">
        <v>547</v>
      </c>
      <c r="P54" s="70" t="str">
        <f>'Cleanup TMS'!V54</f>
        <v>STATE</v>
      </c>
      <c r="Q54" s="70" t="str">
        <f>'Cleanup TMS'!W54</f>
        <v>WILDWOOD</v>
      </c>
      <c r="R54" s="70" t="s">
        <v>5</v>
      </c>
      <c r="S54" s="73">
        <f>IF('Cleanup TMS'!AO54=0,"-",'Cleanup TMS'!AO54)</f>
        <v>32400</v>
      </c>
      <c r="T54" s="73">
        <f>'Cleanup TMS'!AP54</f>
        <v>25900</v>
      </c>
      <c r="U54" s="71">
        <f>IF(OR('Cleanup TMS'!AQ54=0,'Cleanup TMS'!AQ54=""),"-",'Cleanup TMS'!AQ54)</f>
        <v>0.8</v>
      </c>
      <c r="V54" s="71" t="str">
        <f>IF(OR('Cleanup TMS'!AR54=0,'Cleanup TMS'!AR54=""),"-",'Cleanup TMS'!AR54)</f>
        <v>D</v>
      </c>
      <c r="W54" s="73">
        <f>IF('Cleanup TMS'!BB54=0,"-",'Cleanup TMS'!BB54)</f>
        <v>1630</v>
      </c>
      <c r="X54" s="73">
        <f>'Cleanup TMS'!BC54</f>
        <v>1102</v>
      </c>
      <c r="Y54" s="73">
        <f>'Cleanup TMS'!BD54</f>
        <v>969</v>
      </c>
      <c r="Z54" s="74">
        <f>IF(OR('Cleanup TMS'!BE54=0,'Cleanup TMS'!BE54=""),"-",'Cleanup TMS'!BE54)</f>
        <v>0.68</v>
      </c>
      <c r="AA54" s="74" t="str">
        <f>IF(OR('Cleanup TMS'!BF54=0,'Cleanup TMS'!BF54=""),"-",'Cleanup TMS'!BF54)</f>
        <v>D</v>
      </c>
      <c r="AB54" s="148">
        <f>IF(OR('Cleanup TMS'!BI54="",'Cleanup TMS'!BI54=0),"-",'Cleanup TMS'!BI54)</f>
        <v>4.7500000000000001E-2</v>
      </c>
      <c r="AC54" s="73">
        <f>'Cleanup TMS'!BS54</f>
        <v>32400</v>
      </c>
      <c r="AD54" s="73">
        <f t="shared" si="0"/>
        <v>32664</v>
      </c>
      <c r="AE54" s="74">
        <f>IF(OR('Cleanup TMS'!BU54=0,'Cleanup TMS'!BU54=""),"-",'Cleanup TMS'!BU54)</f>
        <v>1.01</v>
      </c>
      <c r="AF54" s="74" t="str">
        <f>IF(OR('Cleanup TMS'!BV54=0,'Cleanup TMS'!BV54=""),"-",'Cleanup TMS'!BV54)</f>
        <v>E</v>
      </c>
      <c r="AG54" s="73">
        <f>'Cleanup TMS'!CF54</f>
        <v>1630</v>
      </c>
      <c r="AH54" s="73">
        <f t="shared" si="1"/>
        <v>1390</v>
      </c>
      <c r="AI54" s="73">
        <f t="shared" si="2"/>
        <v>1222</v>
      </c>
      <c r="AJ54" s="71">
        <f>IF(OR('Cleanup TMS'!CI54=0,'Cleanup TMS'!CI54=""),"-",'Cleanup TMS'!CI54)</f>
        <v>0.85</v>
      </c>
      <c r="AK54" s="75" t="str">
        <f>IF(OR('Cleanup TMS'!CJ54=0,'Cleanup TMS'!CJ54=""),"-",'Cleanup TMS'!CJ54)</f>
        <v>D</v>
      </c>
    </row>
    <row r="55" spans="1:37" ht="18.75" customHeight="1">
      <c r="A55" s="69">
        <f>'Cleanup TMS'!A55</f>
        <v>3253270</v>
      </c>
      <c r="B55" s="70">
        <f>'Cleanup TMS'!B55</f>
        <v>180002</v>
      </c>
      <c r="C55" s="70">
        <f>IF('Cleanup TMS'!E55="","",'Cleanup TMS'!E55)</f>
        <v>180002</v>
      </c>
      <c r="D55" s="70" t="str">
        <f>'Cleanup TMS'!F55</f>
        <v>FDOT</v>
      </c>
      <c r="E55" s="70">
        <f>'Cleanup TMS'!G55</f>
        <v>45</v>
      </c>
      <c r="F55" s="71">
        <f>ROUND('Cleanup TMS'!H55,2)</f>
        <v>0.26</v>
      </c>
      <c r="G55" s="72" t="str">
        <f>'Cleanup TMS'!I55</f>
        <v>US 301/SR 35</v>
      </c>
      <c r="H55" s="72" t="str">
        <f>'Cleanup TMS'!J55</f>
        <v>CR 462 S</v>
      </c>
      <c r="I55" s="72" t="str">
        <f>'Cleanup TMS'!K55</f>
        <v>CR 462 (N)</v>
      </c>
      <c r="J55" s="70">
        <f>'Cleanup TMS'!L55</f>
        <v>4</v>
      </c>
      <c r="K55" s="70">
        <v>4</v>
      </c>
      <c r="L55" s="70" t="s">
        <v>646</v>
      </c>
      <c r="M55" s="70" t="s">
        <v>649</v>
      </c>
      <c r="N55" s="152" t="s">
        <v>651</v>
      </c>
      <c r="O55" s="152" t="s">
        <v>547</v>
      </c>
      <c r="P55" s="70" t="str">
        <f>'Cleanup TMS'!V55</f>
        <v>STATE</v>
      </c>
      <c r="Q55" s="70" t="str">
        <f>'Cleanup TMS'!W55</f>
        <v>UNINCORPORATED SUMTER COUNTY</v>
      </c>
      <c r="R55" s="70" t="s">
        <v>5</v>
      </c>
      <c r="S55" s="73">
        <f>IF('Cleanup TMS'!AO55=0,"-",'Cleanup TMS'!AO55)</f>
        <v>39800</v>
      </c>
      <c r="T55" s="73">
        <f>'Cleanup TMS'!AP55</f>
        <v>26460</v>
      </c>
      <c r="U55" s="71">
        <f>IF(OR('Cleanup TMS'!AQ55=0,'Cleanup TMS'!AQ55=""),"-",'Cleanup TMS'!AQ55)</f>
        <v>0.66</v>
      </c>
      <c r="V55" s="71" t="str">
        <f>IF(OR('Cleanup TMS'!AR55=0,'Cleanup TMS'!AR55=""),"-",'Cleanup TMS'!AR55)</f>
        <v>C</v>
      </c>
      <c r="W55" s="73">
        <f>IF('Cleanup TMS'!BB55=0,"-",'Cleanup TMS'!BB55)</f>
        <v>2000</v>
      </c>
      <c r="X55" s="73">
        <f>'Cleanup TMS'!BC55</f>
        <v>1262</v>
      </c>
      <c r="Y55" s="73">
        <f>'Cleanup TMS'!BD55</f>
        <v>1119</v>
      </c>
      <c r="Z55" s="74">
        <f>IF(OR('Cleanup TMS'!BE55=0,'Cleanup TMS'!BE55=""),"-",'Cleanup TMS'!BE55)</f>
        <v>0.63</v>
      </c>
      <c r="AA55" s="74" t="str">
        <f>IF(OR('Cleanup TMS'!BF55=0,'Cleanup TMS'!BF55=""),"-",'Cleanup TMS'!BF55)</f>
        <v>C</v>
      </c>
      <c r="AB55" s="148">
        <f>IF(OR('Cleanup TMS'!BI55="",'Cleanup TMS'!BI55=0),"-",'Cleanup TMS'!BI55)</f>
        <v>0.01</v>
      </c>
      <c r="AC55" s="73">
        <f>'Cleanup TMS'!BS55</f>
        <v>39800</v>
      </c>
      <c r="AD55" s="73">
        <f t="shared" si="0"/>
        <v>27810</v>
      </c>
      <c r="AE55" s="74">
        <f>IF(OR('Cleanup TMS'!BU55=0,'Cleanup TMS'!BU55=""),"-",'Cleanup TMS'!BU55)</f>
        <v>0.7</v>
      </c>
      <c r="AF55" s="74" t="str">
        <f>IF(OR('Cleanup TMS'!BV55=0,'Cleanup TMS'!BV55=""),"-",'Cleanup TMS'!BV55)</f>
        <v>C</v>
      </c>
      <c r="AG55" s="73">
        <f>'Cleanup TMS'!CF55</f>
        <v>2000</v>
      </c>
      <c r="AH55" s="73">
        <f t="shared" si="1"/>
        <v>1326</v>
      </c>
      <c r="AI55" s="73">
        <f t="shared" si="2"/>
        <v>1176</v>
      </c>
      <c r="AJ55" s="71">
        <f>IF(OR('Cleanup TMS'!CI55=0,'Cleanup TMS'!CI55=""),"-",'Cleanup TMS'!CI55)</f>
        <v>0.66</v>
      </c>
      <c r="AK55" s="75" t="str">
        <f>IF(OR('Cleanup TMS'!CJ55=0,'Cleanup TMS'!CJ55=""),"-",'Cleanup TMS'!CJ55)</f>
        <v>C</v>
      </c>
    </row>
    <row r="56" spans="1:37" ht="18.75" customHeight="1">
      <c r="A56" s="69">
        <f>'Cleanup TMS'!A56</f>
        <v>3253280</v>
      </c>
      <c r="B56" s="70" t="str">
        <f>'Cleanup TMS'!B56</f>
        <v>180002: 180206</v>
      </c>
      <c r="C56" s="70" t="str">
        <f>IF('Cleanup TMS'!E56="","",'Cleanup TMS'!E56)</f>
        <v>180002: 180206</v>
      </c>
      <c r="D56" s="70" t="str">
        <f>'Cleanup TMS'!F56</f>
        <v>FDOT</v>
      </c>
      <c r="E56" s="70">
        <f>'Cleanup TMS'!G56</f>
        <v>55</v>
      </c>
      <c r="F56" s="71">
        <f>ROUND('Cleanup TMS'!H56,2)</f>
        <v>1.01</v>
      </c>
      <c r="G56" s="72" t="str">
        <f>'Cleanup TMS'!I56</f>
        <v>US 301/SR 35</v>
      </c>
      <c r="H56" s="72" t="str">
        <f>'Cleanup TMS'!J56</f>
        <v>CR 462 N</v>
      </c>
      <c r="I56" s="72" t="str">
        <f>'Cleanup TMS'!K56</f>
        <v>CR 222</v>
      </c>
      <c r="J56" s="70">
        <f>'Cleanup TMS'!L56</f>
        <v>4</v>
      </c>
      <c r="K56" s="70">
        <v>4</v>
      </c>
      <c r="L56" s="70" t="s">
        <v>646</v>
      </c>
      <c r="M56" s="70" t="s">
        <v>649</v>
      </c>
      <c r="N56" s="152" t="s">
        <v>651</v>
      </c>
      <c r="O56" s="152" t="s">
        <v>547</v>
      </c>
      <c r="P56" s="70" t="str">
        <f>'Cleanup TMS'!V56</f>
        <v>STATE</v>
      </c>
      <c r="Q56" s="70" t="str">
        <f>'Cleanup TMS'!W56</f>
        <v>WILDWOOD</v>
      </c>
      <c r="R56" s="70" t="s">
        <v>5</v>
      </c>
      <c r="S56" s="73">
        <f>IF('Cleanup TMS'!AO56=0,"-",'Cleanup TMS'!AO56)</f>
        <v>39800</v>
      </c>
      <c r="T56" s="73">
        <f>'Cleanup TMS'!AP56</f>
        <v>26120</v>
      </c>
      <c r="U56" s="71">
        <f>IF(OR('Cleanup TMS'!AQ56=0,'Cleanup TMS'!AQ56=""),"-",'Cleanup TMS'!AQ56)</f>
        <v>0.66</v>
      </c>
      <c r="V56" s="71" t="str">
        <f>IF(OR('Cleanup TMS'!AR56=0,'Cleanup TMS'!AR56=""),"-",'Cleanup TMS'!AR56)</f>
        <v>C</v>
      </c>
      <c r="W56" s="73">
        <f>IF('Cleanup TMS'!BB56=0,"-",'Cleanup TMS'!BB56)</f>
        <v>2000</v>
      </c>
      <c r="X56" s="73">
        <f>'Cleanup TMS'!BC56</f>
        <v>1256</v>
      </c>
      <c r="Y56" s="73">
        <f>'Cleanup TMS'!BD56</f>
        <v>1113.5</v>
      </c>
      <c r="Z56" s="74">
        <f>IF(OR('Cleanup TMS'!BE56=0,'Cleanup TMS'!BE56=""),"-",'Cleanup TMS'!BE56)</f>
        <v>0.63</v>
      </c>
      <c r="AA56" s="74" t="str">
        <f>IF(OR('Cleanup TMS'!BF56=0,'Cleanup TMS'!BF56=""),"-",'Cleanup TMS'!BF56)</f>
        <v>C</v>
      </c>
      <c r="AB56" s="148">
        <f>IF(OR('Cleanup TMS'!BI56="",'Cleanup TMS'!BI56=0),"-",'Cleanup TMS'!BI56)</f>
        <v>0.01</v>
      </c>
      <c r="AC56" s="73">
        <f>'Cleanup TMS'!BS56</f>
        <v>39800</v>
      </c>
      <c r="AD56" s="73">
        <f t="shared" si="0"/>
        <v>27452</v>
      </c>
      <c r="AE56" s="74">
        <f>IF(OR('Cleanup TMS'!BU56=0,'Cleanup TMS'!BU56=""),"-",'Cleanup TMS'!BU56)</f>
        <v>0.69</v>
      </c>
      <c r="AF56" s="74" t="str">
        <f>IF(OR('Cleanup TMS'!BV56=0,'Cleanup TMS'!BV56=""),"-",'Cleanup TMS'!BV56)</f>
        <v>C</v>
      </c>
      <c r="AG56" s="73">
        <f>'Cleanup TMS'!CF56</f>
        <v>2000</v>
      </c>
      <c r="AH56" s="73">
        <f t="shared" si="1"/>
        <v>1320</v>
      </c>
      <c r="AI56" s="73">
        <f t="shared" si="2"/>
        <v>1170</v>
      </c>
      <c r="AJ56" s="71">
        <f>IF(OR('Cleanup TMS'!CI56=0,'Cleanup TMS'!CI56=""),"-",'Cleanup TMS'!CI56)</f>
        <v>0.66</v>
      </c>
      <c r="AK56" s="75" t="str">
        <f>IF(OR('Cleanup TMS'!CJ56=0,'Cleanup TMS'!CJ56=""),"-",'Cleanup TMS'!CJ56)</f>
        <v>C</v>
      </c>
    </row>
    <row r="57" spans="1:37" ht="18.75" customHeight="1">
      <c r="A57" s="69">
        <f>'Cleanup TMS'!A57</f>
        <v>3253290</v>
      </c>
      <c r="B57" s="70">
        <f>'Cleanup TMS'!B57</f>
        <v>180206</v>
      </c>
      <c r="C57" s="70">
        <f>IF('Cleanup TMS'!E57="","",'Cleanup TMS'!E57)</f>
        <v>180206</v>
      </c>
      <c r="D57" s="70" t="str">
        <f>'Cleanup TMS'!F57</f>
        <v>FDOT</v>
      </c>
      <c r="E57" s="70">
        <f>'Cleanup TMS'!G57</f>
        <v>45</v>
      </c>
      <c r="F57" s="71">
        <f>ROUND('Cleanup TMS'!H57,2)</f>
        <v>0.5</v>
      </c>
      <c r="G57" s="72" t="str">
        <f>'Cleanup TMS'!I57</f>
        <v>US 301/SR 35</v>
      </c>
      <c r="H57" s="72" t="str">
        <f>'Cleanup TMS'!J57</f>
        <v>CR 222</v>
      </c>
      <c r="I57" s="72" t="str">
        <f>'Cleanup TMS'!K57</f>
        <v>CR 472</v>
      </c>
      <c r="J57" s="70">
        <f>'Cleanup TMS'!L57</f>
        <v>4</v>
      </c>
      <c r="K57" s="70">
        <v>4</v>
      </c>
      <c r="L57" s="70" t="s">
        <v>646</v>
      </c>
      <c r="M57" s="70" t="s">
        <v>649</v>
      </c>
      <c r="N57" s="152" t="s">
        <v>651</v>
      </c>
      <c r="O57" s="152" t="s">
        <v>547</v>
      </c>
      <c r="P57" s="70" t="str">
        <f>'Cleanup TMS'!V57</f>
        <v>STATE</v>
      </c>
      <c r="Q57" s="70" t="str">
        <f>'Cleanup TMS'!W57</f>
        <v>WILDWOOD</v>
      </c>
      <c r="R57" s="70" t="s">
        <v>5</v>
      </c>
      <c r="S57" s="73">
        <f>IF('Cleanup TMS'!AO57=0,"-",'Cleanup TMS'!AO57)</f>
        <v>39800</v>
      </c>
      <c r="T57" s="73">
        <f>'Cleanup TMS'!AP57</f>
        <v>26200</v>
      </c>
      <c r="U57" s="71">
        <f>IF(OR('Cleanup TMS'!AQ57=0,'Cleanup TMS'!AQ57=""),"-",'Cleanup TMS'!AQ57)</f>
        <v>0.66</v>
      </c>
      <c r="V57" s="71" t="str">
        <f>IF(OR('Cleanup TMS'!AR57=0,'Cleanup TMS'!AR57=""),"-",'Cleanup TMS'!AR57)</f>
        <v>C</v>
      </c>
      <c r="W57" s="73">
        <f>IF('Cleanup TMS'!BB57=0,"-",'Cleanup TMS'!BB57)</f>
        <v>2000</v>
      </c>
      <c r="X57" s="73">
        <f>'Cleanup TMS'!BC57</f>
        <v>1250</v>
      </c>
      <c r="Y57" s="73">
        <f>'Cleanup TMS'!BD57</f>
        <v>1108</v>
      </c>
      <c r="Z57" s="74">
        <f>IF(OR('Cleanup TMS'!BE57=0,'Cleanup TMS'!BE57=""),"-",'Cleanup TMS'!BE57)</f>
        <v>0.63</v>
      </c>
      <c r="AA57" s="74" t="str">
        <f>IF(OR('Cleanup TMS'!BF57=0,'Cleanup TMS'!BF57=""),"-",'Cleanup TMS'!BF57)</f>
        <v>C</v>
      </c>
      <c r="AB57" s="148">
        <f>IF(OR('Cleanup TMS'!BI57="",'Cleanup TMS'!BI57=0),"-",'Cleanup TMS'!BI57)</f>
        <v>0.01</v>
      </c>
      <c r="AC57" s="73">
        <f>'Cleanup TMS'!BS57</f>
        <v>39800</v>
      </c>
      <c r="AD57" s="73">
        <f t="shared" si="0"/>
        <v>27536</v>
      </c>
      <c r="AE57" s="74">
        <f>IF(OR('Cleanup TMS'!BU57=0,'Cleanup TMS'!BU57=""),"-",'Cleanup TMS'!BU57)</f>
        <v>0.69</v>
      </c>
      <c r="AF57" s="74" t="str">
        <f>IF(OR('Cleanup TMS'!BV57=0,'Cleanup TMS'!BV57=""),"-",'Cleanup TMS'!BV57)</f>
        <v>C</v>
      </c>
      <c r="AG57" s="73">
        <f>'Cleanup TMS'!CF57</f>
        <v>2000</v>
      </c>
      <c r="AH57" s="73">
        <f t="shared" si="1"/>
        <v>1314</v>
      </c>
      <c r="AI57" s="73">
        <f t="shared" si="2"/>
        <v>1165</v>
      </c>
      <c r="AJ57" s="71">
        <f>IF(OR('Cleanup TMS'!CI57=0,'Cleanup TMS'!CI57=""),"-",'Cleanup TMS'!CI57)</f>
        <v>0.66</v>
      </c>
      <c r="AK57" s="75" t="str">
        <f>IF(OR('Cleanup TMS'!CJ57=0,'Cleanup TMS'!CJ57=""),"-",'Cleanup TMS'!CJ57)</f>
        <v>C</v>
      </c>
    </row>
    <row r="58" spans="1:37" ht="18.75" customHeight="1">
      <c r="A58" s="69">
        <f>'Cleanup TMS'!A58</f>
        <v>3269100</v>
      </c>
      <c r="B58" s="70">
        <f>'Cleanup TMS'!B58</f>
        <v>118</v>
      </c>
      <c r="C58" s="70" t="str">
        <f>IF('Cleanup TMS'!E58="","",'Cleanup TMS'!E58)</f>
        <v/>
      </c>
      <c r="D58" s="70" t="str">
        <f>'Cleanup TMS'!F58</f>
        <v>SUMTER</v>
      </c>
      <c r="E58" s="70">
        <f>'Cleanup TMS'!G58</f>
        <v>35</v>
      </c>
      <c r="F58" s="71">
        <f>ROUND('Cleanup TMS'!H58,2)</f>
        <v>0.51</v>
      </c>
      <c r="G58" s="72" t="str">
        <f>'Cleanup TMS'!I58</f>
        <v>CR 721</v>
      </c>
      <c r="H58" s="72" t="str">
        <f>'Cleanup TMS'!J58</f>
        <v>SR 471</v>
      </c>
      <c r="I58" s="72" t="str">
        <f>'Cleanup TMS'!K58</f>
        <v>CR 727</v>
      </c>
      <c r="J58" s="70">
        <f>'Cleanup TMS'!L58</f>
        <v>2</v>
      </c>
      <c r="K58" s="70">
        <v>2</v>
      </c>
      <c r="L58" s="70" t="s">
        <v>646</v>
      </c>
      <c r="M58" s="70" t="s">
        <v>648</v>
      </c>
      <c r="N58" s="152" t="s">
        <v>651</v>
      </c>
      <c r="O58" s="152" t="s">
        <v>547</v>
      </c>
      <c r="P58" s="70" t="str">
        <f>'Cleanup TMS'!V58</f>
        <v>COUNTY</v>
      </c>
      <c r="Q58" s="70" t="str">
        <f>'Cleanup TMS'!W58</f>
        <v>UNINCORPORATED SUMTER COUNTY</v>
      </c>
      <c r="R58" s="70" t="s">
        <v>5</v>
      </c>
      <c r="S58" s="73">
        <f>IF('Cleanup TMS'!AO58=0,"-",'Cleanup TMS'!AO58)</f>
        <v>10360</v>
      </c>
      <c r="T58" s="73">
        <f>'Cleanup TMS'!AP58</f>
        <v>696</v>
      </c>
      <c r="U58" s="71">
        <f>IF(OR('Cleanup TMS'!AQ58=0,'Cleanup TMS'!AQ58=""),"-",'Cleanup TMS'!AQ58)</f>
        <v>7.0000000000000007E-2</v>
      </c>
      <c r="V58" s="71" t="str">
        <f>IF(OR('Cleanup TMS'!AR58=0,'Cleanup TMS'!AR58=""),"-",'Cleanup TMS'!AR58)</f>
        <v>C</v>
      </c>
      <c r="W58" s="73">
        <f>IF('Cleanup TMS'!BB58=0,"-",'Cleanup TMS'!BB58)</f>
        <v>525</v>
      </c>
      <c r="X58" s="73">
        <f>'Cleanup TMS'!BC58</f>
        <v>40</v>
      </c>
      <c r="Y58" s="73">
        <f>'Cleanup TMS'!BD58</f>
        <v>31</v>
      </c>
      <c r="Z58" s="74">
        <f>IF(OR('Cleanup TMS'!BE58=0,'Cleanup TMS'!BE58=""),"-",'Cleanup TMS'!BE58)</f>
        <v>0.08</v>
      </c>
      <c r="AA58" s="74" t="str">
        <f>IF(OR('Cleanup TMS'!BF58=0,'Cleanup TMS'!BF58=""),"-",'Cleanup TMS'!BF58)</f>
        <v>C</v>
      </c>
      <c r="AB58" s="148">
        <f>IF(OR('Cleanup TMS'!BI58="",'Cleanup TMS'!BI58=0),"-",'Cleanup TMS'!BI58)</f>
        <v>0.01</v>
      </c>
      <c r="AC58" s="73">
        <f>'Cleanup TMS'!BS58</f>
        <v>10360</v>
      </c>
      <c r="AD58" s="73">
        <f t="shared" si="0"/>
        <v>732</v>
      </c>
      <c r="AE58" s="74">
        <f>IF(OR('Cleanup TMS'!BU58=0,'Cleanup TMS'!BU58=""),"-",'Cleanup TMS'!BU58)</f>
        <v>7.0000000000000007E-2</v>
      </c>
      <c r="AF58" s="74" t="str">
        <f>IF(OR('Cleanup TMS'!BV58=0,'Cleanup TMS'!BV58=""),"-",'Cleanup TMS'!BV58)</f>
        <v>C</v>
      </c>
      <c r="AG58" s="73">
        <f>'Cleanup TMS'!CF58</f>
        <v>525</v>
      </c>
      <c r="AH58" s="73">
        <f t="shared" si="1"/>
        <v>42</v>
      </c>
      <c r="AI58" s="73">
        <f t="shared" si="2"/>
        <v>33</v>
      </c>
      <c r="AJ58" s="71">
        <f>IF(OR('Cleanup TMS'!CI58=0,'Cleanup TMS'!CI58=""),"-",'Cleanup TMS'!CI58)</f>
        <v>0.08</v>
      </c>
      <c r="AK58" s="75" t="str">
        <f>IF(OR('Cleanup TMS'!CJ58=0,'Cleanup TMS'!CJ58=""),"-",'Cleanup TMS'!CJ58)</f>
        <v>C</v>
      </c>
    </row>
    <row r="59" spans="1:37" ht="18.75" customHeight="1">
      <c r="A59" s="69">
        <f>'Cleanup TMS'!A59</f>
        <v>3290000</v>
      </c>
      <c r="B59" s="70">
        <f>'Cleanup TMS'!B59</f>
        <v>97</v>
      </c>
      <c r="C59" s="70" t="str">
        <f>IF('Cleanup TMS'!E59="","",'Cleanup TMS'!E59)</f>
        <v/>
      </c>
      <c r="D59" s="70" t="str">
        <f>'Cleanup TMS'!F59</f>
        <v>WILDWOOD</v>
      </c>
      <c r="E59" s="70">
        <f>'Cleanup TMS'!G59</f>
        <v>35</v>
      </c>
      <c r="F59" s="71">
        <f>ROUND('Cleanup TMS'!H59,2)</f>
        <v>1.17</v>
      </c>
      <c r="G59" s="72" t="str">
        <f>'Cleanup TMS'!I59</f>
        <v>CR 139 (POWELL RD)</v>
      </c>
      <c r="H59" s="72" t="str">
        <f>'Cleanup TMS'!J59</f>
        <v>CR 44A</v>
      </c>
      <c r="I59" s="72" t="str">
        <f>'Cleanup TMS'!K59</f>
        <v>CR 466A</v>
      </c>
      <c r="J59" s="70">
        <f>'Cleanup TMS'!L59</f>
        <v>4</v>
      </c>
      <c r="K59" s="70">
        <v>4</v>
      </c>
      <c r="L59" s="70" t="s">
        <v>646</v>
      </c>
      <c r="M59" s="70" t="s">
        <v>649</v>
      </c>
      <c r="N59" s="152" t="s">
        <v>651</v>
      </c>
      <c r="O59" s="152" t="s">
        <v>547</v>
      </c>
      <c r="P59" s="70" t="str">
        <f>'Cleanup TMS'!V59</f>
        <v>COUNTY</v>
      </c>
      <c r="Q59" s="70" t="str">
        <f>'Cleanup TMS'!W59</f>
        <v>WILDWOOD</v>
      </c>
      <c r="R59" s="70" t="s">
        <v>5</v>
      </c>
      <c r="S59" s="73">
        <f>IF('Cleanup TMS'!AO59=0,"-",'Cleanup TMS'!AO59)</f>
        <v>30780</v>
      </c>
      <c r="T59" s="73">
        <f>'Cleanup TMS'!AP59</f>
        <v>17456</v>
      </c>
      <c r="U59" s="71">
        <f>IF(OR('Cleanup TMS'!AQ59=0,'Cleanup TMS'!AQ59=""),"-",'Cleanup TMS'!AQ59)</f>
        <v>0.56999999999999995</v>
      </c>
      <c r="V59" s="71" t="str">
        <f>IF(OR('Cleanup TMS'!AR59=0,'Cleanup TMS'!AR59=""),"-",'Cleanup TMS'!AR59)</f>
        <v>D</v>
      </c>
      <c r="W59" s="73">
        <f>IF('Cleanup TMS'!BB59=0,"-",'Cleanup TMS'!BB59)</f>
        <v>1549</v>
      </c>
      <c r="X59" s="73">
        <f>'Cleanup TMS'!BC59</f>
        <v>938</v>
      </c>
      <c r="Y59" s="73">
        <f>'Cleanup TMS'!BD59</f>
        <v>597</v>
      </c>
      <c r="Z59" s="74">
        <f>IF(OR('Cleanup TMS'!BE59=0,'Cleanup TMS'!BE59=""),"-",'Cleanup TMS'!BE59)</f>
        <v>0.61</v>
      </c>
      <c r="AA59" s="74" t="str">
        <f>IF(OR('Cleanup TMS'!BF59=0,'Cleanup TMS'!BF59=""),"-",'Cleanup TMS'!BF59)</f>
        <v>D</v>
      </c>
      <c r="AB59" s="148">
        <f>IF(OR('Cleanup TMS'!BI59="",'Cleanup TMS'!BI59=0),"-",'Cleanup TMS'!BI59)</f>
        <v>0.06</v>
      </c>
      <c r="AC59" s="73">
        <f>'Cleanup TMS'!BS59</f>
        <v>30780</v>
      </c>
      <c r="AD59" s="73">
        <f t="shared" si="0"/>
        <v>23360</v>
      </c>
      <c r="AE59" s="74">
        <f>IF(OR('Cleanup TMS'!BU59=0,'Cleanup TMS'!BU59=""),"-",'Cleanup TMS'!BU59)</f>
        <v>0.76</v>
      </c>
      <c r="AF59" s="74" t="str">
        <f>IF(OR('Cleanup TMS'!BV59=0,'Cleanup TMS'!BV59=""),"-",'Cleanup TMS'!BV59)</f>
        <v>D</v>
      </c>
      <c r="AG59" s="73">
        <f>'Cleanup TMS'!CF59</f>
        <v>1549</v>
      </c>
      <c r="AH59" s="73">
        <f t="shared" si="1"/>
        <v>1255</v>
      </c>
      <c r="AI59" s="73">
        <f t="shared" si="2"/>
        <v>799</v>
      </c>
      <c r="AJ59" s="71">
        <f>IF(OR('Cleanup TMS'!CI59=0,'Cleanup TMS'!CI59=""),"-",'Cleanup TMS'!CI59)</f>
        <v>0.81</v>
      </c>
      <c r="AK59" s="75" t="str">
        <f>IF(OR('Cleanup TMS'!CJ59=0,'Cleanup TMS'!CJ59=""),"-",'Cleanup TMS'!CJ59)</f>
        <v>D</v>
      </c>
    </row>
    <row r="60" spans="1:37" ht="18.75" customHeight="1">
      <c r="A60" s="69">
        <f>'Cleanup TMS'!A60</f>
        <v>3293100</v>
      </c>
      <c r="B60" s="70">
        <f>'Cleanup TMS'!B60</f>
        <v>124</v>
      </c>
      <c r="C60" s="70" t="str">
        <f>IF('Cleanup TMS'!E60="","",'Cleanup TMS'!E60)</f>
        <v/>
      </c>
      <c r="D60" s="70" t="str">
        <f>'Cleanup TMS'!F60</f>
        <v>SUMTER</v>
      </c>
      <c r="E60" s="70">
        <f>'Cleanup TMS'!G60</f>
        <v>40</v>
      </c>
      <c r="F60" s="71">
        <f>ROUND('Cleanup TMS'!H60,2)</f>
        <v>0.46</v>
      </c>
      <c r="G60" s="72" t="str">
        <f>'Cleanup TMS'!I60</f>
        <v>CR 747</v>
      </c>
      <c r="H60" s="72" t="str">
        <f>'Cleanup TMS'!J60</f>
        <v>CR 478 E</v>
      </c>
      <c r="I60" s="72" t="str">
        <f>'Cleanup TMS'!K60</f>
        <v>CR 730</v>
      </c>
      <c r="J60" s="70">
        <f>'Cleanup TMS'!L60</f>
        <v>2</v>
      </c>
      <c r="K60" s="70">
        <v>2</v>
      </c>
      <c r="L60" s="70" t="s">
        <v>647</v>
      </c>
      <c r="M60" s="70" t="s">
        <v>648</v>
      </c>
      <c r="N60" s="152" t="s">
        <v>651</v>
      </c>
      <c r="O60" s="152" t="s">
        <v>547</v>
      </c>
      <c r="P60" s="70" t="str">
        <f>'Cleanup TMS'!V60</f>
        <v>COUNTY</v>
      </c>
      <c r="Q60" s="70" t="str">
        <f>'Cleanup TMS'!W60</f>
        <v>UNINCORPORATED SUMTER COUNTY</v>
      </c>
      <c r="R60" s="70" t="s">
        <v>4</v>
      </c>
      <c r="S60" s="73">
        <f>IF('Cleanup TMS'!AO60=0,"-",'Cleanup TMS'!AO60)</f>
        <v>9030</v>
      </c>
      <c r="T60" s="73">
        <f>'Cleanup TMS'!AP60</f>
        <v>718</v>
      </c>
      <c r="U60" s="71">
        <f>IF(OR('Cleanup TMS'!AQ60=0,'Cleanup TMS'!AQ60=""),"-",'Cleanup TMS'!AQ60)</f>
        <v>0.08</v>
      </c>
      <c r="V60" s="71" t="str">
        <f>IF(OR('Cleanup TMS'!AR60=0,'Cleanup TMS'!AR60=""),"-",'Cleanup TMS'!AR60)</f>
        <v>C</v>
      </c>
      <c r="W60" s="73">
        <f>IF('Cleanup TMS'!BB60=0,"-",'Cleanup TMS'!BB60)</f>
        <v>469</v>
      </c>
      <c r="X60" s="73">
        <f>'Cleanup TMS'!BC60</f>
        <v>25</v>
      </c>
      <c r="Y60" s="73">
        <f>'Cleanup TMS'!BD60</f>
        <v>53</v>
      </c>
      <c r="Z60" s="74">
        <f>IF(OR('Cleanup TMS'!BE60=0,'Cleanup TMS'!BE60=""),"-",'Cleanup TMS'!BE60)</f>
        <v>0.11</v>
      </c>
      <c r="AA60" s="74" t="str">
        <f>IF(OR('Cleanup TMS'!BF60=0,'Cleanup TMS'!BF60=""),"-",'Cleanup TMS'!BF60)</f>
        <v>C</v>
      </c>
      <c r="AB60" s="148">
        <f>IF(OR('Cleanup TMS'!BI60="",'Cleanup TMS'!BI60=0),"-",'Cleanup TMS'!BI60)</f>
        <v>1.4999999999999999E-2</v>
      </c>
      <c r="AC60" s="73">
        <f>'Cleanup TMS'!BS60</f>
        <v>9030</v>
      </c>
      <c r="AD60" s="73">
        <f t="shared" si="0"/>
        <v>773</v>
      </c>
      <c r="AE60" s="74">
        <f>IF(OR('Cleanup TMS'!BU60=0,'Cleanup TMS'!BU60=""),"-",'Cleanup TMS'!BU60)</f>
        <v>0.09</v>
      </c>
      <c r="AF60" s="74" t="str">
        <f>IF(OR('Cleanup TMS'!BV60=0,'Cleanup TMS'!BV60=""),"-",'Cleanup TMS'!BV60)</f>
        <v>C</v>
      </c>
      <c r="AG60" s="73">
        <f>'Cleanup TMS'!CF60</f>
        <v>469</v>
      </c>
      <c r="AH60" s="73">
        <f t="shared" si="1"/>
        <v>27</v>
      </c>
      <c r="AI60" s="73">
        <f t="shared" si="2"/>
        <v>57</v>
      </c>
      <c r="AJ60" s="71">
        <f>IF(OR('Cleanup TMS'!CI60=0,'Cleanup TMS'!CI60=""),"-",'Cleanup TMS'!CI60)</f>
        <v>0.12</v>
      </c>
      <c r="AK60" s="75" t="str">
        <f>IF(OR('Cleanup TMS'!CJ60=0,'Cleanup TMS'!CJ60=""),"-",'Cleanup TMS'!CJ60)</f>
        <v>C</v>
      </c>
    </row>
    <row r="61" spans="1:37" ht="18.75" customHeight="1">
      <c r="A61" s="69">
        <f>'Cleanup TMS'!A61</f>
        <v>3293110</v>
      </c>
      <c r="B61" s="70">
        <f>'Cleanup TMS'!B61</f>
        <v>123</v>
      </c>
      <c r="C61" s="70" t="str">
        <f>IF('Cleanup TMS'!E61="","",'Cleanup TMS'!E61)</f>
        <v/>
      </c>
      <c r="D61" s="70" t="str">
        <f>'Cleanup TMS'!F61</f>
        <v>SUMTER</v>
      </c>
      <c r="E61" s="70">
        <f>'Cleanup TMS'!G61</f>
        <v>40</v>
      </c>
      <c r="F61" s="71">
        <f>ROUND('Cleanup TMS'!H61,2)</f>
        <v>2.0099999999999998</v>
      </c>
      <c r="G61" s="72" t="str">
        <f>'Cleanup TMS'!I61</f>
        <v>CR 747</v>
      </c>
      <c r="H61" s="72" t="str">
        <f>'Cleanup TMS'!J61</f>
        <v>CR 730</v>
      </c>
      <c r="I61" s="72" t="str">
        <f>'Cleanup TMS'!K61</f>
        <v>CR 48</v>
      </c>
      <c r="J61" s="70">
        <f>'Cleanup TMS'!L61</f>
        <v>2</v>
      </c>
      <c r="K61" s="70">
        <v>2</v>
      </c>
      <c r="L61" s="70" t="s">
        <v>646</v>
      </c>
      <c r="M61" s="70" t="s">
        <v>648</v>
      </c>
      <c r="N61" s="152" t="s">
        <v>651</v>
      </c>
      <c r="O61" s="152" t="s">
        <v>547</v>
      </c>
      <c r="P61" s="70" t="str">
        <f>'Cleanup TMS'!V61</f>
        <v>COUNTY</v>
      </c>
      <c r="Q61" s="70" t="str">
        <f>'Cleanup TMS'!W61</f>
        <v>UNINCORPORATED SUMTER COUNTY</v>
      </c>
      <c r="R61" s="70" t="s">
        <v>5</v>
      </c>
      <c r="S61" s="73">
        <f>IF('Cleanup TMS'!AO61=0,"-",'Cleanup TMS'!AO61)</f>
        <v>15930</v>
      </c>
      <c r="T61" s="73">
        <f>'Cleanup TMS'!AP61</f>
        <v>1248</v>
      </c>
      <c r="U61" s="71">
        <f>IF(OR('Cleanup TMS'!AQ61=0,'Cleanup TMS'!AQ61=""),"-",'Cleanup TMS'!AQ61)</f>
        <v>0.08</v>
      </c>
      <c r="V61" s="71" t="str">
        <f>IF(OR('Cleanup TMS'!AR61=0,'Cleanup TMS'!AR61=""),"-",'Cleanup TMS'!AR61)</f>
        <v>C</v>
      </c>
      <c r="W61" s="73">
        <f>IF('Cleanup TMS'!BB61=0,"-",'Cleanup TMS'!BB61)</f>
        <v>792</v>
      </c>
      <c r="X61" s="73">
        <f>'Cleanup TMS'!BC61</f>
        <v>104</v>
      </c>
      <c r="Y61" s="73">
        <f>'Cleanup TMS'!BD61</f>
        <v>65</v>
      </c>
      <c r="Z61" s="74">
        <f>IF(OR('Cleanup TMS'!BE61=0,'Cleanup TMS'!BE61=""),"-",'Cleanup TMS'!BE61)</f>
        <v>0.13</v>
      </c>
      <c r="AA61" s="74" t="str">
        <f>IF(OR('Cleanup TMS'!BF61=0,'Cleanup TMS'!BF61=""),"-",'Cleanup TMS'!BF61)</f>
        <v>C</v>
      </c>
      <c r="AB61" s="148">
        <f>IF(OR('Cleanup TMS'!BI61="",'Cleanup TMS'!BI61=0),"-",'Cleanup TMS'!BI61)</f>
        <v>4.4999999999999998E-2</v>
      </c>
      <c r="AC61" s="73">
        <f>'Cleanup TMS'!BS61</f>
        <v>15930</v>
      </c>
      <c r="AD61" s="73">
        <f t="shared" si="0"/>
        <v>1555</v>
      </c>
      <c r="AE61" s="74">
        <f>IF(OR('Cleanup TMS'!BU61=0,'Cleanup TMS'!BU61=""),"-",'Cleanup TMS'!BU61)</f>
        <v>0.1</v>
      </c>
      <c r="AF61" s="74" t="str">
        <f>IF(OR('Cleanup TMS'!BV61=0,'Cleanup TMS'!BV61=""),"-",'Cleanup TMS'!BV61)</f>
        <v>C</v>
      </c>
      <c r="AG61" s="73">
        <f>'Cleanup TMS'!CF61</f>
        <v>792</v>
      </c>
      <c r="AH61" s="73">
        <f t="shared" si="1"/>
        <v>130</v>
      </c>
      <c r="AI61" s="73">
        <f t="shared" si="2"/>
        <v>81</v>
      </c>
      <c r="AJ61" s="71">
        <f>IF(OR('Cleanup TMS'!CI61=0,'Cleanup TMS'!CI61=""),"-",'Cleanup TMS'!CI61)</f>
        <v>0.16</v>
      </c>
      <c r="AK61" s="75" t="str">
        <f>IF(OR('Cleanup TMS'!CJ61=0,'Cleanup TMS'!CJ61=""),"-",'Cleanup TMS'!CJ61)</f>
        <v>C</v>
      </c>
    </row>
    <row r="62" spans="1:37" ht="18.75" customHeight="1">
      <c r="A62" s="69">
        <f>'Cleanup TMS'!A62</f>
        <v>3297000</v>
      </c>
      <c r="B62" s="70">
        <f>'Cleanup TMS'!B62</f>
        <v>112</v>
      </c>
      <c r="C62" s="70" t="str">
        <f>IF('Cleanup TMS'!E62="","",'Cleanup TMS'!E62)</f>
        <v>-</v>
      </c>
      <c r="D62" s="70" t="str">
        <f>'Cleanup TMS'!F62</f>
        <v>SUMTER</v>
      </c>
      <c r="E62" s="70">
        <f>'Cleanup TMS'!G62</f>
        <v>35</v>
      </c>
      <c r="F62" s="71">
        <f>ROUND('Cleanup TMS'!H62,2)</f>
        <v>1.85</v>
      </c>
      <c r="G62" s="72" t="str">
        <f>'Cleanup TMS'!I62</f>
        <v>CR 625</v>
      </c>
      <c r="H62" s="72" t="str">
        <f>'Cleanup TMS'!J62</f>
        <v>CR 476</v>
      </c>
      <c r="I62" s="72" t="str">
        <f>'Cleanup TMS'!K62</f>
        <v>CR 48</v>
      </c>
      <c r="J62" s="70">
        <f>'Cleanup TMS'!L62</f>
        <v>2</v>
      </c>
      <c r="K62" s="70">
        <v>2</v>
      </c>
      <c r="L62" s="70" t="s">
        <v>647</v>
      </c>
      <c r="M62" s="70" t="s">
        <v>648</v>
      </c>
      <c r="N62" s="152" t="s">
        <v>651</v>
      </c>
      <c r="O62" s="152" t="s">
        <v>547</v>
      </c>
      <c r="P62" s="70" t="str">
        <f>'Cleanup TMS'!V62</f>
        <v>COUNTY</v>
      </c>
      <c r="Q62" s="70" t="str">
        <f>'Cleanup TMS'!W62</f>
        <v>UNINCORPORATED SUMTER COUNTY</v>
      </c>
      <c r="R62" s="70" t="s">
        <v>4</v>
      </c>
      <c r="S62" s="73">
        <f>IF('Cleanup TMS'!AO62=0,"-",'Cleanup TMS'!AO62)</f>
        <v>9030</v>
      </c>
      <c r="T62" s="73">
        <f>'Cleanup TMS'!AP62</f>
        <v>362</v>
      </c>
      <c r="U62" s="71">
        <f>IF(OR('Cleanup TMS'!AQ62=0,'Cleanup TMS'!AQ62=""),"-",'Cleanup TMS'!AQ62)</f>
        <v>0.04</v>
      </c>
      <c r="V62" s="71" t="str">
        <f>IF(OR('Cleanup TMS'!AR62=0,'Cleanup TMS'!AR62=""),"-",'Cleanup TMS'!AR62)</f>
        <v>C</v>
      </c>
      <c r="W62" s="73">
        <f>IF('Cleanup TMS'!BB62=0,"-",'Cleanup TMS'!BB62)</f>
        <v>469</v>
      </c>
      <c r="X62" s="73">
        <f>'Cleanup TMS'!BC62</f>
        <v>19</v>
      </c>
      <c r="Y62" s="73">
        <f>'Cleanup TMS'!BD62</f>
        <v>16</v>
      </c>
      <c r="Z62" s="74">
        <f>IF(OR('Cleanup TMS'!BE62=0,'Cleanup TMS'!BE62=""),"-",'Cleanup TMS'!BE62)</f>
        <v>0.04</v>
      </c>
      <c r="AA62" s="74" t="str">
        <f>IF(OR('Cleanup TMS'!BF62=0,'Cleanup TMS'!BF62=""),"-",'Cleanup TMS'!BF62)</f>
        <v>C</v>
      </c>
      <c r="AB62" s="148">
        <f>IF(OR('Cleanup TMS'!BI62="",'Cleanup TMS'!BI62=0),"-",'Cleanup TMS'!BI62)</f>
        <v>0.01</v>
      </c>
      <c r="AC62" s="73">
        <f>'Cleanup TMS'!BS62</f>
        <v>9030</v>
      </c>
      <c r="AD62" s="73">
        <f t="shared" si="0"/>
        <v>380</v>
      </c>
      <c r="AE62" s="74">
        <f>IF(OR('Cleanup TMS'!BU62=0,'Cleanup TMS'!BU62=""),"-",'Cleanup TMS'!BU62)</f>
        <v>0.04</v>
      </c>
      <c r="AF62" s="74" t="str">
        <f>IF(OR('Cleanup TMS'!BV62=0,'Cleanup TMS'!BV62=""),"-",'Cleanup TMS'!BV62)</f>
        <v>C</v>
      </c>
      <c r="AG62" s="73">
        <f>'Cleanup TMS'!CF62</f>
        <v>469</v>
      </c>
      <c r="AH62" s="73">
        <f t="shared" si="1"/>
        <v>20</v>
      </c>
      <c r="AI62" s="73">
        <f t="shared" si="2"/>
        <v>17</v>
      </c>
      <c r="AJ62" s="71">
        <f>IF(OR('Cleanup TMS'!CI62=0,'Cleanup TMS'!CI62=""),"-",'Cleanup TMS'!CI62)</f>
        <v>0.04</v>
      </c>
      <c r="AK62" s="75" t="str">
        <f>IF(OR('Cleanup TMS'!CJ62=0,'Cleanup TMS'!CJ62=""),"-",'Cleanup TMS'!CJ62)</f>
        <v>C</v>
      </c>
    </row>
    <row r="63" spans="1:37" ht="18.75" customHeight="1">
      <c r="A63" s="69">
        <f>'Cleanup TMS'!A63</f>
        <v>3300000</v>
      </c>
      <c r="B63" s="70">
        <f>'Cleanup TMS'!B63</f>
        <v>164</v>
      </c>
      <c r="C63" s="70" t="str">
        <f>IF('Cleanup TMS'!E63="","",'Cleanup TMS'!E63)</f>
        <v/>
      </c>
      <c r="D63" s="70" t="str">
        <f>'Cleanup TMS'!F63</f>
        <v>SUMTER</v>
      </c>
      <c r="E63" s="70">
        <f>'Cleanup TMS'!G63</f>
        <v>35</v>
      </c>
      <c r="F63" s="71">
        <f>ROUND('Cleanup TMS'!H63,2)</f>
        <v>0.36</v>
      </c>
      <c r="G63" s="72" t="str">
        <f>'Cleanup TMS'!I63</f>
        <v>BUENA VISTA BLVD</v>
      </c>
      <c r="H63" s="72" t="str">
        <f>'Cleanup TMS'!J63</f>
        <v>CR 472 (RAINEY TRL)</v>
      </c>
      <c r="I63" s="72" t="str">
        <f>'Cleanup TMS'!K63</f>
        <v>BELVEDERE BLVD</v>
      </c>
      <c r="J63" s="70">
        <f>'Cleanup TMS'!L63</f>
        <v>4</v>
      </c>
      <c r="K63" s="70">
        <v>4</v>
      </c>
      <c r="L63" s="70" t="s">
        <v>646</v>
      </c>
      <c r="M63" s="70" t="s">
        <v>649</v>
      </c>
      <c r="N63" s="152" t="s">
        <v>651</v>
      </c>
      <c r="O63" s="152" t="s">
        <v>547</v>
      </c>
      <c r="P63" s="70" t="str">
        <f>'Cleanup TMS'!V63</f>
        <v>COUNTY</v>
      </c>
      <c r="Q63" s="70" t="str">
        <f>'Cleanup TMS'!W63</f>
        <v>UNINCORPORATED SUMTER COUNTY</v>
      </c>
      <c r="R63" s="70" t="s">
        <v>5</v>
      </c>
      <c r="S63" s="73">
        <f>IF('Cleanup TMS'!AO63=0,"-",'Cleanup TMS'!AO63)</f>
        <v>29160</v>
      </c>
      <c r="T63" s="73">
        <f>'Cleanup TMS'!AP63</f>
        <v>18780</v>
      </c>
      <c r="U63" s="71">
        <f>IF(OR('Cleanup TMS'!AQ63=0,'Cleanup TMS'!AQ63=""),"-",'Cleanup TMS'!AQ63)</f>
        <v>0.64</v>
      </c>
      <c r="V63" s="71" t="str">
        <f>IF(OR('Cleanup TMS'!AR63=0,'Cleanup TMS'!AR63=""),"-",'Cleanup TMS'!AR63)</f>
        <v>D</v>
      </c>
      <c r="W63" s="73">
        <f>IF('Cleanup TMS'!BB63=0,"-",'Cleanup TMS'!BB63)</f>
        <v>1467</v>
      </c>
      <c r="X63" s="73">
        <f>'Cleanup TMS'!BC63</f>
        <v>940</v>
      </c>
      <c r="Y63" s="73">
        <f>'Cleanup TMS'!BD63</f>
        <v>896</v>
      </c>
      <c r="Z63" s="74">
        <f>IF(OR('Cleanup TMS'!BE63=0,'Cleanup TMS'!BE63=""),"-",'Cleanup TMS'!BE63)</f>
        <v>0.64</v>
      </c>
      <c r="AA63" s="74" t="str">
        <f>IF(OR('Cleanup TMS'!BF63=0,'Cleanup TMS'!BF63=""),"-",'Cleanup TMS'!BF63)</f>
        <v>D</v>
      </c>
      <c r="AB63" s="148">
        <f>IF(OR('Cleanup TMS'!BI63="",'Cleanup TMS'!BI63=0),"-",'Cleanup TMS'!BI63)</f>
        <v>0.01</v>
      </c>
      <c r="AC63" s="73">
        <f>'Cleanup TMS'!BS63</f>
        <v>29160</v>
      </c>
      <c r="AD63" s="73">
        <f t="shared" si="0"/>
        <v>19738</v>
      </c>
      <c r="AE63" s="74">
        <f>IF(OR('Cleanup TMS'!BU63=0,'Cleanup TMS'!BU63=""),"-",'Cleanup TMS'!BU63)</f>
        <v>0.68</v>
      </c>
      <c r="AF63" s="74" t="str">
        <f>IF(OR('Cleanup TMS'!BV63=0,'Cleanup TMS'!BV63=""),"-",'Cleanup TMS'!BV63)</f>
        <v>D</v>
      </c>
      <c r="AG63" s="73">
        <f>'Cleanup TMS'!CF63</f>
        <v>1467</v>
      </c>
      <c r="AH63" s="73">
        <f t="shared" si="1"/>
        <v>988</v>
      </c>
      <c r="AI63" s="73">
        <f t="shared" si="2"/>
        <v>942</v>
      </c>
      <c r="AJ63" s="71">
        <f>IF(OR('Cleanup TMS'!CI63=0,'Cleanup TMS'!CI63=""),"-",'Cleanup TMS'!CI63)</f>
        <v>0.67</v>
      </c>
      <c r="AK63" s="75" t="str">
        <f>IF(OR('Cleanup TMS'!CJ63=0,'Cleanup TMS'!CJ63=""),"-",'Cleanup TMS'!CJ63)</f>
        <v>D</v>
      </c>
    </row>
    <row r="64" spans="1:37" ht="18.75" customHeight="1">
      <c r="A64" s="69">
        <f>'Cleanup TMS'!A64</f>
        <v>3301000</v>
      </c>
      <c r="B64" s="70">
        <f>'Cleanup TMS'!B64</f>
        <v>111</v>
      </c>
      <c r="C64" s="70" t="str">
        <f>IF('Cleanup TMS'!E64="","",'Cleanup TMS'!E64)</f>
        <v/>
      </c>
      <c r="D64" s="70" t="str">
        <f>'Cleanup TMS'!F64</f>
        <v>SUMTER</v>
      </c>
      <c r="E64" s="70">
        <f>'Cleanup TMS'!G64</f>
        <v>45</v>
      </c>
      <c r="F64" s="71">
        <f>ROUND('Cleanup TMS'!H64,2)</f>
        <v>0.73</v>
      </c>
      <c r="G64" s="72" t="str">
        <f>'Cleanup TMS'!I64</f>
        <v>CR 616 (HAYES RD)</v>
      </c>
      <c r="H64" s="72" t="str">
        <f>'Cleanup TMS'!J64</f>
        <v>CR 476</v>
      </c>
      <c r="I64" s="72" t="str">
        <f>'Cleanup TMS'!K64</f>
        <v>CR 48</v>
      </c>
      <c r="J64" s="70">
        <f>'Cleanup TMS'!L64</f>
        <v>2</v>
      </c>
      <c r="K64" s="70">
        <v>2</v>
      </c>
      <c r="L64" s="70" t="s">
        <v>646</v>
      </c>
      <c r="M64" s="70" t="s">
        <v>648</v>
      </c>
      <c r="N64" s="152" t="s">
        <v>651</v>
      </c>
      <c r="O64" s="152" t="s">
        <v>547</v>
      </c>
      <c r="P64" s="70" t="str">
        <f>'Cleanup TMS'!V64</f>
        <v>COUNTY</v>
      </c>
      <c r="Q64" s="70" t="str">
        <f>'Cleanup TMS'!W64</f>
        <v>UNINCORPORATED SUMTER COUNTY</v>
      </c>
      <c r="R64" s="70" t="s">
        <v>5</v>
      </c>
      <c r="S64" s="73">
        <f>IF('Cleanup TMS'!AO64=0,"-",'Cleanup TMS'!AO64)</f>
        <v>12390</v>
      </c>
      <c r="T64" s="73">
        <f>'Cleanup TMS'!AP64</f>
        <v>5016</v>
      </c>
      <c r="U64" s="71">
        <f>IF(OR('Cleanup TMS'!AQ64=0,'Cleanup TMS'!AQ64=""),"-",'Cleanup TMS'!AQ64)</f>
        <v>0.4</v>
      </c>
      <c r="V64" s="71" t="str">
        <f>IF(OR('Cleanup TMS'!AR64=0,'Cleanup TMS'!AR64=""),"-",'Cleanup TMS'!AR64)</f>
        <v>C</v>
      </c>
      <c r="W64" s="73">
        <f>IF('Cleanup TMS'!BB64=0,"-",'Cleanup TMS'!BB64)</f>
        <v>616</v>
      </c>
      <c r="X64" s="73">
        <f>'Cleanup TMS'!BC64</f>
        <v>198</v>
      </c>
      <c r="Y64" s="73">
        <f>'Cleanup TMS'!BD64</f>
        <v>218</v>
      </c>
      <c r="Z64" s="74">
        <f>IF(OR('Cleanup TMS'!BE64=0,'Cleanup TMS'!BE64=""),"-",'Cleanup TMS'!BE64)</f>
        <v>0.35</v>
      </c>
      <c r="AA64" s="74" t="str">
        <f>IF(OR('Cleanup TMS'!BF64=0,'Cleanup TMS'!BF64=""),"-",'Cleanup TMS'!BF64)</f>
        <v>C</v>
      </c>
      <c r="AB64" s="148">
        <f>IF(OR('Cleanup TMS'!BI64="",'Cleanup TMS'!BI64=0),"-",'Cleanup TMS'!BI64)</f>
        <v>0.02</v>
      </c>
      <c r="AC64" s="73">
        <f>'Cleanup TMS'!BS64</f>
        <v>12390</v>
      </c>
      <c r="AD64" s="73">
        <f t="shared" si="0"/>
        <v>5538</v>
      </c>
      <c r="AE64" s="74">
        <f>IF(OR('Cleanup TMS'!BU64=0,'Cleanup TMS'!BU64=""),"-",'Cleanup TMS'!BU64)</f>
        <v>0.45</v>
      </c>
      <c r="AF64" s="74" t="str">
        <f>IF(OR('Cleanup TMS'!BV64=0,'Cleanup TMS'!BV64=""),"-",'Cleanup TMS'!BV64)</f>
        <v>C</v>
      </c>
      <c r="AG64" s="73">
        <f>'Cleanup TMS'!CF64</f>
        <v>616</v>
      </c>
      <c r="AH64" s="73">
        <f t="shared" si="1"/>
        <v>219</v>
      </c>
      <c r="AI64" s="73">
        <f t="shared" si="2"/>
        <v>241</v>
      </c>
      <c r="AJ64" s="71">
        <f>IF(OR('Cleanup TMS'!CI64=0,'Cleanup TMS'!CI64=""),"-",'Cleanup TMS'!CI64)</f>
        <v>0.39</v>
      </c>
      <c r="AK64" s="75" t="str">
        <f>IF(OR('Cleanup TMS'!CJ64=0,'Cleanup TMS'!CJ64=""),"-",'Cleanup TMS'!CJ64)</f>
        <v>C</v>
      </c>
    </row>
    <row r="65" spans="1:37" ht="18.75" customHeight="1">
      <c r="A65" s="69">
        <f>'Cleanup TMS'!A65</f>
        <v>3525100</v>
      </c>
      <c r="B65" s="70">
        <f>'Cleanup TMS'!B65</f>
        <v>48</v>
      </c>
      <c r="C65" s="70" t="str">
        <f>IF('Cleanup TMS'!E65="","",'Cleanup TMS'!E65)</f>
        <v/>
      </c>
      <c r="D65" s="70" t="str">
        <f>'Cleanup TMS'!F65</f>
        <v>SUMTER</v>
      </c>
      <c r="E65" s="70">
        <f>'Cleanup TMS'!G65</f>
        <v>55</v>
      </c>
      <c r="F65" s="71">
        <f>ROUND('Cleanup TMS'!H65,2)</f>
        <v>1.03</v>
      </c>
      <c r="G65" s="72" t="str">
        <f>'Cleanup TMS'!I65</f>
        <v>CR 475 N</v>
      </c>
      <c r="H65" s="72" t="str">
        <f>'Cleanup TMS'!J65</f>
        <v>SR 44</v>
      </c>
      <c r="I65" s="72" t="str">
        <f>'Cleanup TMS'!K65</f>
        <v>CR 462</v>
      </c>
      <c r="J65" s="70">
        <f>'Cleanup TMS'!L65</f>
        <v>2</v>
      </c>
      <c r="K65" s="70">
        <v>2</v>
      </c>
      <c r="L65" s="70" t="s">
        <v>646</v>
      </c>
      <c r="M65" s="70" t="s">
        <v>648</v>
      </c>
      <c r="N65" s="152" t="s">
        <v>652</v>
      </c>
      <c r="O65" s="152" t="s">
        <v>547</v>
      </c>
      <c r="P65" s="70" t="str">
        <f>'Cleanup TMS'!V65</f>
        <v>COUNTY</v>
      </c>
      <c r="Q65" s="70" t="str">
        <f>'Cleanup TMS'!W65</f>
        <v>UNINCORPORATED SUMTER COUNTY</v>
      </c>
      <c r="R65" s="70" t="s">
        <v>5</v>
      </c>
      <c r="S65" s="73">
        <f>IF('Cleanup TMS'!AO65=0,"-",'Cleanup TMS'!AO65)</f>
        <v>24200</v>
      </c>
      <c r="T65" s="73">
        <f>'Cleanup TMS'!AP65</f>
        <v>5588</v>
      </c>
      <c r="U65" s="71">
        <f>IF(OR('Cleanup TMS'!AQ65=0,'Cleanup TMS'!AQ65=""),"-",'Cleanup TMS'!AQ65)</f>
        <v>0.23</v>
      </c>
      <c r="V65" s="71" t="str">
        <f>IF(OR('Cleanup TMS'!AR65=0,'Cleanup TMS'!AR65=""),"-",'Cleanup TMS'!AR65)</f>
        <v>B</v>
      </c>
      <c r="W65" s="73">
        <f>IF('Cleanup TMS'!BB65=0,"-",'Cleanup TMS'!BB65)</f>
        <v>1200</v>
      </c>
      <c r="X65" s="73">
        <f>'Cleanup TMS'!BC65</f>
        <v>239</v>
      </c>
      <c r="Y65" s="73">
        <f>'Cleanup TMS'!BD65</f>
        <v>319</v>
      </c>
      <c r="Z65" s="74">
        <f>IF(OR('Cleanup TMS'!BE65=0,'Cleanup TMS'!BE65=""),"-",'Cleanup TMS'!BE65)</f>
        <v>0.27</v>
      </c>
      <c r="AA65" s="74" t="str">
        <f>IF(OR('Cleanup TMS'!BF65=0,'Cleanup TMS'!BF65=""),"-",'Cleanup TMS'!BF65)</f>
        <v>B</v>
      </c>
      <c r="AB65" s="148">
        <f>IF(OR('Cleanup TMS'!BI65="",'Cleanup TMS'!BI65=0),"-",'Cleanup TMS'!BI65)</f>
        <v>4.2500000000000003E-2</v>
      </c>
      <c r="AC65" s="73">
        <f>'Cleanup TMS'!BS65</f>
        <v>24200</v>
      </c>
      <c r="AD65" s="73">
        <f t="shared" si="0"/>
        <v>6881</v>
      </c>
      <c r="AE65" s="74">
        <f>IF(OR('Cleanup TMS'!BU65=0,'Cleanup TMS'!BU65=""),"-",'Cleanup TMS'!BU65)</f>
        <v>0.28000000000000003</v>
      </c>
      <c r="AF65" s="74" t="str">
        <f>IF(OR('Cleanup TMS'!BV65=0,'Cleanup TMS'!BV65=""),"-",'Cleanup TMS'!BV65)</f>
        <v>B</v>
      </c>
      <c r="AG65" s="73">
        <f>'Cleanup TMS'!CF65</f>
        <v>1200</v>
      </c>
      <c r="AH65" s="73">
        <f t="shared" si="1"/>
        <v>294</v>
      </c>
      <c r="AI65" s="73">
        <f t="shared" si="2"/>
        <v>393</v>
      </c>
      <c r="AJ65" s="71">
        <f>IF(OR('Cleanup TMS'!CI65=0,'Cleanup TMS'!CI65=""),"-",'Cleanup TMS'!CI65)</f>
        <v>0.33</v>
      </c>
      <c r="AK65" s="75" t="str">
        <f>IF(OR('Cleanup TMS'!CJ65=0,'Cleanup TMS'!CJ65=""),"-",'Cleanup TMS'!CJ65)</f>
        <v>B</v>
      </c>
    </row>
    <row r="66" spans="1:37" ht="18.75" customHeight="1">
      <c r="A66" s="69">
        <f>'Cleanup TMS'!A66</f>
        <v>3525110</v>
      </c>
      <c r="B66" s="70" t="str">
        <f>'Cleanup TMS'!B66</f>
        <v>2020-76</v>
      </c>
      <c r="C66" s="70" t="str">
        <f>IF('Cleanup TMS'!E66="","",'Cleanup TMS'!E66)</f>
        <v/>
      </c>
      <c r="D66" s="70" t="str">
        <f>'Cleanup TMS'!F66</f>
        <v>SUMTER</v>
      </c>
      <c r="E66" s="70">
        <f>'Cleanup TMS'!G66</f>
        <v>50</v>
      </c>
      <c r="F66" s="71">
        <f>ROUND('Cleanup TMS'!H66,2)</f>
        <v>3.18</v>
      </c>
      <c r="G66" s="72" t="str">
        <f>'Cleanup TMS'!I66</f>
        <v>CR 475 N</v>
      </c>
      <c r="H66" s="72" t="str">
        <f>'Cleanup TMS'!J66</f>
        <v>CR 462</v>
      </c>
      <c r="I66" s="72" t="str">
        <f>'Cleanup TMS'!K66</f>
        <v>CR 466</v>
      </c>
      <c r="J66" s="70">
        <f>'Cleanup TMS'!L66</f>
        <v>2</v>
      </c>
      <c r="K66" s="70">
        <v>2</v>
      </c>
      <c r="L66" s="70" t="s">
        <v>646</v>
      </c>
      <c r="M66" s="70" t="s">
        <v>648</v>
      </c>
      <c r="N66" s="152" t="s">
        <v>652</v>
      </c>
      <c r="O66" s="152" t="s">
        <v>547</v>
      </c>
      <c r="P66" s="70" t="str">
        <f>'Cleanup TMS'!V66</f>
        <v>COUNTY</v>
      </c>
      <c r="Q66" s="70" t="str">
        <f>'Cleanup TMS'!W66</f>
        <v>UNINCORPORATED SUMTER COUNTY</v>
      </c>
      <c r="R66" s="70" t="s">
        <v>5</v>
      </c>
      <c r="S66" s="73">
        <f>IF('Cleanup TMS'!AO66=0,"-",'Cleanup TMS'!AO66)</f>
        <v>24200</v>
      </c>
      <c r="T66" s="73">
        <f>'Cleanup TMS'!AP66</f>
        <v>6242.2600000000093</v>
      </c>
      <c r="U66" s="71">
        <f>IF(OR('Cleanup TMS'!AQ66=0,'Cleanup TMS'!AQ66=""),"-",'Cleanup TMS'!AQ66)</f>
        <v>0.26</v>
      </c>
      <c r="V66" s="71" t="str">
        <f>IF(OR('Cleanup TMS'!AR66=0,'Cleanup TMS'!AR66=""),"-",'Cleanup TMS'!AR66)</f>
        <v>B</v>
      </c>
      <c r="W66" s="73">
        <f>IF('Cleanup TMS'!BB66=0,"-",'Cleanup TMS'!BB66)</f>
        <v>1200</v>
      </c>
      <c r="X66" s="73">
        <f>'Cleanup TMS'!BC66</f>
        <v>350</v>
      </c>
      <c r="Y66" s="73">
        <f>'Cleanup TMS'!BD66</f>
        <v>173</v>
      </c>
      <c r="Z66" s="74">
        <f>IF(OR('Cleanup TMS'!BE66=0,'Cleanup TMS'!BE66=""),"-",'Cleanup TMS'!BE66)</f>
        <v>0.28999999999999998</v>
      </c>
      <c r="AA66" s="74" t="str">
        <f>IF(OR('Cleanup TMS'!BF66=0,'Cleanup TMS'!BF66=""),"-",'Cleanup TMS'!BF66)</f>
        <v>B</v>
      </c>
      <c r="AB66" s="148">
        <f>IF(OR('Cleanup TMS'!BI66="",'Cleanup TMS'!BI66=0),"-",'Cleanup TMS'!BI66)</f>
        <v>7.4999999999999997E-2</v>
      </c>
      <c r="AC66" s="73">
        <f>'Cleanup TMS'!BS66</f>
        <v>24200</v>
      </c>
      <c r="AD66" s="73">
        <f t="shared" si="0"/>
        <v>8962</v>
      </c>
      <c r="AE66" s="74">
        <f>IF(OR('Cleanup TMS'!BU66=0,'Cleanup TMS'!BU66=""),"-",'Cleanup TMS'!BU66)</f>
        <v>0.37</v>
      </c>
      <c r="AF66" s="74" t="str">
        <f>IF(OR('Cleanup TMS'!BV66=0,'Cleanup TMS'!BV66=""),"-",'Cleanup TMS'!BV66)</f>
        <v>B</v>
      </c>
      <c r="AG66" s="73">
        <f>'Cleanup TMS'!CF66</f>
        <v>1200</v>
      </c>
      <c r="AH66" s="73">
        <f t="shared" si="1"/>
        <v>502</v>
      </c>
      <c r="AI66" s="73">
        <f t="shared" si="2"/>
        <v>248</v>
      </c>
      <c r="AJ66" s="71">
        <f>IF(OR('Cleanup TMS'!CI66=0,'Cleanup TMS'!CI66=""),"-",'Cleanup TMS'!CI66)</f>
        <v>0.42</v>
      </c>
      <c r="AK66" s="75" t="str">
        <f>IF(OR('Cleanup TMS'!CJ66=0,'Cleanup TMS'!CJ66=""),"-",'Cleanup TMS'!CJ66)</f>
        <v>B</v>
      </c>
    </row>
    <row r="67" spans="1:37" ht="18.75" customHeight="1">
      <c r="A67" s="69">
        <f>'Cleanup TMS'!A67</f>
        <v>3526000</v>
      </c>
      <c r="B67" s="70">
        <f>'Cleanup TMS'!B67</f>
        <v>45</v>
      </c>
      <c r="C67" s="70" t="str">
        <f>IF('Cleanup TMS'!E67="","",'Cleanup TMS'!E67)</f>
        <v/>
      </c>
      <c r="D67" s="70" t="str">
        <f>'Cleanup TMS'!F67</f>
        <v>SUMTER</v>
      </c>
      <c r="E67" s="70">
        <f>'Cleanup TMS'!G67</f>
        <v>55</v>
      </c>
      <c r="F67" s="71">
        <f>ROUND('Cleanup TMS'!H67,2)</f>
        <v>4.45</v>
      </c>
      <c r="G67" s="72" t="str">
        <f>'Cleanup TMS'!I67</f>
        <v>CR 470 N</v>
      </c>
      <c r="H67" s="72" t="str">
        <f>'Cleanup TMS'!J67</f>
        <v>SR 44</v>
      </c>
      <c r="I67" s="72" t="str">
        <f>'Cleanup TMS'!K67</f>
        <v>CR 412</v>
      </c>
      <c r="J67" s="70">
        <f>'Cleanup TMS'!L67</f>
        <v>2</v>
      </c>
      <c r="K67" s="70">
        <v>2</v>
      </c>
      <c r="L67" s="70" t="s">
        <v>647</v>
      </c>
      <c r="M67" s="70" t="s">
        <v>648</v>
      </c>
      <c r="N67" s="152" t="s">
        <v>652</v>
      </c>
      <c r="O67" s="152" t="s">
        <v>654</v>
      </c>
      <c r="P67" s="70" t="str">
        <f>'Cleanup TMS'!V67</f>
        <v>COUNTY</v>
      </c>
      <c r="Q67" s="70" t="str">
        <f>'Cleanup TMS'!W67</f>
        <v>UNINCORPORATED SUMTER COUNTY</v>
      </c>
      <c r="R67" s="70" t="s">
        <v>4</v>
      </c>
      <c r="S67" s="73">
        <f>IF('Cleanup TMS'!AO67=0,"-",'Cleanup TMS'!AO67)</f>
        <v>8600</v>
      </c>
      <c r="T67" s="73">
        <f>'Cleanup TMS'!AP67</f>
        <v>3592</v>
      </c>
      <c r="U67" s="71">
        <f>IF(OR('Cleanup TMS'!AQ67=0,'Cleanup TMS'!AQ67=""),"-",'Cleanup TMS'!AQ67)</f>
        <v>0.42</v>
      </c>
      <c r="V67" s="71" t="str">
        <f>IF(OR('Cleanup TMS'!AR67=0,'Cleanup TMS'!AR67=""),"-",'Cleanup TMS'!AR67)</f>
        <v>B</v>
      </c>
      <c r="W67" s="73">
        <f>IF('Cleanup TMS'!BB67=0,"-",'Cleanup TMS'!BB67)</f>
        <v>450</v>
      </c>
      <c r="X67" s="73">
        <f>'Cleanup TMS'!BC67</f>
        <v>177</v>
      </c>
      <c r="Y67" s="73">
        <f>'Cleanup TMS'!BD67</f>
        <v>183</v>
      </c>
      <c r="Z67" s="74">
        <f>IF(OR('Cleanup TMS'!BE67=0,'Cleanup TMS'!BE67=""),"-",'Cleanup TMS'!BE67)</f>
        <v>0.41</v>
      </c>
      <c r="AA67" s="74" t="str">
        <f>IF(OR('Cleanup TMS'!BF67=0,'Cleanup TMS'!BF67=""),"-",'Cleanup TMS'!BF67)</f>
        <v>B</v>
      </c>
      <c r="AB67" s="148">
        <f>IF(OR('Cleanup TMS'!BI67="",'Cleanup TMS'!BI67=0),"-",'Cleanup TMS'!BI67)</f>
        <v>5.5E-2</v>
      </c>
      <c r="AC67" s="73">
        <f>'Cleanup TMS'!BS67</f>
        <v>8600</v>
      </c>
      <c r="AD67" s="73">
        <f t="shared" si="0"/>
        <v>4695</v>
      </c>
      <c r="AE67" s="74">
        <f>IF(OR('Cleanup TMS'!BU67=0,'Cleanup TMS'!BU67=""),"-",'Cleanup TMS'!BU67)</f>
        <v>0.55000000000000004</v>
      </c>
      <c r="AF67" s="74" t="str">
        <f>IF(OR('Cleanup TMS'!BV67=0,'Cleanup TMS'!BV67=""),"-",'Cleanup TMS'!BV67)</f>
        <v>C</v>
      </c>
      <c r="AG67" s="73">
        <f>'Cleanup TMS'!CF67</f>
        <v>450</v>
      </c>
      <c r="AH67" s="73">
        <f t="shared" si="1"/>
        <v>231</v>
      </c>
      <c r="AI67" s="73">
        <f t="shared" si="2"/>
        <v>239</v>
      </c>
      <c r="AJ67" s="71">
        <f>IF(OR('Cleanup TMS'!CI67=0,'Cleanup TMS'!CI67=""),"-",'Cleanup TMS'!CI67)</f>
        <v>0.53</v>
      </c>
      <c r="AK67" s="75" t="str">
        <f>IF(OR('Cleanup TMS'!CJ67=0,'Cleanup TMS'!CJ67=""),"-",'Cleanup TMS'!CJ67)</f>
        <v>B</v>
      </c>
    </row>
    <row r="68" spans="1:37" ht="18.75" customHeight="1">
      <c r="A68" s="69">
        <f>'Cleanup TMS'!A68</f>
        <v>3528120</v>
      </c>
      <c r="B68" s="70">
        <f>'Cleanup TMS'!B68</f>
        <v>15</v>
      </c>
      <c r="C68" s="70" t="str">
        <f>IF('Cleanup TMS'!E68="","",'Cleanup TMS'!E68)</f>
        <v/>
      </c>
      <c r="D68" s="70" t="str">
        <f>'Cleanup TMS'!F68</f>
        <v>WILDWOOD</v>
      </c>
      <c r="E68" s="70">
        <f>'Cleanup TMS'!G68</f>
        <v>35</v>
      </c>
      <c r="F68" s="71">
        <f>ROUND('Cleanup TMS'!H68,2)</f>
        <v>1.47</v>
      </c>
      <c r="G68" s="72" t="str">
        <f>'Cleanup TMS'!I68</f>
        <v>CR 44A</v>
      </c>
      <c r="H68" s="72" t="str">
        <f>'Cleanup TMS'!J68</f>
        <v>US 301/SR 35</v>
      </c>
      <c r="I68" s="72" t="str">
        <f>'Cleanup TMS'!K68</f>
        <v>CR 139</v>
      </c>
      <c r="J68" s="70">
        <f>'Cleanup TMS'!L68</f>
        <v>2</v>
      </c>
      <c r="K68" s="70">
        <v>2</v>
      </c>
      <c r="L68" s="70" t="s">
        <v>646</v>
      </c>
      <c r="M68" s="70" t="s">
        <v>648</v>
      </c>
      <c r="N68" s="152" t="s">
        <v>651</v>
      </c>
      <c r="O68" s="152" t="s">
        <v>547</v>
      </c>
      <c r="P68" s="70" t="str">
        <f>'Cleanup TMS'!V68</f>
        <v>COUNTY</v>
      </c>
      <c r="Q68" s="70" t="str">
        <f>'Cleanup TMS'!W68</f>
        <v>WILDWOOD</v>
      </c>
      <c r="R68" s="70" t="s">
        <v>5</v>
      </c>
      <c r="S68" s="73">
        <f>IF('Cleanup TMS'!AO68=0,"-",'Cleanup TMS'!AO68)</f>
        <v>13320</v>
      </c>
      <c r="T68" s="73">
        <f>'Cleanup TMS'!AP68</f>
        <v>3462</v>
      </c>
      <c r="U68" s="71">
        <f>IF(OR('Cleanup TMS'!AQ68=0,'Cleanup TMS'!AQ68=""),"-",'Cleanup TMS'!AQ68)</f>
        <v>0.26</v>
      </c>
      <c r="V68" s="71" t="str">
        <f>IF(OR('Cleanup TMS'!AR68=0,'Cleanup TMS'!AR68=""),"-",'Cleanup TMS'!AR68)</f>
        <v>C</v>
      </c>
      <c r="W68" s="73">
        <f>IF('Cleanup TMS'!BB68=0,"-",'Cleanup TMS'!BB68)</f>
        <v>675</v>
      </c>
      <c r="X68" s="73">
        <f>'Cleanup TMS'!BC68</f>
        <v>178</v>
      </c>
      <c r="Y68" s="73">
        <f>'Cleanup TMS'!BD68</f>
        <v>144</v>
      </c>
      <c r="Z68" s="74">
        <f>IF(OR('Cleanup TMS'!BE68=0,'Cleanup TMS'!BE68=""),"-",'Cleanup TMS'!BE68)</f>
        <v>0.26</v>
      </c>
      <c r="AA68" s="74" t="str">
        <f>IF(OR('Cleanup TMS'!BF68=0,'Cleanup TMS'!BF68=""),"-",'Cleanup TMS'!BF68)</f>
        <v>C</v>
      </c>
      <c r="AB68" s="148">
        <f>IF(OR('Cleanup TMS'!BI68="",'Cleanup TMS'!BI68=0),"-",'Cleanup TMS'!BI68)</f>
        <v>0.01</v>
      </c>
      <c r="AC68" s="73">
        <f>'Cleanup TMS'!BS68</f>
        <v>13320</v>
      </c>
      <c r="AD68" s="73">
        <f t="shared" si="0"/>
        <v>3639</v>
      </c>
      <c r="AE68" s="74">
        <f>IF(OR('Cleanup TMS'!BU68=0,'Cleanup TMS'!BU68=""),"-",'Cleanup TMS'!BU68)</f>
        <v>0.27</v>
      </c>
      <c r="AF68" s="74" t="str">
        <f>IF(OR('Cleanup TMS'!BV68=0,'Cleanup TMS'!BV68=""),"-",'Cleanup TMS'!BV68)</f>
        <v>C</v>
      </c>
      <c r="AG68" s="73">
        <f>'Cleanup TMS'!CF68</f>
        <v>675</v>
      </c>
      <c r="AH68" s="73">
        <f t="shared" si="1"/>
        <v>187</v>
      </c>
      <c r="AI68" s="73">
        <f t="shared" si="2"/>
        <v>151</v>
      </c>
      <c r="AJ68" s="71">
        <f>IF(OR('Cleanup TMS'!CI68=0,'Cleanup TMS'!CI68=""),"-",'Cleanup TMS'!CI68)</f>
        <v>0.28000000000000003</v>
      </c>
      <c r="AK68" s="75" t="str">
        <f>IF(OR('Cleanup TMS'!CJ68=0,'Cleanup TMS'!CJ68=""),"-",'Cleanup TMS'!CJ68)</f>
        <v>C</v>
      </c>
    </row>
    <row r="69" spans="1:37" ht="18.75" customHeight="1">
      <c r="A69" s="69">
        <f>'Cleanup TMS'!A69</f>
        <v>3529000</v>
      </c>
      <c r="B69" s="70">
        <f>'Cleanup TMS'!B69</f>
        <v>64</v>
      </c>
      <c r="C69" s="70" t="str">
        <f>IF('Cleanup TMS'!E69="","",'Cleanup TMS'!E69)</f>
        <v/>
      </c>
      <c r="D69" s="70" t="str">
        <f>'Cleanup TMS'!F69</f>
        <v>SUMTER</v>
      </c>
      <c r="E69" s="70">
        <f>'Cleanup TMS'!G69</f>
        <v>55</v>
      </c>
      <c r="F69" s="71">
        <f>ROUND('Cleanup TMS'!H69,2)</f>
        <v>6.39</v>
      </c>
      <c r="G69" s="72" t="str">
        <f>'Cleanup TMS'!I69</f>
        <v>CR 478A</v>
      </c>
      <c r="H69" s="72" t="str">
        <f>'Cleanup TMS'!J69</f>
        <v>SR 50</v>
      </c>
      <c r="I69" s="72" t="str">
        <f>'Cleanup TMS'!K69</f>
        <v>SR 471</v>
      </c>
      <c r="J69" s="70">
        <f>'Cleanup TMS'!L69</f>
        <v>2</v>
      </c>
      <c r="K69" s="70">
        <v>2</v>
      </c>
      <c r="L69" s="70" t="s">
        <v>646</v>
      </c>
      <c r="M69" s="70" t="s">
        <v>648</v>
      </c>
      <c r="N69" s="152" t="s">
        <v>652</v>
      </c>
      <c r="O69" s="152" t="s">
        <v>547</v>
      </c>
      <c r="P69" s="70" t="str">
        <f>'Cleanup TMS'!V69</f>
        <v>COUNTY</v>
      </c>
      <c r="Q69" s="70" t="str">
        <f>'Cleanup TMS'!W69</f>
        <v>WEBSTER</v>
      </c>
      <c r="R69" s="70" t="s">
        <v>5</v>
      </c>
      <c r="S69" s="73">
        <f>IF('Cleanup TMS'!AO69=0,"-",'Cleanup TMS'!AO69)</f>
        <v>24200</v>
      </c>
      <c r="T69" s="73">
        <f>'Cleanup TMS'!AP69</f>
        <v>801</v>
      </c>
      <c r="U69" s="71">
        <f>IF(OR('Cleanup TMS'!AQ69=0,'Cleanup TMS'!AQ69=""),"-",'Cleanup TMS'!AQ69)</f>
        <v>0.03</v>
      </c>
      <c r="V69" s="71" t="str">
        <f>IF(OR('Cleanup TMS'!AR69=0,'Cleanup TMS'!AR69=""),"-",'Cleanup TMS'!AR69)</f>
        <v>B</v>
      </c>
      <c r="W69" s="73">
        <f>IF('Cleanup TMS'!BB69=0,"-",'Cleanup TMS'!BB69)</f>
        <v>1200</v>
      </c>
      <c r="X69" s="73">
        <f>'Cleanup TMS'!BC69</f>
        <v>34</v>
      </c>
      <c r="Y69" s="73">
        <f>'Cleanup TMS'!BD69</f>
        <v>52</v>
      </c>
      <c r="Z69" s="74">
        <f>IF(OR('Cleanup TMS'!BE69=0,'Cleanup TMS'!BE69=""),"-",'Cleanup TMS'!BE69)</f>
        <v>0.04</v>
      </c>
      <c r="AA69" s="74" t="str">
        <f>IF(OR('Cleanup TMS'!BF69=0,'Cleanup TMS'!BF69=""),"-",'Cleanup TMS'!BF69)</f>
        <v>B</v>
      </c>
      <c r="AB69" s="148">
        <f>IF(OR('Cleanup TMS'!BI69="",'Cleanup TMS'!BI69=0),"-",'Cleanup TMS'!BI69)</f>
        <v>0.01</v>
      </c>
      <c r="AC69" s="73">
        <f>'Cleanup TMS'!BS69</f>
        <v>24200</v>
      </c>
      <c r="AD69" s="73">
        <f t="shared" ref="AD69:AD132" si="7">IF(T69="-","-",ROUND(T69*(1+AB69)^5,0))</f>
        <v>842</v>
      </c>
      <c r="AE69" s="74">
        <f>IF(OR('Cleanup TMS'!BU69=0,'Cleanup TMS'!BU69=""),"-",'Cleanup TMS'!BU69)</f>
        <v>0.03</v>
      </c>
      <c r="AF69" s="74" t="str">
        <f>IF(OR('Cleanup TMS'!BV69=0,'Cleanup TMS'!BV69=""),"-",'Cleanup TMS'!BV69)</f>
        <v>B</v>
      </c>
      <c r="AG69" s="73">
        <f>'Cleanup TMS'!CF69</f>
        <v>1200</v>
      </c>
      <c r="AH69" s="73">
        <f t="shared" ref="AH69:AH132" si="8">IF(X69="-","-",ROUND(X69*(1+AB69)^5,0))</f>
        <v>36</v>
      </c>
      <c r="AI69" s="73">
        <f t="shared" ref="AI69:AI132" si="9">IF(Y69="-","-",ROUND(Y69*(1+AB69)^5,0))</f>
        <v>55</v>
      </c>
      <c r="AJ69" s="71">
        <f>IF(OR('Cleanup TMS'!CI69=0,'Cleanup TMS'!CI69=""),"-",'Cleanup TMS'!CI69)</f>
        <v>0.05</v>
      </c>
      <c r="AK69" s="75" t="str">
        <f>IF(OR('Cleanup TMS'!CJ69=0,'Cleanup TMS'!CJ69=""),"-",'Cleanup TMS'!CJ69)</f>
        <v>B</v>
      </c>
    </row>
    <row r="70" spans="1:37" ht="18.75" customHeight="1">
      <c r="A70" s="69">
        <f>'Cleanup TMS'!A70</f>
        <v>3530000</v>
      </c>
      <c r="B70" s="70">
        <f>'Cleanup TMS'!B70</f>
        <v>44</v>
      </c>
      <c r="C70" s="70" t="str">
        <f>IF('Cleanup TMS'!E70="","",'Cleanup TMS'!E70)</f>
        <v/>
      </c>
      <c r="D70" s="70" t="str">
        <f>'Cleanup TMS'!F70</f>
        <v>SUMTER</v>
      </c>
      <c r="E70" s="70">
        <f>'Cleanup TMS'!G70</f>
        <v>45</v>
      </c>
      <c r="F70" s="71">
        <f>ROUND('Cleanup TMS'!H70,2)</f>
        <v>0.79</v>
      </c>
      <c r="G70" s="72" t="str">
        <f>'Cleanup TMS'!I70</f>
        <v>CR 470 N</v>
      </c>
      <c r="H70" s="72" t="str">
        <f>'Cleanup TMS'!J70</f>
        <v>CR 412</v>
      </c>
      <c r="I70" s="72" t="str">
        <f>'Cleanup TMS'!K70</f>
        <v>CR 416 (N)</v>
      </c>
      <c r="J70" s="70">
        <f>'Cleanup TMS'!L70</f>
        <v>2</v>
      </c>
      <c r="K70" s="70">
        <v>2</v>
      </c>
      <c r="L70" s="70" t="s">
        <v>646</v>
      </c>
      <c r="M70" s="70" t="s">
        <v>648</v>
      </c>
      <c r="N70" s="152" t="s">
        <v>652</v>
      </c>
      <c r="O70" s="152" t="s">
        <v>547</v>
      </c>
      <c r="P70" s="70" t="str">
        <f>'Cleanup TMS'!V70</f>
        <v>COUNTY</v>
      </c>
      <c r="Q70" s="70" t="str">
        <f>'Cleanup TMS'!W70</f>
        <v>UNINCORPORATED SUMTER COUNTY</v>
      </c>
      <c r="R70" s="70" t="s">
        <v>5</v>
      </c>
      <c r="S70" s="73">
        <f>IF('Cleanup TMS'!AO70=0,"-",'Cleanup TMS'!AO70)</f>
        <v>24200</v>
      </c>
      <c r="T70" s="73">
        <f>'Cleanup TMS'!AP70</f>
        <v>3990</v>
      </c>
      <c r="U70" s="71">
        <f>IF(OR('Cleanup TMS'!AQ70=0,'Cleanup TMS'!AQ70=""),"-",'Cleanup TMS'!AQ70)</f>
        <v>0.16</v>
      </c>
      <c r="V70" s="71" t="str">
        <f>IF(OR('Cleanup TMS'!AR70=0,'Cleanup TMS'!AR70=""),"-",'Cleanup TMS'!AR70)</f>
        <v>B</v>
      </c>
      <c r="W70" s="73">
        <f>IF('Cleanup TMS'!BB70=0,"-",'Cleanup TMS'!BB70)</f>
        <v>1200</v>
      </c>
      <c r="X70" s="73">
        <f>'Cleanup TMS'!BC70</f>
        <v>207</v>
      </c>
      <c r="Y70" s="73">
        <f>'Cleanup TMS'!BD70</f>
        <v>168</v>
      </c>
      <c r="Z70" s="74">
        <f>IF(OR('Cleanup TMS'!BE70=0,'Cleanup TMS'!BE70=""),"-",'Cleanup TMS'!BE70)</f>
        <v>0.17</v>
      </c>
      <c r="AA70" s="74" t="str">
        <f>IF(OR('Cleanup TMS'!BF70=0,'Cleanup TMS'!BF70=""),"-",'Cleanup TMS'!BF70)</f>
        <v>B</v>
      </c>
      <c r="AB70" s="148">
        <f>IF(OR('Cleanup TMS'!BI70="",'Cleanup TMS'!BI70=0),"-",'Cleanup TMS'!BI70)</f>
        <v>0.01</v>
      </c>
      <c r="AC70" s="73">
        <f>'Cleanup TMS'!BS70</f>
        <v>24200</v>
      </c>
      <c r="AD70" s="73">
        <f t="shared" si="7"/>
        <v>4194</v>
      </c>
      <c r="AE70" s="74">
        <f>IF(OR('Cleanup TMS'!BU70=0,'Cleanup TMS'!BU70=""),"-",'Cleanup TMS'!BU70)</f>
        <v>0.17</v>
      </c>
      <c r="AF70" s="74" t="str">
        <f>IF(OR('Cleanup TMS'!BV70=0,'Cleanup TMS'!BV70=""),"-",'Cleanup TMS'!BV70)</f>
        <v>B</v>
      </c>
      <c r="AG70" s="73">
        <f>'Cleanup TMS'!CF70</f>
        <v>1200</v>
      </c>
      <c r="AH70" s="73">
        <f t="shared" si="8"/>
        <v>218</v>
      </c>
      <c r="AI70" s="73">
        <f t="shared" si="9"/>
        <v>177</v>
      </c>
      <c r="AJ70" s="71">
        <f>IF(OR('Cleanup TMS'!CI70=0,'Cleanup TMS'!CI70=""),"-",'Cleanup TMS'!CI70)</f>
        <v>0.18</v>
      </c>
      <c r="AK70" s="75" t="str">
        <f>IF(OR('Cleanup TMS'!CJ70=0,'Cleanup TMS'!CJ70=""),"-",'Cleanup TMS'!CJ70)</f>
        <v>B</v>
      </c>
    </row>
    <row r="71" spans="1:37" ht="18.75" customHeight="1">
      <c r="A71" s="69">
        <f>'Cleanup TMS'!A71</f>
        <v>3532000</v>
      </c>
      <c r="B71" s="70">
        <f>'Cleanup TMS'!B71</f>
        <v>83</v>
      </c>
      <c r="C71" s="70" t="str">
        <f>IF('Cleanup TMS'!E71="","",'Cleanup TMS'!E71)</f>
        <v/>
      </c>
      <c r="D71" s="70" t="str">
        <f>'Cleanup TMS'!F71</f>
        <v>SUMTER</v>
      </c>
      <c r="E71" s="70">
        <f>'Cleanup TMS'!G71</f>
        <v>55</v>
      </c>
      <c r="F71" s="71">
        <f>ROUND('Cleanup TMS'!H71,2)</f>
        <v>4.72</v>
      </c>
      <c r="G71" s="72" t="str">
        <f>'Cleanup TMS'!I71</f>
        <v>CR 575</v>
      </c>
      <c r="H71" s="72" t="str">
        <f>'Cleanup TMS'!J71</f>
        <v>CR 663</v>
      </c>
      <c r="I71" s="72" t="str">
        <f>'Cleanup TMS'!K71</f>
        <v>CR 48</v>
      </c>
      <c r="J71" s="70">
        <f>'Cleanup TMS'!L71</f>
        <v>2</v>
      </c>
      <c r="K71" s="70">
        <v>2</v>
      </c>
      <c r="L71" s="70" t="s">
        <v>647</v>
      </c>
      <c r="M71" s="70" t="s">
        <v>648</v>
      </c>
      <c r="N71" s="152" t="s">
        <v>652</v>
      </c>
      <c r="O71" s="152" t="s">
        <v>654</v>
      </c>
      <c r="P71" s="70" t="str">
        <f>'Cleanup TMS'!V71</f>
        <v>COUNTY</v>
      </c>
      <c r="Q71" s="70" t="str">
        <f>'Cleanup TMS'!W71</f>
        <v>UNINCORPORATED SUMTER COUNTY</v>
      </c>
      <c r="R71" s="70" t="s">
        <v>4</v>
      </c>
      <c r="S71" s="73">
        <f>IF('Cleanup TMS'!AO71=0,"-",'Cleanup TMS'!AO71)</f>
        <v>8600</v>
      </c>
      <c r="T71" s="73">
        <f>'Cleanup TMS'!AP71</f>
        <v>836</v>
      </c>
      <c r="U71" s="71">
        <f>IF(OR('Cleanup TMS'!AQ71=0,'Cleanup TMS'!AQ71=""),"-",'Cleanup TMS'!AQ71)</f>
        <v>0.1</v>
      </c>
      <c r="V71" s="71" t="str">
        <f>IF(OR('Cleanup TMS'!AR71=0,'Cleanup TMS'!AR71=""),"-",'Cleanup TMS'!AR71)</f>
        <v>B</v>
      </c>
      <c r="W71" s="73">
        <f>IF('Cleanup TMS'!BB71=0,"-",'Cleanup TMS'!BB71)</f>
        <v>450</v>
      </c>
      <c r="X71" s="73">
        <f>'Cleanup TMS'!BC71</f>
        <v>36</v>
      </c>
      <c r="Y71" s="73">
        <f>'Cleanup TMS'!BD71</f>
        <v>43</v>
      </c>
      <c r="Z71" s="74">
        <f>IF(OR('Cleanup TMS'!BE71=0,'Cleanup TMS'!BE71=""),"-",'Cleanup TMS'!BE71)</f>
        <v>0.1</v>
      </c>
      <c r="AA71" s="74" t="str">
        <f>IF(OR('Cleanup TMS'!BF71=0,'Cleanup TMS'!BF71=""),"-",'Cleanup TMS'!BF71)</f>
        <v>B</v>
      </c>
      <c r="AB71" s="148">
        <f>IF(OR('Cleanup TMS'!BI71="",'Cleanup TMS'!BI71=0),"-",'Cleanup TMS'!BI71)</f>
        <v>0.04</v>
      </c>
      <c r="AC71" s="73">
        <f>'Cleanup TMS'!BS71</f>
        <v>8600</v>
      </c>
      <c r="AD71" s="73">
        <f t="shared" si="7"/>
        <v>1017</v>
      </c>
      <c r="AE71" s="74">
        <f>IF(OR('Cleanup TMS'!BU71=0,'Cleanup TMS'!BU71=""),"-",'Cleanup TMS'!BU71)</f>
        <v>0.12</v>
      </c>
      <c r="AF71" s="74" t="str">
        <f>IF(OR('Cleanup TMS'!BV71=0,'Cleanup TMS'!BV71=""),"-",'Cleanup TMS'!BV71)</f>
        <v>B</v>
      </c>
      <c r="AG71" s="73">
        <f>'Cleanup TMS'!CF71</f>
        <v>450</v>
      </c>
      <c r="AH71" s="73">
        <f t="shared" si="8"/>
        <v>44</v>
      </c>
      <c r="AI71" s="73">
        <f t="shared" si="9"/>
        <v>52</v>
      </c>
      <c r="AJ71" s="71">
        <f>IF(OR('Cleanup TMS'!CI71=0,'Cleanup TMS'!CI71=""),"-",'Cleanup TMS'!CI71)</f>
        <v>0.12</v>
      </c>
      <c r="AK71" s="75" t="str">
        <f>IF(OR('Cleanup TMS'!CJ71=0,'Cleanup TMS'!CJ71=""),"-",'Cleanup TMS'!CJ71)</f>
        <v>B</v>
      </c>
    </row>
    <row r="72" spans="1:37" ht="18.75" customHeight="1">
      <c r="A72" s="69">
        <f>'Cleanup TMS'!A72</f>
        <v>3533100</v>
      </c>
      <c r="B72" s="70">
        <f>'Cleanup TMS'!B72</f>
        <v>33</v>
      </c>
      <c r="C72" s="70" t="str">
        <f>IF('Cleanup TMS'!E72="","",'Cleanup TMS'!E72)</f>
        <v/>
      </c>
      <c r="D72" s="70" t="str">
        <f>'Cleanup TMS'!F72</f>
        <v>SUMTER</v>
      </c>
      <c r="E72" s="70">
        <f>'Cleanup TMS'!G72</f>
        <v>30</v>
      </c>
      <c r="F72" s="71">
        <f>ROUND('Cleanup TMS'!H72,2)</f>
        <v>1.1499999999999999</v>
      </c>
      <c r="G72" s="72" t="str">
        <f>'Cleanup TMS'!I72</f>
        <v>CR 466A</v>
      </c>
      <c r="H72" s="72" t="str">
        <f>'Cleanup TMS'!J72</f>
        <v>US 301/SR 35</v>
      </c>
      <c r="I72" s="72" t="str">
        <f>'Cleanup TMS'!K72</f>
        <v>CR 462/CR 139</v>
      </c>
      <c r="J72" s="70">
        <f>'Cleanup TMS'!L72</f>
        <v>2</v>
      </c>
      <c r="K72" s="70">
        <v>2</v>
      </c>
      <c r="L72" s="70" t="s">
        <v>646</v>
      </c>
      <c r="M72" s="70" t="s">
        <v>649</v>
      </c>
      <c r="N72" s="152" t="s">
        <v>651</v>
      </c>
      <c r="O72" s="152" t="s">
        <v>547</v>
      </c>
      <c r="P72" s="70" t="str">
        <f>'Cleanup TMS'!V72</f>
        <v>COUNTY</v>
      </c>
      <c r="Q72" s="70" t="str">
        <f>'Cleanup TMS'!W72</f>
        <v>WILDWOOD</v>
      </c>
      <c r="R72" s="70" t="s">
        <v>5</v>
      </c>
      <c r="S72" s="73">
        <f>IF('Cleanup TMS'!AO72=0,"-",'Cleanup TMS'!AO72)</f>
        <v>14763</v>
      </c>
      <c r="T72" s="73">
        <f>'Cleanup TMS'!AP72</f>
        <v>9784</v>
      </c>
      <c r="U72" s="71">
        <f>IF(OR('Cleanup TMS'!AQ72=0,'Cleanup TMS'!AQ72=""),"-",'Cleanup TMS'!AQ72)</f>
        <v>0.66</v>
      </c>
      <c r="V72" s="71" t="str">
        <f>IF(OR('Cleanup TMS'!AR72=0,'Cleanup TMS'!AR72=""),"-",'Cleanup TMS'!AR72)</f>
        <v>D</v>
      </c>
      <c r="W72" s="73">
        <f>IF('Cleanup TMS'!BB72=0,"-",'Cleanup TMS'!BB72)</f>
        <v>713</v>
      </c>
      <c r="X72" s="73">
        <f>'Cleanup TMS'!BC72</f>
        <v>381</v>
      </c>
      <c r="Y72" s="73">
        <f>'Cleanup TMS'!BD72</f>
        <v>440</v>
      </c>
      <c r="Z72" s="74">
        <f>IF(OR('Cleanup TMS'!BE72=0,'Cleanup TMS'!BE72=""),"-",'Cleanup TMS'!BE72)</f>
        <v>0.62</v>
      </c>
      <c r="AA72" s="74" t="str">
        <f>IF(OR('Cleanup TMS'!BF72=0,'Cleanup TMS'!BF72=""),"-",'Cleanup TMS'!BF72)</f>
        <v>D</v>
      </c>
      <c r="AB72" s="148">
        <f>IF(OR('Cleanup TMS'!BI72="",'Cleanup TMS'!BI72=0),"-",'Cleanup TMS'!BI72)</f>
        <v>1.4999999999999999E-2</v>
      </c>
      <c r="AC72" s="73">
        <f>'Cleanup TMS'!BS72</f>
        <v>14763</v>
      </c>
      <c r="AD72" s="73">
        <f t="shared" si="7"/>
        <v>10540</v>
      </c>
      <c r="AE72" s="74">
        <f>IF(OR('Cleanup TMS'!BU72=0,'Cleanup TMS'!BU72=""),"-",'Cleanup TMS'!BU72)</f>
        <v>0.71</v>
      </c>
      <c r="AF72" s="74" t="str">
        <f>IF(OR('Cleanup TMS'!BV72=0,'Cleanup TMS'!BV72=""),"-",'Cleanup TMS'!BV72)</f>
        <v>D</v>
      </c>
      <c r="AG72" s="73">
        <f>'Cleanup TMS'!CF72</f>
        <v>713</v>
      </c>
      <c r="AH72" s="73">
        <f t="shared" si="8"/>
        <v>410</v>
      </c>
      <c r="AI72" s="73">
        <f t="shared" si="9"/>
        <v>474</v>
      </c>
      <c r="AJ72" s="71">
        <f>IF(OR('Cleanup TMS'!CI72=0,'Cleanup TMS'!CI72=""),"-",'Cleanup TMS'!CI72)</f>
        <v>0.66</v>
      </c>
      <c r="AK72" s="75" t="str">
        <f>IF(OR('Cleanup TMS'!CJ72=0,'Cleanup TMS'!CJ72=""),"-",'Cleanup TMS'!CJ72)</f>
        <v>D</v>
      </c>
    </row>
    <row r="73" spans="1:37" ht="18.75" customHeight="1">
      <c r="A73" s="69">
        <f>'Cleanup TMS'!A73</f>
        <v>3534100</v>
      </c>
      <c r="B73" s="70">
        <f>'Cleanup TMS'!B73</f>
        <v>67</v>
      </c>
      <c r="C73" s="70" t="str">
        <f>IF('Cleanup TMS'!E73="","",'Cleanup TMS'!E73)</f>
        <v/>
      </c>
      <c r="D73" s="70" t="str">
        <f>'Cleanup TMS'!F73</f>
        <v>SUMTER</v>
      </c>
      <c r="E73" s="70">
        <f>'Cleanup TMS'!G73</f>
        <v>35</v>
      </c>
      <c r="F73" s="71">
        <f>ROUND('Cleanup TMS'!H73,2)</f>
        <v>3.3</v>
      </c>
      <c r="G73" s="72" t="str">
        <f>'Cleanup TMS'!I73</f>
        <v>CR 478 E</v>
      </c>
      <c r="H73" s="72" t="str">
        <f>'Cleanup TMS'!J73</f>
        <v>SR 471</v>
      </c>
      <c r="I73" s="72" t="str">
        <f>'Cleanup TMS'!K73</f>
        <v>CR 707</v>
      </c>
      <c r="J73" s="70">
        <f>'Cleanup TMS'!L73</f>
        <v>2</v>
      </c>
      <c r="K73" s="70">
        <v>2</v>
      </c>
      <c r="L73" s="70" t="s">
        <v>646</v>
      </c>
      <c r="M73" s="70" t="s">
        <v>648</v>
      </c>
      <c r="N73" s="152" t="s">
        <v>652</v>
      </c>
      <c r="O73" s="152" t="s">
        <v>547</v>
      </c>
      <c r="P73" s="70" t="str">
        <f>'Cleanup TMS'!V73</f>
        <v>COUNTY</v>
      </c>
      <c r="Q73" s="70" t="str">
        <f>'Cleanup TMS'!W73</f>
        <v>CENTER HILL</v>
      </c>
      <c r="R73" s="70" t="s">
        <v>5</v>
      </c>
      <c r="S73" s="73">
        <f>IF('Cleanup TMS'!AO73=0,"-",'Cleanup TMS'!AO73)</f>
        <v>24200</v>
      </c>
      <c r="T73" s="73">
        <f>'Cleanup TMS'!AP73</f>
        <v>2048</v>
      </c>
      <c r="U73" s="71">
        <f>IF(OR('Cleanup TMS'!AQ73=0,'Cleanup TMS'!AQ73=""),"-",'Cleanup TMS'!AQ73)</f>
        <v>0.08</v>
      </c>
      <c r="V73" s="71" t="str">
        <f>IF(OR('Cleanup TMS'!AR73=0,'Cleanup TMS'!AR73=""),"-",'Cleanup TMS'!AR73)</f>
        <v>B</v>
      </c>
      <c r="W73" s="73">
        <f>IF('Cleanup TMS'!BB73=0,"-",'Cleanup TMS'!BB73)</f>
        <v>1200</v>
      </c>
      <c r="X73" s="73">
        <f>'Cleanup TMS'!BC73</f>
        <v>95</v>
      </c>
      <c r="Y73" s="73">
        <f>'Cleanup TMS'!BD73</f>
        <v>97</v>
      </c>
      <c r="Z73" s="74">
        <f>IF(OR('Cleanup TMS'!BE73=0,'Cleanup TMS'!BE73=""),"-",'Cleanup TMS'!BE73)</f>
        <v>0.08</v>
      </c>
      <c r="AA73" s="74" t="str">
        <f>IF(OR('Cleanup TMS'!BF73=0,'Cleanup TMS'!BF73=""),"-",'Cleanup TMS'!BF73)</f>
        <v>B</v>
      </c>
      <c r="AB73" s="148">
        <f>IF(OR('Cleanup TMS'!BI73="",'Cleanup TMS'!BI73=0),"-",'Cleanup TMS'!BI73)</f>
        <v>2.5000000000000001E-2</v>
      </c>
      <c r="AC73" s="73">
        <f>'Cleanup TMS'!BS73</f>
        <v>24200</v>
      </c>
      <c r="AD73" s="73">
        <f t="shared" si="7"/>
        <v>2317</v>
      </c>
      <c r="AE73" s="74">
        <f>IF(OR('Cleanup TMS'!BU73=0,'Cleanup TMS'!BU73=""),"-",'Cleanup TMS'!BU73)</f>
        <v>0.1</v>
      </c>
      <c r="AF73" s="74" t="str">
        <f>IF(OR('Cleanup TMS'!BV73=0,'Cleanup TMS'!BV73=""),"-",'Cleanup TMS'!BV73)</f>
        <v>B</v>
      </c>
      <c r="AG73" s="73">
        <f>'Cleanup TMS'!CF73</f>
        <v>1200</v>
      </c>
      <c r="AH73" s="73">
        <f t="shared" si="8"/>
        <v>107</v>
      </c>
      <c r="AI73" s="73">
        <f t="shared" si="9"/>
        <v>110</v>
      </c>
      <c r="AJ73" s="71">
        <f>IF(OR('Cleanup TMS'!CI73=0,'Cleanup TMS'!CI73=""),"-",'Cleanup TMS'!CI73)</f>
        <v>0.09</v>
      </c>
      <c r="AK73" s="75" t="str">
        <f>IF(OR('Cleanup TMS'!CJ73=0,'Cleanup TMS'!CJ73=""),"-",'Cleanup TMS'!CJ73)</f>
        <v>B</v>
      </c>
    </row>
    <row r="74" spans="1:37" ht="18.75" customHeight="1">
      <c r="A74" s="69">
        <f>'Cleanup TMS'!A74</f>
        <v>3534110</v>
      </c>
      <c r="B74" s="70">
        <f>'Cleanup TMS'!B74</f>
        <v>66</v>
      </c>
      <c r="C74" s="70" t="str">
        <f>IF('Cleanup TMS'!E74="","",'Cleanup TMS'!E74)</f>
        <v/>
      </c>
      <c r="D74" s="70" t="str">
        <f>'Cleanup TMS'!F74</f>
        <v>SUMTER</v>
      </c>
      <c r="E74" s="70">
        <f>'Cleanup TMS'!G74</f>
        <v>55</v>
      </c>
      <c r="F74" s="71">
        <f>ROUND('Cleanup TMS'!H74,2)</f>
        <v>2.77</v>
      </c>
      <c r="G74" s="72" t="str">
        <f>'Cleanup TMS'!I74</f>
        <v>CR 478 E (VIRGINIA AVE)</v>
      </c>
      <c r="H74" s="72" t="str">
        <f>'Cleanup TMS'!J74</f>
        <v>CR 707</v>
      </c>
      <c r="I74" s="72" t="str">
        <f>'Cleanup TMS'!K74</f>
        <v>CR 48 E</v>
      </c>
      <c r="J74" s="70">
        <f>'Cleanup TMS'!L74</f>
        <v>2</v>
      </c>
      <c r="K74" s="70">
        <v>2</v>
      </c>
      <c r="L74" s="70" t="s">
        <v>646</v>
      </c>
      <c r="M74" s="70" t="s">
        <v>648</v>
      </c>
      <c r="N74" s="152" t="s">
        <v>652</v>
      </c>
      <c r="O74" s="152" t="s">
        <v>547</v>
      </c>
      <c r="P74" s="70" t="str">
        <f>'Cleanup TMS'!V74</f>
        <v>COUNTY</v>
      </c>
      <c r="Q74" s="70" t="str">
        <f>'Cleanup TMS'!W74</f>
        <v>CENTER HILL</v>
      </c>
      <c r="R74" s="70" t="s">
        <v>5</v>
      </c>
      <c r="S74" s="73">
        <f>IF('Cleanup TMS'!AO74=0,"-",'Cleanup TMS'!AO74)</f>
        <v>24200</v>
      </c>
      <c r="T74" s="73">
        <f>'Cleanup TMS'!AP74</f>
        <v>1224</v>
      </c>
      <c r="U74" s="71">
        <f>IF(OR('Cleanup TMS'!AQ74=0,'Cleanup TMS'!AQ74=""),"-",'Cleanup TMS'!AQ74)</f>
        <v>0.05</v>
      </c>
      <c r="V74" s="71" t="str">
        <f>IF(OR('Cleanup TMS'!AR74=0,'Cleanup TMS'!AR74=""),"-",'Cleanup TMS'!AR74)</f>
        <v>B</v>
      </c>
      <c r="W74" s="73">
        <f>IF('Cleanup TMS'!BB74=0,"-",'Cleanup TMS'!BB74)</f>
        <v>1200</v>
      </c>
      <c r="X74" s="73">
        <f>'Cleanup TMS'!BC74</f>
        <v>38</v>
      </c>
      <c r="Y74" s="73">
        <f>'Cleanup TMS'!BD74</f>
        <v>81</v>
      </c>
      <c r="Z74" s="74">
        <f>IF(OR('Cleanup TMS'!BE74=0,'Cleanup TMS'!BE74=""),"-",'Cleanup TMS'!BE74)</f>
        <v>7.0000000000000007E-2</v>
      </c>
      <c r="AA74" s="74" t="str">
        <f>IF(OR('Cleanup TMS'!BF74=0,'Cleanup TMS'!BF74=""),"-",'Cleanup TMS'!BF74)</f>
        <v>B</v>
      </c>
      <c r="AB74" s="148">
        <f>IF(OR('Cleanup TMS'!BI74="",'Cleanup TMS'!BI74=0),"-",'Cleanup TMS'!BI74)</f>
        <v>3.2500000000000001E-2</v>
      </c>
      <c r="AC74" s="73">
        <f>'Cleanup TMS'!BS74</f>
        <v>24200</v>
      </c>
      <c r="AD74" s="73">
        <f t="shared" si="7"/>
        <v>1436</v>
      </c>
      <c r="AE74" s="74">
        <f>IF(OR('Cleanup TMS'!BU74=0,'Cleanup TMS'!BU74=""),"-",'Cleanup TMS'!BU74)</f>
        <v>0.06</v>
      </c>
      <c r="AF74" s="74" t="str">
        <f>IF(OR('Cleanup TMS'!BV74=0,'Cleanup TMS'!BV74=""),"-",'Cleanup TMS'!BV74)</f>
        <v>B</v>
      </c>
      <c r="AG74" s="73">
        <f>'Cleanup TMS'!CF74</f>
        <v>1200</v>
      </c>
      <c r="AH74" s="73">
        <f t="shared" si="8"/>
        <v>45</v>
      </c>
      <c r="AI74" s="73">
        <f t="shared" si="9"/>
        <v>95</v>
      </c>
      <c r="AJ74" s="71">
        <f>IF(OR('Cleanup TMS'!CI74=0,'Cleanup TMS'!CI74=""),"-",'Cleanup TMS'!CI74)</f>
        <v>0.08</v>
      </c>
      <c r="AK74" s="75" t="str">
        <f>IF(OR('Cleanup TMS'!CJ74=0,'Cleanup TMS'!CJ74=""),"-",'Cleanup TMS'!CJ74)</f>
        <v>B</v>
      </c>
    </row>
    <row r="75" spans="1:37" ht="18.75" customHeight="1">
      <c r="A75" s="69">
        <f>'Cleanup TMS'!A75</f>
        <v>3535100</v>
      </c>
      <c r="B75" s="70">
        <f>'Cleanup TMS'!B75</f>
        <v>70</v>
      </c>
      <c r="C75" s="70" t="str">
        <f>IF('Cleanup TMS'!E75="","",'Cleanup TMS'!E75)</f>
        <v/>
      </c>
      <c r="D75" s="70" t="str">
        <f>'Cleanup TMS'!F75</f>
        <v>SUMTER</v>
      </c>
      <c r="E75" s="70">
        <f>'Cleanup TMS'!G75</f>
        <v>55</v>
      </c>
      <c r="F75" s="71">
        <f>ROUND('Cleanup TMS'!H75,2)</f>
        <v>3.67</v>
      </c>
      <c r="G75" s="72" t="str">
        <f>'Cleanup TMS'!I75</f>
        <v>CR 478 W</v>
      </c>
      <c r="H75" s="72" t="str">
        <f>'Cleanup TMS'!J75</f>
        <v>US 301/SR 35</v>
      </c>
      <c r="I75" s="72" t="str">
        <f>'Cleanup TMS'!K75</f>
        <v>CR 747</v>
      </c>
      <c r="J75" s="70">
        <f>'Cleanup TMS'!L75</f>
        <v>2</v>
      </c>
      <c r="K75" s="70">
        <v>2</v>
      </c>
      <c r="L75" s="70" t="s">
        <v>646</v>
      </c>
      <c r="M75" s="70" t="s">
        <v>648</v>
      </c>
      <c r="N75" s="152" t="s">
        <v>652</v>
      </c>
      <c r="O75" s="152" t="s">
        <v>547</v>
      </c>
      <c r="P75" s="70" t="str">
        <f>'Cleanup TMS'!V75</f>
        <v>COUNTY</v>
      </c>
      <c r="Q75" s="70" t="str">
        <f>'Cleanup TMS'!W75</f>
        <v>UNINCORPORATED SUMTER COUNTY</v>
      </c>
      <c r="R75" s="70" t="s">
        <v>5</v>
      </c>
      <c r="S75" s="73">
        <f>IF('Cleanup TMS'!AO75=0,"-",'Cleanup TMS'!AO75)</f>
        <v>24200</v>
      </c>
      <c r="T75" s="73">
        <f>'Cleanup TMS'!AP75</f>
        <v>2816</v>
      </c>
      <c r="U75" s="71">
        <f>IF(OR('Cleanup TMS'!AQ75=0,'Cleanup TMS'!AQ75=""),"-",'Cleanup TMS'!AQ75)</f>
        <v>0.12</v>
      </c>
      <c r="V75" s="71" t="str">
        <f>IF(OR('Cleanup TMS'!AR75=0,'Cleanup TMS'!AR75=""),"-",'Cleanup TMS'!AR75)</f>
        <v>B</v>
      </c>
      <c r="W75" s="73">
        <f>IF('Cleanup TMS'!BB75=0,"-",'Cleanup TMS'!BB75)</f>
        <v>1200</v>
      </c>
      <c r="X75" s="73">
        <f>'Cleanup TMS'!BC75</f>
        <v>119</v>
      </c>
      <c r="Y75" s="73">
        <f>'Cleanup TMS'!BD75</f>
        <v>128</v>
      </c>
      <c r="Z75" s="74">
        <f>IF(OR('Cleanup TMS'!BE75=0,'Cleanup TMS'!BE75=""),"-",'Cleanup TMS'!BE75)</f>
        <v>0.11</v>
      </c>
      <c r="AA75" s="74" t="str">
        <f>IF(OR('Cleanup TMS'!BF75=0,'Cleanup TMS'!BF75=""),"-",'Cleanup TMS'!BF75)</f>
        <v>B</v>
      </c>
      <c r="AB75" s="148">
        <f>IF(OR('Cleanup TMS'!BI75="",'Cleanup TMS'!BI75=0),"-",'Cleanup TMS'!BI75)</f>
        <v>2.75E-2</v>
      </c>
      <c r="AC75" s="73">
        <f>'Cleanup TMS'!BS75</f>
        <v>24200</v>
      </c>
      <c r="AD75" s="73">
        <f t="shared" si="7"/>
        <v>3225</v>
      </c>
      <c r="AE75" s="74">
        <f>IF(OR('Cleanup TMS'!BU75=0,'Cleanup TMS'!BU75=""),"-",'Cleanup TMS'!BU75)</f>
        <v>0.13</v>
      </c>
      <c r="AF75" s="74" t="str">
        <f>IF(OR('Cleanup TMS'!BV75=0,'Cleanup TMS'!BV75=""),"-",'Cleanup TMS'!BV75)</f>
        <v>B</v>
      </c>
      <c r="AG75" s="73">
        <f>'Cleanup TMS'!CF75</f>
        <v>1200</v>
      </c>
      <c r="AH75" s="73">
        <f t="shared" si="8"/>
        <v>136</v>
      </c>
      <c r="AI75" s="73">
        <f t="shared" si="9"/>
        <v>147</v>
      </c>
      <c r="AJ75" s="71">
        <f>IF(OR('Cleanup TMS'!CI75=0,'Cleanup TMS'!CI75=""),"-",'Cleanup TMS'!CI75)</f>
        <v>0.12</v>
      </c>
      <c r="AK75" s="75" t="str">
        <f>IF(OR('Cleanup TMS'!CJ75=0,'Cleanup TMS'!CJ75=""),"-",'Cleanup TMS'!CJ75)</f>
        <v>B</v>
      </c>
    </row>
    <row r="76" spans="1:37" ht="18.75" customHeight="1">
      <c r="A76" s="69">
        <f>'Cleanup TMS'!A76</f>
        <v>3535110</v>
      </c>
      <c r="B76" s="70">
        <f>'Cleanup TMS'!B76</f>
        <v>68</v>
      </c>
      <c r="C76" s="70" t="str">
        <f>IF('Cleanup TMS'!E76="","",'Cleanup TMS'!E76)</f>
        <v/>
      </c>
      <c r="D76" s="70" t="str">
        <f>'Cleanup TMS'!F76</f>
        <v>SUMTER</v>
      </c>
      <c r="E76" s="70">
        <f>'Cleanup TMS'!G76</f>
        <v>55</v>
      </c>
      <c r="F76" s="71">
        <f>ROUND('Cleanup TMS'!H76,2)</f>
        <v>1.26</v>
      </c>
      <c r="G76" s="72" t="str">
        <f>'Cleanup TMS'!I76</f>
        <v>CR 478 E</v>
      </c>
      <c r="H76" s="72" t="str">
        <f>'Cleanup TMS'!J76</f>
        <v>CR 747</v>
      </c>
      <c r="I76" s="72" t="str">
        <f>'Cleanup TMS'!K76</f>
        <v>SR 471</v>
      </c>
      <c r="J76" s="70">
        <f>'Cleanup TMS'!L76</f>
        <v>2</v>
      </c>
      <c r="K76" s="70">
        <v>2</v>
      </c>
      <c r="L76" s="70" t="s">
        <v>646</v>
      </c>
      <c r="M76" s="70" t="s">
        <v>648</v>
      </c>
      <c r="N76" s="152" t="s">
        <v>652</v>
      </c>
      <c r="O76" s="152" t="s">
        <v>547</v>
      </c>
      <c r="P76" s="70" t="str">
        <f>'Cleanup TMS'!V76</f>
        <v>COUNTY</v>
      </c>
      <c r="Q76" s="70" t="str">
        <f>'Cleanup TMS'!W76</f>
        <v>WEBSTER</v>
      </c>
      <c r="R76" s="70" t="s">
        <v>5</v>
      </c>
      <c r="S76" s="73">
        <f>IF('Cleanup TMS'!AO76=0,"-",'Cleanup TMS'!AO76)</f>
        <v>24200</v>
      </c>
      <c r="T76" s="73">
        <f>'Cleanup TMS'!AP76</f>
        <v>375</v>
      </c>
      <c r="U76" s="71">
        <f>IF(OR('Cleanup TMS'!AQ76=0,'Cleanup TMS'!AQ76=""),"-",'Cleanup TMS'!AQ76)</f>
        <v>0.02</v>
      </c>
      <c r="V76" s="71" t="str">
        <f>IF(OR('Cleanup TMS'!AR76=0,'Cleanup TMS'!AR76=""),"-",'Cleanup TMS'!AR76)</f>
        <v>B</v>
      </c>
      <c r="W76" s="73">
        <f>IF('Cleanup TMS'!BB76=0,"-",'Cleanup TMS'!BB76)</f>
        <v>1200</v>
      </c>
      <c r="X76" s="73">
        <f>'Cleanup TMS'!BC76</f>
        <v>35</v>
      </c>
      <c r="Y76" s="73">
        <f>'Cleanup TMS'!BD76</f>
        <v>18</v>
      </c>
      <c r="Z76" s="74">
        <f>IF(OR('Cleanup TMS'!BE76=0,'Cleanup TMS'!BE76=""),"-",'Cleanup TMS'!BE76)</f>
        <v>0.03</v>
      </c>
      <c r="AA76" s="74" t="str">
        <f>IF(OR('Cleanup TMS'!BF76=0,'Cleanup TMS'!BF76=""),"-",'Cleanup TMS'!BF76)</f>
        <v>B</v>
      </c>
      <c r="AB76" s="148">
        <f>IF(OR('Cleanup TMS'!BI76="",'Cleanup TMS'!BI76=0),"-",'Cleanup TMS'!BI76)</f>
        <v>0.01</v>
      </c>
      <c r="AC76" s="73">
        <f>'Cleanup TMS'!BS76</f>
        <v>24200</v>
      </c>
      <c r="AD76" s="73">
        <f t="shared" si="7"/>
        <v>394</v>
      </c>
      <c r="AE76" s="74">
        <f>IF(OR('Cleanup TMS'!BU76=0,'Cleanup TMS'!BU76=""),"-",'Cleanup TMS'!BU76)</f>
        <v>0.02</v>
      </c>
      <c r="AF76" s="74" t="str">
        <f>IF(OR('Cleanup TMS'!BV76=0,'Cleanup TMS'!BV76=""),"-",'Cleanup TMS'!BV76)</f>
        <v>B</v>
      </c>
      <c r="AG76" s="73">
        <f>'Cleanup TMS'!CF76</f>
        <v>1200</v>
      </c>
      <c r="AH76" s="73">
        <f>IF(X76="-","-",ROUND(X76*(1+AB76)^5,0))</f>
        <v>37</v>
      </c>
      <c r="AI76" s="73">
        <f>IF(Y76="-","-",ROUND(Y76*(1+AB76)^5,0))</f>
        <v>19</v>
      </c>
      <c r="AJ76" s="71">
        <f>IF(OR('Cleanup TMS'!CI76=0,'Cleanup TMS'!CI76=""),"-",'Cleanup TMS'!CI76)</f>
        <v>0.03</v>
      </c>
      <c r="AK76" s="75" t="str">
        <f>IF(OR('Cleanup TMS'!CJ76=0,'Cleanup TMS'!CJ76=""),"-",'Cleanup TMS'!CJ76)</f>
        <v>B</v>
      </c>
    </row>
    <row r="77" spans="1:37" ht="18.75" customHeight="1">
      <c r="A77" s="69">
        <f>'Cleanup TMS'!A77</f>
        <v>3537100</v>
      </c>
      <c r="B77" s="70" t="str">
        <f>'Cleanup TMS'!B77</f>
        <v>2020-18</v>
      </c>
      <c r="C77" s="70" t="str">
        <f>IF('Cleanup TMS'!E77="","",'Cleanup TMS'!E77)</f>
        <v/>
      </c>
      <c r="D77" s="70" t="str">
        <f>'Cleanup TMS'!F77</f>
        <v>SUMTER</v>
      </c>
      <c r="E77" s="70">
        <f>'Cleanup TMS'!G77</f>
        <v>45</v>
      </c>
      <c r="F77" s="71">
        <f>ROUND('Cleanup TMS'!H77,2)</f>
        <v>1.39</v>
      </c>
      <c r="G77" s="72" t="str">
        <f>'Cleanup TMS'!I77</f>
        <v>CR 466</v>
      </c>
      <c r="H77" s="72" t="str">
        <f>'Cleanup TMS'!J77</f>
        <v>CR 475</v>
      </c>
      <c r="I77" s="72" t="str">
        <f>'Cleanup TMS'!K77</f>
        <v>CR 229</v>
      </c>
      <c r="J77" s="70">
        <f>'Cleanup TMS'!L77</f>
        <v>2</v>
      </c>
      <c r="K77" s="70">
        <v>2</v>
      </c>
      <c r="L77" s="70" t="s">
        <v>646</v>
      </c>
      <c r="M77" s="70" t="s">
        <v>648</v>
      </c>
      <c r="N77" s="152" t="s">
        <v>652</v>
      </c>
      <c r="O77" s="152" t="s">
        <v>547</v>
      </c>
      <c r="P77" s="70" t="str">
        <f>'Cleanup TMS'!V77</f>
        <v>COUNTY</v>
      </c>
      <c r="Q77" s="70" t="str">
        <f>'Cleanup TMS'!W77</f>
        <v>UNINCORPORATED SUMTER COUNTY</v>
      </c>
      <c r="R77" s="70" t="s">
        <v>5</v>
      </c>
      <c r="S77" s="73">
        <f>IF('Cleanup TMS'!AO77=0,"-",'Cleanup TMS'!AO77)</f>
        <v>24200</v>
      </c>
      <c r="T77" s="73">
        <f>'Cleanup TMS'!AP77</f>
        <v>6963.0571428571129</v>
      </c>
      <c r="U77" s="71">
        <f>IF(OR('Cleanup TMS'!AQ77=0,'Cleanup TMS'!AQ77=""),"-",'Cleanup TMS'!AQ77)</f>
        <v>0.28999999999999998</v>
      </c>
      <c r="V77" s="71" t="str">
        <f>IF(OR('Cleanup TMS'!AR77=0,'Cleanup TMS'!AR77=""),"-",'Cleanup TMS'!AR77)</f>
        <v>B</v>
      </c>
      <c r="W77" s="73">
        <f>IF('Cleanup TMS'!BB77=0,"-",'Cleanup TMS'!BB77)</f>
        <v>1200</v>
      </c>
      <c r="X77" s="73">
        <f>'Cleanup TMS'!BC77</f>
        <v>297</v>
      </c>
      <c r="Y77" s="73">
        <f>'Cleanup TMS'!BD77</f>
        <v>190</v>
      </c>
      <c r="Z77" s="74">
        <f>IF(OR('Cleanup TMS'!BE77=0,'Cleanup TMS'!BE77=""),"-",'Cleanup TMS'!BE77)</f>
        <v>0.25</v>
      </c>
      <c r="AA77" s="74" t="str">
        <f>IF(OR('Cleanup TMS'!BF77=0,'Cleanup TMS'!BF77=""),"-",'Cleanup TMS'!BF77)</f>
        <v>B</v>
      </c>
      <c r="AB77" s="148">
        <f>IF(OR('Cleanup TMS'!BI77="",'Cleanup TMS'!BI77=0),"-",'Cleanup TMS'!BI77)</f>
        <v>4.2500000000000003E-2</v>
      </c>
      <c r="AC77" s="73">
        <f>'Cleanup TMS'!BS77</f>
        <v>24200</v>
      </c>
      <c r="AD77" s="73">
        <f t="shared" si="7"/>
        <v>8574</v>
      </c>
      <c r="AE77" s="74">
        <f>IF(OR('Cleanup TMS'!BU77=0,'Cleanup TMS'!BU77=""),"-",'Cleanup TMS'!BU77)</f>
        <v>0.35</v>
      </c>
      <c r="AF77" s="74" t="str">
        <f>IF(OR('Cleanup TMS'!BV77=0,'Cleanup TMS'!BV77=""),"-",'Cleanup TMS'!BV77)</f>
        <v>B</v>
      </c>
      <c r="AG77" s="73">
        <f>'Cleanup TMS'!CF77</f>
        <v>1200</v>
      </c>
      <c r="AH77" s="73">
        <f t="shared" si="8"/>
        <v>366</v>
      </c>
      <c r="AI77" s="73">
        <f t="shared" si="9"/>
        <v>234</v>
      </c>
      <c r="AJ77" s="71">
        <f>IF(OR('Cleanup TMS'!CI77=0,'Cleanup TMS'!CI77=""),"-",'Cleanup TMS'!CI77)</f>
        <v>0.31</v>
      </c>
      <c r="AK77" s="75" t="str">
        <f>IF(OR('Cleanup TMS'!CJ77=0,'Cleanup TMS'!CJ77=""),"-",'Cleanup TMS'!CJ77)</f>
        <v>B</v>
      </c>
    </row>
    <row r="78" spans="1:37" ht="18.75" customHeight="1">
      <c r="A78" s="69">
        <f>'Cleanup TMS'!A78</f>
        <v>3537120</v>
      </c>
      <c r="B78" s="70">
        <f>'Cleanup TMS'!B78</f>
        <v>49</v>
      </c>
      <c r="C78" s="70" t="str">
        <f>IF('Cleanup TMS'!E78="","",'Cleanup TMS'!E78)</f>
        <v/>
      </c>
      <c r="D78" s="70" t="str">
        <f>'Cleanup TMS'!F78</f>
        <v>SUMTER</v>
      </c>
      <c r="E78" s="70">
        <f>'Cleanup TMS'!G78</f>
        <v>55</v>
      </c>
      <c r="F78" s="71">
        <f>ROUND('Cleanup TMS'!H78,2)</f>
        <v>2.2000000000000002</v>
      </c>
      <c r="G78" s="72" t="str">
        <f>'Cleanup TMS'!I78</f>
        <v>CR 475 N</v>
      </c>
      <c r="H78" s="72" t="str">
        <f>'Cleanup TMS'!J78</f>
        <v>CR 466</v>
      </c>
      <c r="I78" s="72" t="str">
        <f>'Cleanup TMS'!K78</f>
        <v>MARION COUNTY BOUNDARY</v>
      </c>
      <c r="J78" s="70">
        <f>'Cleanup TMS'!L78</f>
        <v>2</v>
      </c>
      <c r="K78" s="70">
        <v>2</v>
      </c>
      <c r="L78" s="70" t="s">
        <v>646</v>
      </c>
      <c r="M78" s="70" t="s">
        <v>648</v>
      </c>
      <c r="N78" s="152" t="s">
        <v>652</v>
      </c>
      <c r="O78" s="152" t="s">
        <v>547</v>
      </c>
      <c r="P78" s="70" t="str">
        <f>'Cleanup TMS'!V78</f>
        <v>COUNTY</v>
      </c>
      <c r="Q78" s="70" t="str">
        <f>'Cleanup TMS'!W78</f>
        <v>UNINCORPORATED SUMTER COUNTY</v>
      </c>
      <c r="R78" s="70" t="s">
        <v>5</v>
      </c>
      <c r="S78" s="73">
        <f>IF('Cleanup TMS'!AO78=0,"-",'Cleanup TMS'!AO78)</f>
        <v>24200</v>
      </c>
      <c r="T78" s="73">
        <f>'Cleanup TMS'!AP78</f>
        <v>7106</v>
      </c>
      <c r="U78" s="71">
        <f>IF(OR('Cleanup TMS'!AQ78=0,'Cleanup TMS'!AQ78=""),"-",'Cleanup TMS'!AQ78)</f>
        <v>0.28999999999999998</v>
      </c>
      <c r="V78" s="71" t="str">
        <f>IF(OR('Cleanup TMS'!AR78=0,'Cleanup TMS'!AR78=""),"-",'Cleanup TMS'!AR78)</f>
        <v>B</v>
      </c>
      <c r="W78" s="73">
        <f>IF('Cleanup TMS'!BB78=0,"-",'Cleanup TMS'!BB78)</f>
        <v>1200</v>
      </c>
      <c r="X78" s="73">
        <f>'Cleanup TMS'!BC78</f>
        <v>350</v>
      </c>
      <c r="Y78" s="73">
        <f>'Cleanup TMS'!BD78</f>
        <v>308</v>
      </c>
      <c r="Z78" s="74">
        <f>IF(OR('Cleanup TMS'!BE78=0,'Cleanup TMS'!BE78=""),"-",'Cleanup TMS'!BE78)</f>
        <v>0.28999999999999998</v>
      </c>
      <c r="AA78" s="74" t="str">
        <f>IF(OR('Cleanup TMS'!BF78=0,'Cleanup TMS'!BF78=""),"-",'Cleanup TMS'!BF78)</f>
        <v>B</v>
      </c>
      <c r="AB78" s="148">
        <f>IF(OR('Cleanup TMS'!BI78="",'Cleanup TMS'!BI78=0),"-",'Cleanup TMS'!BI78)</f>
        <v>4.4999999999999998E-2</v>
      </c>
      <c r="AC78" s="73">
        <f>'Cleanup TMS'!BS78</f>
        <v>24200</v>
      </c>
      <c r="AD78" s="73">
        <f t="shared" si="7"/>
        <v>8855</v>
      </c>
      <c r="AE78" s="74">
        <f>IF(OR('Cleanup TMS'!BU78=0,'Cleanup TMS'!BU78=""),"-",'Cleanup TMS'!BU78)</f>
        <v>0.37</v>
      </c>
      <c r="AF78" s="74" t="str">
        <f>IF(OR('Cleanup TMS'!BV78=0,'Cleanup TMS'!BV78=""),"-",'Cleanup TMS'!BV78)</f>
        <v>B</v>
      </c>
      <c r="AG78" s="73">
        <f>'Cleanup TMS'!CF78</f>
        <v>1200</v>
      </c>
      <c r="AH78" s="73">
        <f t="shared" si="8"/>
        <v>436</v>
      </c>
      <c r="AI78" s="73">
        <f t="shared" si="9"/>
        <v>384</v>
      </c>
      <c r="AJ78" s="71">
        <f>IF(OR('Cleanup TMS'!CI78=0,'Cleanup TMS'!CI78=""),"-",'Cleanup TMS'!CI78)</f>
        <v>0.36</v>
      </c>
      <c r="AK78" s="75" t="str">
        <f>IF(OR('Cleanup TMS'!CJ78=0,'Cleanup TMS'!CJ78=""),"-",'Cleanup TMS'!CJ78)</f>
        <v>B</v>
      </c>
    </row>
    <row r="79" spans="1:37" ht="18.75" customHeight="1">
      <c r="A79" s="69">
        <f>'Cleanup TMS'!A79</f>
        <v>3537130</v>
      </c>
      <c r="B79" s="70">
        <f>'Cleanup TMS'!B79</f>
        <v>23</v>
      </c>
      <c r="C79" s="70" t="str">
        <f>IF('Cleanup TMS'!E79="","",'Cleanup TMS'!E79)</f>
        <v/>
      </c>
      <c r="D79" s="70" t="str">
        <f>'Cleanup TMS'!F79</f>
        <v>SUMTER</v>
      </c>
      <c r="E79" s="70">
        <f>'Cleanup TMS'!G79</f>
        <v>35</v>
      </c>
      <c r="F79" s="71">
        <f>ROUND('Cleanup TMS'!H79,2)</f>
        <v>0.99</v>
      </c>
      <c r="G79" s="72" t="str">
        <f>'Cleanup TMS'!I79</f>
        <v>CR 466</v>
      </c>
      <c r="H79" s="72" t="str">
        <f>'Cleanup TMS'!J79</f>
        <v>CR 209</v>
      </c>
      <c r="I79" s="72" t="str">
        <f>'Cleanup TMS'!K79</f>
        <v>US 301/SR 35</v>
      </c>
      <c r="J79" s="70">
        <f>'Cleanup TMS'!L79</f>
        <v>2</v>
      </c>
      <c r="K79" s="70">
        <v>2</v>
      </c>
      <c r="L79" s="70" t="s">
        <v>646</v>
      </c>
      <c r="M79" s="70" t="s">
        <v>649</v>
      </c>
      <c r="N79" s="152" t="s">
        <v>651</v>
      </c>
      <c r="O79" s="152" t="s">
        <v>547</v>
      </c>
      <c r="P79" s="70" t="str">
        <f>'Cleanup TMS'!V79</f>
        <v>COUNTY</v>
      </c>
      <c r="Q79" s="70" t="str">
        <f>'Cleanup TMS'!W79</f>
        <v>WILDWOOD</v>
      </c>
      <c r="R79" s="70" t="s">
        <v>5</v>
      </c>
      <c r="S79" s="73">
        <f>IF('Cleanup TMS'!AO79=0,"-",'Cleanup TMS'!AO79)</f>
        <v>14763</v>
      </c>
      <c r="T79" s="73">
        <f>'Cleanup TMS'!AP79</f>
        <v>9970</v>
      </c>
      <c r="U79" s="71">
        <f>IF(OR('Cleanup TMS'!AQ79=0,'Cleanup TMS'!AQ79=""),"-",'Cleanup TMS'!AQ79)</f>
        <v>0.68</v>
      </c>
      <c r="V79" s="71" t="str">
        <f>IF(OR('Cleanup TMS'!AR79=0,'Cleanup TMS'!AR79=""),"-",'Cleanup TMS'!AR79)</f>
        <v>D</v>
      </c>
      <c r="W79" s="73">
        <f>IF('Cleanup TMS'!BB79=0,"-",'Cleanup TMS'!BB79)</f>
        <v>713</v>
      </c>
      <c r="X79" s="73">
        <f>'Cleanup TMS'!BC79</f>
        <v>362</v>
      </c>
      <c r="Y79" s="73">
        <f>'Cleanup TMS'!BD79</f>
        <v>477</v>
      </c>
      <c r="Z79" s="74">
        <f>IF(OR('Cleanup TMS'!BE79=0,'Cleanup TMS'!BE79=""),"-",'Cleanup TMS'!BE79)</f>
        <v>0.67</v>
      </c>
      <c r="AA79" s="74" t="str">
        <f>IF(OR('Cleanup TMS'!BF79=0,'Cleanup TMS'!BF79=""),"-",'Cleanup TMS'!BF79)</f>
        <v>D</v>
      </c>
      <c r="AB79" s="148">
        <f>IF(OR('Cleanup TMS'!BI79="",'Cleanup TMS'!BI79=0),"-",'Cleanup TMS'!BI79)</f>
        <v>0.03</v>
      </c>
      <c r="AC79" s="73">
        <f>'Cleanup TMS'!BS79</f>
        <v>14763</v>
      </c>
      <c r="AD79" s="73">
        <f t="shared" si="7"/>
        <v>11558</v>
      </c>
      <c r="AE79" s="74">
        <f>IF(OR('Cleanup TMS'!BU79=0,'Cleanup TMS'!BU79=""),"-",'Cleanup TMS'!BU79)</f>
        <v>0.78</v>
      </c>
      <c r="AF79" s="74" t="str">
        <f>IF(OR('Cleanup TMS'!BV79=0,'Cleanup TMS'!BV79=""),"-",'Cleanup TMS'!BV79)</f>
        <v>D</v>
      </c>
      <c r="AG79" s="73">
        <f>'Cleanup TMS'!CF79</f>
        <v>713</v>
      </c>
      <c r="AH79" s="73">
        <f t="shared" si="8"/>
        <v>420</v>
      </c>
      <c r="AI79" s="73">
        <f t="shared" si="9"/>
        <v>553</v>
      </c>
      <c r="AJ79" s="71">
        <f>IF(OR('Cleanup TMS'!CI79=0,'Cleanup TMS'!CI79=""),"-",'Cleanup TMS'!CI79)</f>
        <v>0.78</v>
      </c>
      <c r="AK79" s="75" t="str">
        <f>IF(OR('Cleanup TMS'!CJ79=0,'Cleanup TMS'!CJ79=""),"-",'Cleanup TMS'!CJ79)</f>
        <v>D</v>
      </c>
    </row>
    <row r="80" spans="1:37" ht="18.75" customHeight="1">
      <c r="A80" s="69">
        <f>'Cleanup TMS'!A80</f>
        <v>3537140</v>
      </c>
      <c r="B80" s="70">
        <f>'Cleanup TMS'!B80</f>
        <v>24</v>
      </c>
      <c r="C80" s="70">
        <f>IF('Cleanup TMS'!E80="","",'Cleanup TMS'!E80)</f>
        <v>187004</v>
      </c>
      <c r="D80" s="70" t="str">
        <f>'Cleanup TMS'!F80</f>
        <v>SUMTER</v>
      </c>
      <c r="E80" s="70">
        <f>'Cleanup TMS'!G80</f>
        <v>45</v>
      </c>
      <c r="F80" s="71">
        <f>ROUND('Cleanup TMS'!H80,2)</f>
        <v>0.27</v>
      </c>
      <c r="G80" s="72" t="str">
        <f>'Cleanup TMS'!I80</f>
        <v>CR 466</v>
      </c>
      <c r="H80" s="72" t="str">
        <f>'Cleanup TMS'!J80</f>
        <v>US 301/SR 35</v>
      </c>
      <c r="I80" s="72" t="str">
        <f>'Cleanup TMS'!K80</f>
        <v>CR 105</v>
      </c>
      <c r="J80" s="70">
        <f>'Cleanup TMS'!L80</f>
        <v>4</v>
      </c>
      <c r="K80" s="70">
        <v>4</v>
      </c>
      <c r="L80" s="70" t="s">
        <v>646</v>
      </c>
      <c r="M80" s="70" t="s">
        <v>649</v>
      </c>
      <c r="N80" s="152" t="s">
        <v>651</v>
      </c>
      <c r="O80" s="152" t="s">
        <v>547</v>
      </c>
      <c r="P80" s="70" t="str">
        <f>'Cleanup TMS'!V80</f>
        <v>COUNTY</v>
      </c>
      <c r="Q80" s="70" t="str">
        <f>'Cleanup TMS'!W80</f>
        <v>UNINCORPORATED SUMTER COUNTY</v>
      </c>
      <c r="R80" s="70" t="s">
        <v>5</v>
      </c>
      <c r="S80" s="73">
        <f>IF('Cleanup TMS'!AO80=0,"-",'Cleanup TMS'!AO80)</f>
        <v>35820</v>
      </c>
      <c r="T80" s="73">
        <f>'Cleanup TMS'!AP80</f>
        <v>25468</v>
      </c>
      <c r="U80" s="71">
        <f>IF(OR('Cleanup TMS'!AQ80=0,'Cleanup TMS'!AQ80=""),"-",'Cleanup TMS'!AQ80)</f>
        <v>0.71</v>
      </c>
      <c r="V80" s="71" t="str">
        <f>IF(OR('Cleanup TMS'!AR80=0,'Cleanup TMS'!AR80=""),"-",'Cleanup TMS'!AR80)</f>
        <v>C</v>
      </c>
      <c r="W80" s="73">
        <f>IF('Cleanup TMS'!BB80=0,"-",'Cleanup TMS'!BB80)</f>
        <v>1800</v>
      </c>
      <c r="X80" s="73">
        <f>'Cleanup TMS'!BC80</f>
        <v>1010</v>
      </c>
      <c r="Y80" s="73">
        <f>'Cleanup TMS'!BD80</f>
        <v>1148</v>
      </c>
      <c r="Z80" s="74">
        <f>IF(OR('Cleanup TMS'!BE80=0,'Cleanup TMS'!BE80=""),"-",'Cleanup TMS'!BE80)</f>
        <v>0.64</v>
      </c>
      <c r="AA80" s="74" t="str">
        <f>IF(OR('Cleanup TMS'!BF80=0,'Cleanup TMS'!BF80=""),"-",'Cleanup TMS'!BF80)</f>
        <v>C</v>
      </c>
      <c r="AB80" s="148">
        <f>IF(OR('Cleanup TMS'!BI80="",'Cleanup TMS'!BI80=0),"-",'Cleanup TMS'!BI80)</f>
        <v>0.01</v>
      </c>
      <c r="AC80" s="73">
        <f>'Cleanup TMS'!BS80</f>
        <v>35820</v>
      </c>
      <c r="AD80" s="73">
        <f t="shared" si="7"/>
        <v>26767</v>
      </c>
      <c r="AE80" s="74">
        <f>IF(OR('Cleanup TMS'!BU80=0,'Cleanup TMS'!BU80=""),"-",'Cleanup TMS'!BU80)</f>
        <v>0.75</v>
      </c>
      <c r="AF80" s="74" t="str">
        <f>IF(OR('Cleanup TMS'!BV80=0,'Cleanup TMS'!BV80=""),"-",'Cleanup TMS'!BV80)</f>
        <v>C</v>
      </c>
      <c r="AG80" s="73">
        <f>'Cleanup TMS'!CF80</f>
        <v>1800</v>
      </c>
      <c r="AH80" s="73">
        <f t="shared" si="8"/>
        <v>1062</v>
      </c>
      <c r="AI80" s="73">
        <f t="shared" si="9"/>
        <v>1207</v>
      </c>
      <c r="AJ80" s="71">
        <f>IF(OR('Cleanup TMS'!CI80=0,'Cleanup TMS'!CI80=""),"-",'Cleanup TMS'!CI80)</f>
        <v>0.67</v>
      </c>
      <c r="AK80" s="75" t="str">
        <f>IF(OR('Cleanup TMS'!CJ80=0,'Cleanup TMS'!CJ80=""),"-",'Cleanup TMS'!CJ80)</f>
        <v>C</v>
      </c>
    </row>
    <row r="81" spans="1:37" ht="18.75" customHeight="1">
      <c r="A81" s="69">
        <f>'Cleanup TMS'!A81</f>
        <v>3537150</v>
      </c>
      <c r="B81" s="70">
        <f>'Cleanup TMS'!B81</f>
        <v>25</v>
      </c>
      <c r="C81" s="70" t="str">
        <f>IF('Cleanup TMS'!E81="","",'Cleanup TMS'!E81)</f>
        <v/>
      </c>
      <c r="D81" s="70" t="str">
        <f>'Cleanup TMS'!F81</f>
        <v>SUMTER</v>
      </c>
      <c r="E81" s="70">
        <f>'Cleanup TMS'!G81</f>
        <v>45</v>
      </c>
      <c r="F81" s="71">
        <f>ROUND('Cleanup TMS'!H81,2)</f>
        <v>0.78</v>
      </c>
      <c r="G81" s="72" t="str">
        <f>'Cleanup TMS'!I81</f>
        <v>CR 466</v>
      </c>
      <c r="H81" s="72" t="str">
        <f>'Cleanup TMS'!J81</f>
        <v>CR 103</v>
      </c>
      <c r="I81" s="72" t="str">
        <f>'Cleanup TMS'!K81</f>
        <v>CR 101</v>
      </c>
      <c r="J81" s="70">
        <f>'Cleanup TMS'!L81</f>
        <v>4</v>
      </c>
      <c r="K81" s="70">
        <v>4</v>
      </c>
      <c r="L81" s="70" t="s">
        <v>646</v>
      </c>
      <c r="M81" s="70" t="s">
        <v>649</v>
      </c>
      <c r="N81" s="152" t="s">
        <v>651</v>
      </c>
      <c r="O81" s="152" t="s">
        <v>547</v>
      </c>
      <c r="P81" s="70" t="str">
        <f>'Cleanup TMS'!V81</f>
        <v>COUNTY</v>
      </c>
      <c r="Q81" s="70" t="str">
        <f>'Cleanup TMS'!W81</f>
        <v>UNINCORPORATED SUMTER COUNTY</v>
      </c>
      <c r="R81" s="70" t="s">
        <v>5</v>
      </c>
      <c r="S81" s="73">
        <f>IF('Cleanup TMS'!AO81=0,"-",'Cleanup TMS'!AO81)</f>
        <v>35820</v>
      </c>
      <c r="T81" s="73">
        <f>'Cleanup TMS'!AP81</f>
        <v>24251</v>
      </c>
      <c r="U81" s="71">
        <f>IF(OR('Cleanup TMS'!AQ81=0,'Cleanup TMS'!AQ81=""),"-",'Cleanup TMS'!AQ81)</f>
        <v>0.68</v>
      </c>
      <c r="V81" s="71" t="str">
        <f>IF(OR('Cleanup TMS'!AR81=0,'Cleanup TMS'!AR81=""),"-",'Cleanup TMS'!AR81)</f>
        <v>C</v>
      </c>
      <c r="W81" s="73">
        <f>IF('Cleanup TMS'!BB81=0,"-",'Cleanup TMS'!BB81)</f>
        <v>1800</v>
      </c>
      <c r="X81" s="73">
        <f>'Cleanup TMS'!BC81</f>
        <v>1121</v>
      </c>
      <c r="Y81" s="73">
        <f>'Cleanup TMS'!BD81</f>
        <v>1131</v>
      </c>
      <c r="Z81" s="74">
        <f>IF(OR('Cleanup TMS'!BE81=0,'Cleanup TMS'!BE81=""),"-",'Cleanup TMS'!BE81)</f>
        <v>0.63</v>
      </c>
      <c r="AA81" s="74" t="str">
        <f>IF(OR('Cleanup TMS'!BF81=0,'Cleanup TMS'!BF81=""),"-",'Cleanup TMS'!BF81)</f>
        <v>C</v>
      </c>
      <c r="AB81" s="148">
        <f>IF(OR('Cleanup TMS'!BI81="",'Cleanup TMS'!BI81=0),"-",'Cleanup TMS'!BI81)</f>
        <v>0.01</v>
      </c>
      <c r="AC81" s="73">
        <f>'Cleanup TMS'!BS81</f>
        <v>35820</v>
      </c>
      <c r="AD81" s="73">
        <f t="shared" si="7"/>
        <v>25488</v>
      </c>
      <c r="AE81" s="74">
        <f>IF(OR('Cleanup TMS'!BU81=0,'Cleanup TMS'!BU81=""),"-",'Cleanup TMS'!BU81)</f>
        <v>0.71</v>
      </c>
      <c r="AF81" s="74" t="str">
        <f>IF(OR('Cleanup TMS'!BV81=0,'Cleanup TMS'!BV81=""),"-",'Cleanup TMS'!BV81)</f>
        <v>C</v>
      </c>
      <c r="AG81" s="73">
        <f>'Cleanup TMS'!CF81</f>
        <v>1800</v>
      </c>
      <c r="AH81" s="73">
        <f t="shared" si="8"/>
        <v>1178</v>
      </c>
      <c r="AI81" s="73">
        <f t="shared" si="9"/>
        <v>1189</v>
      </c>
      <c r="AJ81" s="71">
        <f>IF(OR('Cleanup TMS'!CI81=0,'Cleanup TMS'!CI81=""),"-",'Cleanup TMS'!CI81)</f>
        <v>0.66</v>
      </c>
      <c r="AK81" s="75" t="str">
        <f>IF(OR('Cleanup TMS'!CJ81=0,'Cleanup TMS'!CJ81=""),"-",'Cleanup TMS'!CJ81)</f>
        <v>C</v>
      </c>
    </row>
    <row r="82" spans="1:37" ht="18.75" customHeight="1">
      <c r="A82" s="69">
        <f>'Cleanup TMS'!A82</f>
        <v>3537160</v>
      </c>
      <c r="B82" s="70">
        <f>'Cleanup TMS'!B82</f>
        <v>27</v>
      </c>
      <c r="C82" s="70" t="str">
        <f>IF('Cleanup TMS'!E82="","",'Cleanup TMS'!E82)</f>
        <v/>
      </c>
      <c r="D82" s="70" t="str">
        <f>'Cleanup TMS'!F82</f>
        <v>SUMTER</v>
      </c>
      <c r="E82" s="70">
        <f>'Cleanup TMS'!G82</f>
        <v>45</v>
      </c>
      <c r="F82" s="71">
        <f>ROUND('Cleanup TMS'!H82,2)</f>
        <v>2.2999999999999998</v>
      </c>
      <c r="G82" s="72" t="str">
        <f>'Cleanup TMS'!I82</f>
        <v>CR 466</v>
      </c>
      <c r="H82" s="72" t="str">
        <f>'Cleanup TMS'!J82</f>
        <v>BUENA VISTA BLVD</v>
      </c>
      <c r="I82" s="72" t="str">
        <f>'Cleanup TMS'!K82</f>
        <v>MORSE BLVD</v>
      </c>
      <c r="J82" s="70">
        <f>'Cleanup TMS'!L82</f>
        <v>4</v>
      </c>
      <c r="K82" s="70">
        <v>4</v>
      </c>
      <c r="L82" s="70" t="s">
        <v>646</v>
      </c>
      <c r="M82" s="70" t="s">
        <v>649</v>
      </c>
      <c r="N82" s="152" t="s">
        <v>651</v>
      </c>
      <c r="O82" s="152" t="s">
        <v>547</v>
      </c>
      <c r="P82" s="70" t="str">
        <f>'Cleanup TMS'!V82</f>
        <v>COUNTY</v>
      </c>
      <c r="Q82" s="70" t="str">
        <f>'Cleanup TMS'!W82</f>
        <v>UNINCORPORATED SUMTER COUNTY</v>
      </c>
      <c r="R82" s="70" t="s">
        <v>5</v>
      </c>
      <c r="S82" s="73">
        <f>IF('Cleanup TMS'!AO82=0,"-",'Cleanup TMS'!AO82)</f>
        <v>35820</v>
      </c>
      <c r="T82" s="73">
        <f>'Cleanup TMS'!AP82</f>
        <v>23320</v>
      </c>
      <c r="U82" s="71">
        <f>IF(OR('Cleanup TMS'!AQ82=0,'Cleanup TMS'!AQ82=""),"-",'Cleanup TMS'!AQ82)</f>
        <v>0.65</v>
      </c>
      <c r="V82" s="71" t="str">
        <f>IF(OR('Cleanup TMS'!AR82=0,'Cleanup TMS'!AR82=""),"-",'Cleanup TMS'!AR82)</f>
        <v>C</v>
      </c>
      <c r="W82" s="73">
        <f>IF('Cleanup TMS'!BB82=0,"-",'Cleanup TMS'!BB82)</f>
        <v>1800</v>
      </c>
      <c r="X82" s="73">
        <f>'Cleanup TMS'!BC82</f>
        <v>979</v>
      </c>
      <c r="Y82" s="73">
        <f>'Cleanup TMS'!BD82</f>
        <v>1006</v>
      </c>
      <c r="Z82" s="74">
        <f>IF(OR('Cleanup TMS'!BE82=0,'Cleanup TMS'!BE82=""),"-",'Cleanup TMS'!BE82)</f>
        <v>0.56000000000000005</v>
      </c>
      <c r="AA82" s="74" t="str">
        <f>IF(OR('Cleanup TMS'!BF82=0,'Cleanup TMS'!BF82=""),"-",'Cleanup TMS'!BF82)</f>
        <v>C</v>
      </c>
      <c r="AB82" s="148">
        <f>IF(OR('Cleanup TMS'!BI82="",'Cleanup TMS'!BI82=0),"-",'Cleanup TMS'!BI82)</f>
        <v>0.01</v>
      </c>
      <c r="AC82" s="73">
        <f>'Cleanup TMS'!BS82</f>
        <v>35820</v>
      </c>
      <c r="AD82" s="73">
        <f t="shared" si="7"/>
        <v>24510</v>
      </c>
      <c r="AE82" s="74">
        <f>IF(OR('Cleanup TMS'!BU82=0,'Cleanup TMS'!BU82=""),"-",'Cleanup TMS'!BU82)</f>
        <v>0.68</v>
      </c>
      <c r="AF82" s="74" t="str">
        <f>IF(OR('Cleanup TMS'!BV82=0,'Cleanup TMS'!BV82=""),"-",'Cleanup TMS'!BV82)</f>
        <v>C</v>
      </c>
      <c r="AG82" s="73">
        <f>'Cleanup TMS'!CF82</f>
        <v>1800</v>
      </c>
      <c r="AH82" s="73">
        <f t="shared" si="8"/>
        <v>1029</v>
      </c>
      <c r="AI82" s="73">
        <f t="shared" si="9"/>
        <v>1057</v>
      </c>
      <c r="AJ82" s="71">
        <f>IF(OR('Cleanup TMS'!CI82=0,'Cleanup TMS'!CI82=""),"-",'Cleanup TMS'!CI82)</f>
        <v>0.59</v>
      </c>
      <c r="AK82" s="75" t="str">
        <f>IF(OR('Cleanup TMS'!CJ82=0,'Cleanup TMS'!CJ82=""),"-",'Cleanup TMS'!CJ82)</f>
        <v>C</v>
      </c>
    </row>
    <row r="83" spans="1:37" ht="18.75" customHeight="1">
      <c r="A83" s="69">
        <f>'Cleanup TMS'!A83</f>
        <v>3537170</v>
      </c>
      <c r="B83" s="70">
        <f>'Cleanup TMS'!B83</f>
        <v>28</v>
      </c>
      <c r="C83" s="70">
        <f>IF('Cleanup TMS'!E83="","",'Cleanup TMS'!E83)</f>
        <v>187033</v>
      </c>
      <c r="D83" s="70" t="str">
        <f>'Cleanup TMS'!F83</f>
        <v>SUMTER</v>
      </c>
      <c r="E83" s="70">
        <f>'Cleanup TMS'!G83</f>
        <v>45</v>
      </c>
      <c r="F83" s="71">
        <f>ROUND('Cleanup TMS'!H83,2)</f>
        <v>0.98</v>
      </c>
      <c r="G83" s="72" t="str">
        <f>'Cleanup TMS'!I83</f>
        <v>CR 466</v>
      </c>
      <c r="H83" s="72" t="str">
        <f>'Cleanup TMS'!J83</f>
        <v>MORSE BLVD</v>
      </c>
      <c r="I83" s="72" t="str">
        <f>'Cleanup TMS'!K83</f>
        <v>CR 100 (LAKE COUNTY BOUNDARY)</v>
      </c>
      <c r="J83" s="70">
        <f>'Cleanup TMS'!L83</f>
        <v>4</v>
      </c>
      <c r="K83" s="70">
        <v>4</v>
      </c>
      <c r="L83" s="70" t="s">
        <v>646</v>
      </c>
      <c r="M83" s="70" t="s">
        <v>649</v>
      </c>
      <c r="N83" s="152" t="s">
        <v>651</v>
      </c>
      <c r="O83" s="152" t="s">
        <v>547</v>
      </c>
      <c r="P83" s="70" t="str">
        <f>'Cleanup TMS'!V83</f>
        <v>COUNTY</v>
      </c>
      <c r="Q83" s="70" t="str">
        <f>'Cleanup TMS'!W83</f>
        <v>UNINCORPORATED SUMTER COUNTY</v>
      </c>
      <c r="R83" s="70" t="s">
        <v>5</v>
      </c>
      <c r="S83" s="73">
        <f>IF('Cleanup TMS'!AO83=0,"-",'Cleanup TMS'!AO83)</f>
        <v>35820</v>
      </c>
      <c r="T83" s="73">
        <f>'Cleanup TMS'!AP83</f>
        <v>24669</v>
      </c>
      <c r="U83" s="71">
        <f>IF(OR('Cleanup TMS'!AQ83=0,'Cleanup TMS'!AQ83=""),"-",'Cleanup TMS'!AQ83)</f>
        <v>0.69</v>
      </c>
      <c r="V83" s="71" t="str">
        <f>IF(OR('Cleanup TMS'!AR83=0,'Cleanup TMS'!AR83=""),"-",'Cleanup TMS'!AR83)</f>
        <v>C</v>
      </c>
      <c r="W83" s="73">
        <f>IF('Cleanup TMS'!BB83=0,"-",'Cleanup TMS'!BB83)</f>
        <v>1800</v>
      </c>
      <c r="X83" s="73">
        <f>'Cleanup TMS'!BC83</f>
        <v>1168</v>
      </c>
      <c r="Y83" s="73">
        <f>'Cleanup TMS'!BD83</f>
        <v>1060</v>
      </c>
      <c r="Z83" s="74">
        <f>IF(OR('Cleanup TMS'!BE83=0,'Cleanup TMS'!BE83=""),"-",'Cleanup TMS'!BE83)</f>
        <v>0.65</v>
      </c>
      <c r="AA83" s="74" t="str">
        <f>IF(OR('Cleanup TMS'!BF83=0,'Cleanup TMS'!BF83=""),"-",'Cleanup TMS'!BF83)</f>
        <v>C</v>
      </c>
      <c r="AB83" s="148">
        <f>IF(OR('Cleanup TMS'!BI83="",'Cleanup TMS'!BI83=0),"-",'Cleanup TMS'!BI83)</f>
        <v>0.01</v>
      </c>
      <c r="AC83" s="73">
        <f>'Cleanup TMS'!BS83</f>
        <v>35820</v>
      </c>
      <c r="AD83" s="73">
        <f t="shared" si="7"/>
        <v>25927</v>
      </c>
      <c r="AE83" s="74">
        <f>IF(OR('Cleanup TMS'!BU83=0,'Cleanup TMS'!BU83=""),"-",'Cleanup TMS'!BU83)</f>
        <v>0.72</v>
      </c>
      <c r="AF83" s="74" t="str">
        <f>IF(OR('Cleanup TMS'!BV83=0,'Cleanup TMS'!BV83=""),"-",'Cleanup TMS'!BV83)</f>
        <v>C</v>
      </c>
      <c r="AG83" s="73">
        <f>'Cleanup TMS'!CF83</f>
        <v>1800</v>
      </c>
      <c r="AH83" s="73">
        <f t="shared" si="8"/>
        <v>1228</v>
      </c>
      <c r="AI83" s="73">
        <f t="shared" si="9"/>
        <v>1114</v>
      </c>
      <c r="AJ83" s="71">
        <f>IF(OR('Cleanup TMS'!CI83=0,'Cleanup TMS'!CI83=""),"-",'Cleanup TMS'!CI83)</f>
        <v>0.68</v>
      </c>
      <c r="AK83" s="75" t="str">
        <f>IF(OR('Cleanup TMS'!CJ83=0,'Cleanup TMS'!CJ83=""),"-",'Cleanup TMS'!CJ83)</f>
        <v>C</v>
      </c>
    </row>
    <row r="84" spans="1:37" ht="18.75" customHeight="1">
      <c r="A84" s="69">
        <f>'Cleanup TMS'!A84</f>
        <v>3537180</v>
      </c>
      <c r="B84" s="70">
        <f>'Cleanup TMS'!B84</f>
        <v>26</v>
      </c>
      <c r="C84" s="70">
        <f>IF('Cleanup TMS'!E84="","",'Cleanup TMS'!E84)</f>
        <v>187007</v>
      </c>
      <c r="D84" s="70" t="str">
        <f>'Cleanup TMS'!F84</f>
        <v>SUMTER</v>
      </c>
      <c r="E84" s="70">
        <f>'Cleanup TMS'!G84</f>
        <v>45</v>
      </c>
      <c r="F84" s="71">
        <f>ROUND('Cleanup TMS'!H84,2)</f>
        <v>0.73</v>
      </c>
      <c r="G84" s="72" t="str">
        <f>'Cleanup TMS'!I84</f>
        <v>CR 466</v>
      </c>
      <c r="H84" s="72" t="str">
        <f>'Cleanup TMS'!J84</f>
        <v>CR 101</v>
      </c>
      <c r="I84" s="72" t="str">
        <f>'Cleanup TMS'!K84</f>
        <v>BUENA VISTA BLVD</v>
      </c>
      <c r="J84" s="70">
        <f>'Cleanup TMS'!L84</f>
        <v>4</v>
      </c>
      <c r="K84" s="70">
        <v>4</v>
      </c>
      <c r="L84" s="70" t="s">
        <v>646</v>
      </c>
      <c r="M84" s="70" t="s">
        <v>649</v>
      </c>
      <c r="N84" s="152" t="s">
        <v>651</v>
      </c>
      <c r="O84" s="152" t="s">
        <v>547</v>
      </c>
      <c r="P84" s="70" t="str">
        <f>'Cleanup TMS'!V84</f>
        <v>COUNTY</v>
      </c>
      <c r="Q84" s="70" t="str">
        <f>'Cleanup TMS'!W84</f>
        <v>UNINCORPORATED SUMTER COUNTY</v>
      </c>
      <c r="R84" s="70" t="s">
        <v>5</v>
      </c>
      <c r="S84" s="73">
        <f>IF('Cleanup TMS'!AO84=0,"-",'Cleanup TMS'!AO84)</f>
        <v>35820</v>
      </c>
      <c r="T84" s="73">
        <f>'Cleanup TMS'!AP84</f>
        <v>27786</v>
      </c>
      <c r="U84" s="71">
        <f>IF(OR('Cleanup TMS'!AQ84=0,'Cleanup TMS'!AQ84=""),"-",'Cleanup TMS'!AQ84)</f>
        <v>0.78</v>
      </c>
      <c r="V84" s="71" t="str">
        <f>IF(OR('Cleanup TMS'!AR84=0,'Cleanup TMS'!AR84=""),"-",'Cleanup TMS'!AR84)</f>
        <v>C</v>
      </c>
      <c r="W84" s="73">
        <f>IF('Cleanup TMS'!BB84=0,"-",'Cleanup TMS'!BB84)</f>
        <v>1800</v>
      </c>
      <c r="X84" s="73">
        <f>'Cleanup TMS'!BC84</f>
        <v>1228</v>
      </c>
      <c r="Y84" s="73">
        <f>'Cleanup TMS'!BD84</f>
        <v>1257</v>
      </c>
      <c r="Z84" s="74">
        <f>IF(OR('Cleanup TMS'!BE84=0,'Cleanup TMS'!BE84=""),"-",'Cleanup TMS'!BE84)</f>
        <v>0.7</v>
      </c>
      <c r="AA84" s="74" t="str">
        <f>IF(OR('Cleanup TMS'!BF84=0,'Cleanup TMS'!BF84=""),"-",'Cleanup TMS'!BF84)</f>
        <v>C</v>
      </c>
      <c r="AB84" s="148">
        <f>IF(OR('Cleanup TMS'!BI84="",'Cleanup TMS'!BI84=0),"-",'Cleanup TMS'!BI84)</f>
        <v>0.01</v>
      </c>
      <c r="AC84" s="73">
        <f>'Cleanup TMS'!BS84</f>
        <v>35820</v>
      </c>
      <c r="AD84" s="73">
        <f t="shared" si="7"/>
        <v>29203</v>
      </c>
      <c r="AE84" s="74">
        <f>IF(OR('Cleanup TMS'!BU84=0,'Cleanup TMS'!BU84=""),"-",'Cleanup TMS'!BU84)</f>
        <v>0.82</v>
      </c>
      <c r="AF84" s="74" t="str">
        <f>IF(OR('Cleanup TMS'!BV84=0,'Cleanup TMS'!BV84=""),"-",'Cleanup TMS'!BV84)</f>
        <v>C</v>
      </c>
      <c r="AG84" s="73">
        <f>'Cleanup TMS'!CF84</f>
        <v>1800</v>
      </c>
      <c r="AH84" s="73">
        <f t="shared" si="8"/>
        <v>1291</v>
      </c>
      <c r="AI84" s="73">
        <f t="shared" si="9"/>
        <v>1321</v>
      </c>
      <c r="AJ84" s="71">
        <f>IF(OR('Cleanup TMS'!CI84=0,'Cleanup TMS'!CI84=""),"-",'Cleanup TMS'!CI84)</f>
        <v>0.73</v>
      </c>
      <c r="AK84" s="75" t="str">
        <f>IF(OR('Cleanup TMS'!CJ84=0,'Cleanup TMS'!CJ84=""),"-",'Cleanup TMS'!CJ84)</f>
        <v>C</v>
      </c>
    </row>
    <row r="85" spans="1:37" ht="18.75" customHeight="1">
      <c r="A85" s="69">
        <f>'Cleanup TMS'!A85</f>
        <v>3537200</v>
      </c>
      <c r="B85" s="70">
        <f>'Cleanup TMS'!B85</f>
        <v>22</v>
      </c>
      <c r="C85" s="70" t="str">
        <f>IF('Cleanup TMS'!E85="","",'Cleanup TMS'!E85)</f>
        <v/>
      </c>
      <c r="D85" s="70" t="str">
        <f>'Cleanup TMS'!F85</f>
        <v>SUMTER</v>
      </c>
      <c r="E85" s="70">
        <f>'Cleanup TMS'!G85</f>
        <v>55</v>
      </c>
      <c r="F85" s="71">
        <f>ROUND('Cleanup TMS'!H85,2)</f>
        <v>2.02</v>
      </c>
      <c r="G85" s="72" t="str">
        <f>'Cleanup TMS'!I85</f>
        <v>CR 466</v>
      </c>
      <c r="H85" s="72" t="str">
        <f>'Cleanup TMS'!J85</f>
        <v>CR 229</v>
      </c>
      <c r="I85" s="72" t="str">
        <f>'Cleanup TMS'!K85</f>
        <v>CR 209</v>
      </c>
      <c r="J85" s="70">
        <f>'Cleanup TMS'!L85</f>
        <v>2</v>
      </c>
      <c r="K85" s="70">
        <v>2</v>
      </c>
      <c r="L85" s="70" t="s">
        <v>646</v>
      </c>
      <c r="M85" s="70" t="s">
        <v>648</v>
      </c>
      <c r="N85" s="152" t="s">
        <v>652</v>
      </c>
      <c r="O85" s="152" t="s">
        <v>547</v>
      </c>
      <c r="P85" s="70" t="str">
        <f>'Cleanup TMS'!V85</f>
        <v>COUNTY</v>
      </c>
      <c r="Q85" s="70" t="str">
        <f>'Cleanup TMS'!W85</f>
        <v>UNINCORPORATED SUMTER COUNTY</v>
      </c>
      <c r="R85" s="70" t="s">
        <v>5</v>
      </c>
      <c r="S85" s="73">
        <f>IF('Cleanup TMS'!AO85=0,"-",'Cleanup TMS'!AO85)</f>
        <v>24200</v>
      </c>
      <c r="T85" s="73">
        <f>'Cleanup TMS'!AP85</f>
        <v>8716</v>
      </c>
      <c r="U85" s="71">
        <f>IF(OR('Cleanup TMS'!AQ85=0,'Cleanup TMS'!AQ85=""),"-",'Cleanup TMS'!AQ85)</f>
        <v>0.36</v>
      </c>
      <c r="V85" s="71" t="str">
        <f>IF(OR('Cleanup TMS'!AR85=0,'Cleanup TMS'!AR85=""),"-",'Cleanup TMS'!AR85)</f>
        <v>B</v>
      </c>
      <c r="W85" s="73">
        <f>IF('Cleanup TMS'!BB85=0,"-",'Cleanup TMS'!BB85)</f>
        <v>1200</v>
      </c>
      <c r="X85" s="73">
        <f>'Cleanup TMS'!BC85</f>
        <v>279</v>
      </c>
      <c r="Y85" s="73">
        <f>'Cleanup TMS'!BD85</f>
        <v>485</v>
      </c>
      <c r="Z85" s="74">
        <f>IF(OR('Cleanup TMS'!BE85=0,'Cleanup TMS'!BE85=""),"-",'Cleanup TMS'!BE85)</f>
        <v>0.4</v>
      </c>
      <c r="AA85" s="74" t="str">
        <f>IF(OR('Cleanup TMS'!BF85=0,'Cleanup TMS'!BF85=""),"-",'Cleanup TMS'!BF85)</f>
        <v>B</v>
      </c>
      <c r="AB85" s="148">
        <f>IF(OR('Cleanup TMS'!BI85="",'Cleanup TMS'!BI85=0),"-",'Cleanup TMS'!BI85)</f>
        <v>4.2500000000000003E-2</v>
      </c>
      <c r="AC85" s="73">
        <f>'Cleanup TMS'!BS85</f>
        <v>24200</v>
      </c>
      <c r="AD85" s="73">
        <f t="shared" si="7"/>
        <v>10732</v>
      </c>
      <c r="AE85" s="74">
        <f>IF(OR('Cleanup TMS'!BU85=0,'Cleanup TMS'!BU85=""),"-",'Cleanup TMS'!BU85)</f>
        <v>0.44</v>
      </c>
      <c r="AF85" s="74" t="str">
        <f>IF(OR('Cleanup TMS'!BV85=0,'Cleanup TMS'!BV85=""),"-",'Cleanup TMS'!BV85)</f>
        <v>B</v>
      </c>
      <c r="AG85" s="73">
        <f>'Cleanup TMS'!CF85</f>
        <v>1200</v>
      </c>
      <c r="AH85" s="73">
        <f t="shared" si="8"/>
        <v>344</v>
      </c>
      <c r="AI85" s="73">
        <f t="shared" si="9"/>
        <v>597</v>
      </c>
      <c r="AJ85" s="71">
        <f>IF(OR('Cleanup TMS'!CI85=0,'Cleanup TMS'!CI85=""),"-",'Cleanup TMS'!CI85)</f>
        <v>0.5</v>
      </c>
      <c r="AK85" s="75" t="str">
        <f>IF(OR('Cleanup TMS'!CJ85=0,'Cleanup TMS'!CJ85=""),"-",'Cleanup TMS'!CJ85)</f>
        <v>C</v>
      </c>
    </row>
    <row r="86" spans="1:37" ht="18.75" customHeight="1">
      <c r="A86" s="69">
        <f>'Cleanup TMS'!A86</f>
        <v>3538000</v>
      </c>
      <c r="B86" s="70" t="str">
        <f>'Cleanup TMS'!B86</f>
        <v>2020-89</v>
      </c>
      <c r="C86" s="70" t="str">
        <f>IF('Cleanup TMS'!E86="","",'Cleanup TMS'!E86)</f>
        <v/>
      </c>
      <c r="D86" s="70" t="str">
        <f>'Cleanup TMS'!F86</f>
        <v>SUMTER</v>
      </c>
      <c r="E86" s="70">
        <f>'Cleanup TMS'!G86</f>
        <v>45</v>
      </c>
      <c r="F86" s="71">
        <f>ROUND('Cleanup TMS'!H86,2)</f>
        <v>1.66</v>
      </c>
      <c r="G86" s="72" t="str">
        <f>'Cleanup TMS'!I86</f>
        <v>CR 476B</v>
      </c>
      <c r="H86" s="72" t="str">
        <f>'Cleanup TMS'!J86</f>
        <v>SR 93/I-75</v>
      </c>
      <c r="I86" s="72" t="str">
        <f>'Cleanup TMS'!K86</f>
        <v>SW 95TH AVE</v>
      </c>
      <c r="J86" s="70">
        <f>'Cleanup TMS'!L86</f>
        <v>2</v>
      </c>
      <c r="K86" s="70">
        <v>2</v>
      </c>
      <c r="L86" s="70" t="s">
        <v>646</v>
      </c>
      <c r="M86" s="70" t="s">
        <v>648</v>
      </c>
      <c r="N86" s="152" t="s">
        <v>652</v>
      </c>
      <c r="O86" s="152" t="s">
        <v>547</v>
      </c>
      <c r="P86" s="70" t="str">
        <f>'Cleanup TMS'!V86</f>
        <v>COUNTY</v>
      </c>
      <c r="Q86" s="70" t="str">
        <f>'Cleanup TMS'!W86</f>
        <v>UNINCORPORATED SUMTER COUNTY</v>
      </c>
      <c r="R86" s="70" t="s">
        <v>4</v>
      </c>
      <c r="S86" s="73">
        <f>IF('Cleanup TMS'!AO86=0,"-",'Cleanup TMS'!AO86)</f>
        <v>18000</v>
      </c>
      <c r="T86" s="73">
        <f>'Cleanup TMS'!AP86</f>
        <v>1806.0200000000023</v>
      </c>
      <c r="U86" s="71">
        <f>IF(OR('Cleanup TMS'!AQ86=0,'Cleanup TMS'!AQ86=""),"-",'Cleanup TMS'!AQ86)</f>
        <v>0.1</v>
      </c>
      <c r="V86" s="71" t="str">
        <f>IF(OR('Cleanup TMS'!AR86=0,'Cleanup TMS'!AR86=""),"-",'Cleanup TMS'!AR86)</f>
        <v>B</v>
      </c>
      <c r="W86" s="73">
        <f>IF('Cleanup TMS'!BB86=0,"-",'Cleanup TMS'!BB86)</f>
        <v>890</v>
      </c>
      <c r="X86" s="73">
        <f>'Cleanup TMS'!BC86</f>
        <v>80</v>
      </c>
      <c r="Y86" s="73">
        <f>'Cleanup TMS'!BD86</f>
        <v>83</v>
      </c>
      <c r="Z86" s="74">
        <f>IF(OR('Cleanup TMS'!BE86=0,'Cleanup TMS'!BE86=""),"-",'Cleanup TMS'!BE86)</f>
        <v>0.09</v>
      </c>
      <c r="AA86" s="74" t="str">
        <f>IF(OR('Cleanup TMS'!BF86=0,'Cleanup TMS'!BF86=""),"-",'Cleanup TMS'!BF86)</f>
        <v>B</v>
      </c>
      <c r="AB86" s="148">
        <f>IF(OR('Cleanup TMS'!BI86="",'Cleanup TMS'!BI86=0),"-",'Cleanup TMS'!BI86)</f>
        <v>0.01</v>
      </c>
      <c r="AC86" s="73">
        <f>'Cleanup TMS'!BS86</f>
        <v>18000</v>
      </c>
      <c r="AD86" s="73">
        <f t="shared" si="7"/>
        <v>1898</v>
      </c>
      <c r="AE86" s="74">
        <f>IF(OR('Cleanup TMS'!BU86=0,'Cleanup TMS'!BU86=""),"-",'Cleanup TMS'!BU86)</f>
        <v>0.11</v>
      </c>
      <c r="AF86" s="74" t="str">
        <f>IF(OR('Cleanup TMS'!BV86=0,'Cleanup TMS'!BV86=""),"-",'Cleanup TMS'!BV86)</f>
        <v>B</v>
      </c>
      <c r="AG86" s="73">
        <f>'Cleanup TMS'!CF86</f>
        <v>890</v>
      </c>
      <c r="AH86" s="73">
        <f t="shared" si="8"/>
        <v>84</v>
      </c>
      <c r="AI86" s="73">
        <f t="shared" si="9"/>
        <v>87</v>
      </c>
      <c r="AJ86" s="71">
        <f>IF(OR('Cleanup TMS'!CI86=0,'Cleanup TMS'!CI86=""),"-",'Cleanup TMS'!CI86)</f>
        <v>0.1</v>
      </c>
      <c r="AK86" s="75" t="str">
        <f>IF(OR('Cleanup TMS'!CJ86=0,'Cleanup TMS'!CJ86=""),"-",'Cleanup TMS'!CJ86)</f>
        <v>B</v>
      </c>
    </row>
    <row r="87" spans="1:37" ht="18.75" customHeight="1">
      <c r="A87" s="69">
        <f>'Cleanup TMS'!A87</f>
        <v>3539100</v>
      </c>
      <c r="B87" s="70">
        <f>'Cleanup TMS'!B87</f>
        <v>57</v>
      </c>
      <c r="C87" s="70" t="str">
        <f>IF('Cleanup TMS'!E87="","",'Cleanup TMS'!E87)</f>
        <v>-</v>
      </c>
      <c r="D87" s="70" t="str">
        <f>'Cleanup TMS'!F87</f>
        <v>SUMTER</v>
      </c>
      <c r="E87" s="70">
        <f>'Cleanup TMS'!G87</f>
        <v>35</v>
      </c>
      <c r="F87" s="71">
        <f>ROUND('Cleanup TMS'!H87,2)</f>
        <v>0.5</v>
      </c>
      <c r="G87" s="72" t="str">
        <f>'Cleanup TMS'!I87</f>
        <v>JASPER ST</v>
      </c>
      <c r="H87" s="72" t="str">
        <f>'Cleanup TMS'!J87</f>
        <v>CR 476A (SEMINOLE AVE)</v>
      </c>
      <c r="I87" s="72" t="str">
        <f>'Cleanup TMS'!K87</f>
        <v>CR 476 E</v>
      </c>
      <c r="J87" s="70">
        <f>'Cleanup TMS'!L87</f>
        <v>2</v>
      </c>
      <c r="K87" s="70">
        <v>2</v>
      </c>
      <c r="L87" s="70" t="s">
        <v>646</v>
      </c>
      <c r="M87" s="70" t="s">
        <v>648</v>
      </c>
      <c r="N87" s="152" t="s">
        <v>651</v>
      </c>
      <c r="O87" s="152" t="s">
        <v>547</v>
      </c>
      <c r="P87" s="70" t="str">
        <f>'Cleanup TMS'!V87</f>
        <v>BUSHNELL</v>
      </c>
      <c r="Q87" s="70" t="str">
        <f>'Cleanup TMS'!W87</f>
        <v>BUSHNELL</v>
      </c>
      <c r="R87" s="70" t="s">
        <v>5</v>
      </c>
      <c r="S87" s="73">
        <f>IF('Cleanup TMS'!AO87=0,"-",'Cleanup TMS'!AO87)</f>
        <v>10360</v>
      </c>
      <c r="T87" s="73">
        <f>'Cleanup TMS'!AP87</f>
        <v>390</v>
      </c>
      <c r="U87" s="71">
        <f>IF(OR('Cleanup TMS'!AQ87=0,'Cleanup TMS'!AQ87=""),"-",'Cleanup TMS'!AQ87)</f>
        <v>0.04</v>
      </c>
      <c r="V87" s="71" t="str">
        <f>IF(OR('Cleanup TMS'!AR87=0,'Cleanup TMS'!AR87=""),"-",'Cleanup TMS'!AR87)</f>
        <v>C</v>
      </c>
      <c r="W87" s="73">
        <f>IF('Cleanup TMS'!BB87=0,"-",'Cleanup TMS'!BB87)</f>
        <v>525</v>
      </c>
      <c r="X87" s="73">
        <f>'Cleanup TMS'!BC87</f>
        <v>23</v>
      </c>
      <c r="Y87" s="73">
        <f>'Cleanup TMS'!BD87</f>
        <v>23</v>
      </c>
      <c r="Z87" s="74">
        <f>IF(OR('Cleanup TMS'!BE87=0,'Cleanup TMS'!BE87=""),"-",'Cleanup TMS'!BE87)</f>
        <v>0.04</v>
      </c>
      <c r="AA87" s="74" t="str">
        <f>IF(OR('Cleanup TMS'!BF87=0,'Cleanup TMS'!BF87=""),"-",'Cleanup TMS'!BF87)</f>
        <v>C</v>
      </c>
      <c r="AB87" s="148">
        <f>IF(OR('Cleanup TMS'!BI87="",'Cleanup TMS'!BI87=0),"-",'Cleanup TMS'!BI87)</f>
        <v>0.01</v>
      </c>
      <c r="AC87" s="73">
        <f>'Cleanup TMS'!BS87</f>
        <v>10360</v>
      </c>
      <c r="AD87" s="73">
        <f>IF(T87="-","-",ROUND(T87*(1+AB87)^5,0))</f>
        <v>410</v>
      </c>
      <c r="AE87" s="74">
        <f>IF(OR('Cleanup TMS'!BU87=0,'Cleanup TMS'!BU87=""),"-",'Cleanup TMS'!BU87)</f>
        <v>0.04</v>
      </c>
      <c r="AF87" s="74" t="str">
        <f>IF(OR('Cleanup TMS'!BV87=0,'Cleanup TMS'!BV87=""),"-",'Cleanup TMS'!BV87)</f>
        <v>C</v>
      </c>
      <c r="AG87" s="73">
        <f>'Cleanup TMS'!CF87</f>
        <v>525</v>
      </c>
      <c r="AH87" s="73">
        <f t="shared" si="8"/>
        <v>24</v>
      </c>
      <c r="AI87" s="73">
        <f t="shared" si="9"/>
        <v>24</v>
      </c>
      <c r="AJ87" s="71">
        <f>IF(OR('Cleanup TMS'!CI87=0,'Cleanup TMS'!CI87=""),"-",'Cleanup TMS'!CI87)</f>
        <v>0.05</v>
      </c>
      <c r="AK87" s="75" t="str">
        <f>IF(OR('Cleanup TMS'!CJ87=0,'Cleanup TMS'!CJ87=""),"-",'Cleanup TMS'!CJ87)</f>
        <v>C</v>
      </c>
    </row>
    <row r="88" spans="1:37" ht="18.75" customHeight="1">
      <c r="A88" s="69">
        <f>'Cleanup TMS'!A88</f>
        <v>3539120</v>
      </c>
      <c r="B88" s="70">
        <f>'Cleanup TMS'!B88</f>
        <v>53</v>
      </c>
      <c r="C88" s="70">
        <f>IF('Cleanup TMS'!E88="","",'Cleanup TMS'!E88)</f>
        <v>188007</v>
      </c>
      <c r="D88" s="70" t="str">
        <f>'Cleanup TMS'!F88</f>
        <v>FDOT</v>
      </c>
      <c r="E88" s="70">
        <f>'Cleanup TMS'!G88</f>
        <v>35</v>
      </c>
      <c r="F88" s="71">
        <f>ROUND('Cleanup TMS'!H88,2)</f>
        <v>0.63</v>
      </c>
      <c r="G88" s="72" t="str">
        <f>'Cleanup TMS'!I88</f>
        <v>SEMINOLE AVE E</v>
      </c>
      <c r="H88" s="72" t="str">
        <f>'Cleanup TMS'!J88</f>
        <v>CR 48</v>
      </c>
      <c r="I88" s="72" t="str">
        <f>'Cleanup TMS'!K88</f>
        <v>JASPER ST</v>
      </c>
      <c r="J88" s="70">
        <f>'Cleanup TMS'!L88</f>
        <v>2</v>
      </c>
      <c r="K88" s="70">
        <v>2</v>
      </c>
      <c r="L88" s="70" t="s">
        <v>646</v>
      </c>
      <c r="M88" s="70" t="s">
        <v>648</v>
      </c>
      <c r="N88" s="152" t="s">
        <v>651</v>
      </c>
      <c r="O88" s="152" t="s">
        <v>547</v>
      </c>
      <c r="P88" s="70" t="str">
        <f>'Cleanup TMS'!V88</f>
        <v>COUNTY</v>
      </c>
      <c r="Q88" s="70" t="str">
        <f>'Cleanup TMS'!W88</f>
        <v>BUSHNELL</v>
      </c>
      <c r="R88" s="70" t="s">
        <v>5</v>
      </c>
      <c r="S88" s="73">
        <f>IF('Cleanup TMS'!AO88=0,"-",'Cleanup TMS'!AO88)</f>
        <v>10360</v>
      </c>
      <c r="T88" s="73">
        <f>'Cleanup TMS'!AP88</f>
        <v>849</v>
      </c>
      <c r="U88" s="71">
        <f>IF(OR('Cleanup TMS'!AQ88=0,'Cleanup TMS'!AQ88=""),"-",'Cleanup TMS'!AQ88)</f>
        <v>0.08</v>
      </c>
      <c r="V88" s="71" t="str">
        <f>IF(OR('Cleanup TMS'!AR88=0,'Cleanup TMS'!AR88=""),"-",'Cleanup TMS'!AR88)</f>
        <v>C</v>
      </c>
      <c r="W88" s="73">
        <f>IF('Cleanup TMS'!BB88=0,"-",'Cleanup TMS'!BB88)</f>
        <v>525</v>
      </c>
      <c r="X88" s="73">
        <f>'Cleanup TMS'!BC88</f>
        <v>45</v>
      </c>
      <c r="Y88" s="73">
        <f>'Cleanup TMS'!BD88</f>
        <v>43</v>
      </c>
      <c r="Z88" s="74">
        <f>IF(OR('Cleanup TMS'!BE88=0,'Cleanup TMS'!BE88=""),"-",'Cleanup TMS'!BE88)</f>
        <v>0.09</v>
      </c>
      <c r="AA88" s="74" t="str">
        <f>IF(OR('Cleanup TMS'!BF88=0,'Cleanup TMS'!BF88=""),"-",'Cleanup TMS'!BF88)</f>
        <v>C</v>
      </c>
      <c r="AB88" s="148">
        <f>IF(OR('Cleanup TMS'!BI88="",'Cleanup TMS'!BI88=0),"-",'Cleanup TMS'!BI88)</f>
        <v>0.01</v>
      </c>
      <c r="AC88" s="73">
        <f>'Cleanup TMS'!BS88</f>
        <v>10360</v>
      </c>
      <c r="AD88" s="73">
        <f t="shared" si="7"/>
        <v>892</v>
      </c>
      <c r="AE88" s="74">
        <f>IF(OR('Cleanup TMS'!BU88=0,'Cleanup TMS'!BU88=""),"-",'Cleanup TMS'!BU88)</f>
        <v>0.09</v>
      </c>
      <c r="AF88" s="74" t="str">
        <f>IF(OR('Cleanup TMS'!BV88=0,'Cleanup TMS'!BV88=""),"-",'Cleanup TMS'!BV88)</f>
        <v>C</v>
      </c>
      <c r="AG88" s="73">
        <f>'Cleanup TMS'!CF88</f>
        <v>525</v>
      </c>
      <c r="AH88" s="73">
        <f t="shared" si="8"/>
        <v>47</v>
      </c>
      <c r="AI88" s="73">
        <f t="shared" si="9"/>
        <v>45</v>
      </c>
      <c r="AJ88" s="71">
        <f>IF(OR('Cleanup TMS'!CI88=0,'Cleanup TMS'!CI88=""),"-",'Cleanup TMS'!CI88)</f>
        <v>0.09</v>
      </c>
      <c r="AK88" s="75" t="str">
        <f>IF(OR('Cleanup TMS'!CJ88=0,'Cleanup TMS'!CJ88=""),"-",'Cleanup TMS'!CJ88)</f>
        <v>C</v>
      </c>
    </row>
    <row r="89" spans="1:37" ht="18.75" customHeight="1">
      <c r="A89" s="69">
        <f>'Cleanup TMS'!A89</f>
        <v>3540100</v>
      </c>
      <c r="B89" s="70">
        <f>'Cleanup TMS'!B89</f>
        <v>55</v>
      </c>
      <c r="C89" s="70" t="str">
        <f>IF('Cleanup TMS'!E89="","",'Cleanup TMS'!E89)</f>
        <v/>
      </c>
      <c r="D89" s="70" t="str">
        <f>'Cleanup TMS'!F89</f>
        <v>SUMTER</v>
      </c>
      <c r="E89" s="70">
        <f>'Cleanup TMS'!G89</f>
        <v>35</v>
      </c>
      <c r="F89" s="71">
        <f>ROUND('Cleanup TMS'!H89,2)</f>
        <v>0.41</v>
      </c>
      <c r="G89" s="72" t="str">
        <f>'Cleanup TMS'!I89</f>
        <v>CR 476 E (NOBLE AVE)</v>
      </c>
      <c r="H89" s="72" t="str">
        <f>'Cleanup TMS'!J89</f>
        <v>US 301/SR 35</v>
      </c>
      <c r="I89" s="72" t="str">
        <f>'Cleanup TMS'!K89</f>
        <v>JASPER ST</v>
      </c>
      <c r="J89" s="70">
        <f>'Cleanup TMS'!L89</f>
        <v>2</v>
      </c>
      <c r="K89" s="70">
        <v>2</v>
      </c>
      <c r="L89" s="70" t="s">
        <v>646</v>
      </c>
      <c r="M89" s="70" t="s">
        <v>648</v>
      </c>
      <c r="N89" s="152" t="s">
        <v>652</v>
      </c>
      <c r="O89" s="152" t="s">
        <v>547</v>
      </c>
      <c r="P89" s="70" t="str">
        <f>'Cleanup TMS'!V89</f>
        <v>COUNTY</v>
      </c>
      <c r="Q89" s="70" t="str">
        <f>'Cleanup TMS'!W89</f>
        <v>BUSHNELL</v>
      </c>
      <c r="R89" s="70" t="s">
        <v>5</v>
      </c>
      <c r="S89" s="73">
        <f>IF('Cleanup TMS'!AO89=0,"-",'Cleanup TMS'!AO89)</f>
        <v>24200</v>
      </c>
      <c r="T89" s="73">
        <f>'Cleanup TMS'!AP89</f>
        <v>3187</v>
      </c>
      <c r="U89" s="71">
        <f>IF(OR('Cleanup TMS'!AQ89=0,'Cleanup TMS'!AQ89=""),"-",'Cleanup TMS'!AQ89)</f>
        <v>0.13</v>
      </c>
      <c r="V89" s="71" t="str">
        <f>IF(OR('Cleanup TMS'!AR89=0,'Cleanup TMS'!AR89=""),"-",'Cleanup TMS'!AR89)</f>
        <v>B</v>
      </c>
      <c r="W89" s="73">
        <f>IF('Cleanup TMS'!BB89=0,"-",'Cleanup TMS'!BB89)</f>
        <v>1200</v>
      </c>
      <c r="X89" s="73">
        <f>'Cleanup TMS'!BC89</f>
        <v>175</v>
      </c>
      <c r="Y89" s="73">
        <f>'Cleanup TMS'!BD89</f>
        <v>162</v>
      </c>
      <c r="Z89" s="74">
        <f>IF(OR('Cleanup TMS'!BE89=0,'Cleanup TMS'!BE89=""),"-",'Cleanup TMS'!BE89)</f>
        <v>0.15</v>
      </c>
      <c r="AA89" s="74" t="str">
        <f>IF(OR('Cleanup TMS'!BF89=0,'Cleanup TMS'!BF89=""),"-",'Cleanup TMS'!BF89)</f>
        <v>B</v>
      </c>
      <c r="AB89" s="148">
        <f>IF(OR('Cleanup TMS'!BI89="",'Cleanup TMS'!BI89=0),"-",'Cleanup TMS'!BI89)</f>
        <v>4.2500000000000003E-2</v>
      </c>
      <c r="AC89" s="73">
        <f>'Cleanup TMS'!BS89</f>
        <v>24200</v>
      </c>
      <c r="AD89" s="73">
        <f t="shared" si="7"/>
        <v>3924</v>
      </c>
      <c r="AE89" s="74">
        <f>IF(OR('Cleanup TMS'!BU89=0,'Cleanup TMS'!BU89=""),"-",'Cleanup TMS'!BU89)</f>
        <v>0.16</v>
      </c>
      <c r="AF89" s="74" t="str">
        <f>IF(OR('Cleanup TMS'!BV89=0,'Cleanup TMS'!BV89=""),"-",'Cleanup TMS'!BV89)</f>
        <v>B</v>
      </c>
      <c r="AG89" s="73">
        <f>'Cleanup TMS'!CF89</f>
        <v>1200</v>
      </c>
      <c r="AH89" s="73">
        <f t="shared" si="8"/>
        <v>215</v>
      </c>
      <c r="AI89" s="73">
        <f t="shared" si="9"/>
        <v>199</v>
      </c>
      <c r="AJ89" s="71">
        <f>IF(OR('Cleanup TMS'!CI89=0,'Cleanup TMS'!CI89=""),"-",'Cleanup TMS'!CI89)</f>
        <v>0.18</v>
      </c>
      <c r="AK89" s="75" t="str">
        <f>IF(OR('Cleanup TMS'!CJ89=0,'Cleanup TMS'!CJ89=""),"-",'Cleanup TMS'!CJ89)</f>
        <v>B</v>
      </c>
    </row>
    <row r="90" spans="1:37" ht="18.75" customHeight="1">
      <c r="A90" s="69">
        <f>'Cleanup TMS'!A90</f>
        <v>3540110</v>
      </c>
      <c r="B90" s="70">
        <f>'Cleanup TMS'!B90</f>
        <v>59</v>
      </c>
      <c r="C90" s="70">
        <f>IF('Cleanup TMS'!E90="","",'Cleanup TMS'!E90)</f>
        <v>188006</v>
      </c>
      <c r="D90" s="70" t="str">
        <f>'Cleanup TMS'!F90</f>
        <v>FDOT</v>
      </c>
      <c r="E90" s="70">
        <f>'Cleanup TMS'!G90</f>
        <v>45</v>
      </c>
      <c r="F90" s="71">
        <f>ROUND('Cleanup TMS'!H90,2)</f>
        <v>2.76</v>
      </c>
      <c r="G90" s="72" t="str">
        <f>'Cleanup TMS'!I90</f>
        <v>CR 476 E</v>
      </c>
      <c r="H90" s="72" t="str">
        <f>'Cleanup TMS'!J90</f>
        <v>JASPER ST</v>
      </c>
      <c r="I90" s="72" t="str">
        <f>'Cleanup TMS'!K90</f>
        <v>SR 471</v>
      </c>
      <c r="J90" s="70">
        <f>'Cleanup TMS'!L90</f>
        <v>2</v>
      </c>
      <c r="K90" s="70">
        <v>2</v>
      </c>
      <c r="L90" s="70" t="s">
        <v>646</v>
      </c>
      <c r="M90" s="70" t="s">
        <v>648</v>
      </c>
      <c r="N90" s="152" t="s">
        <v>652</v>
      </c>
      <c r="O90" s="152" t="s">
        <v>547</v>
      </c>
      <c r="P90" s="70" t="str">
        <f>'Cleanup TMS'!V90</f>
        <v>COUNTY</v>
      </c>
      <c r="Q90" s="70" t="str">
        <f>'Cleanup TMS'!W90</f>
        <v>BUSHNELL</v>
      </c>
      <c r="R90" s="70" t="s">
        <v>5</v>
      </c>
      <c r="S90" s="73">
        <f>IF('Cleanup TMS'!AO90=0,"-",'Cleanup TMS'!AO90)</f>
        <v>24200</v>
      </c>
      <c r="T90" s="73">
        <f>'Cleanup TMS'!AP90</f>
        <v>2755</v>
      </c>
      <c r="U90" s="71">
        <f>IF(OR('Cleanup TMS'!AQ90=0,'Cleanup TMS'!AQ90=""),"-",'Cleanup TMS'!AQ90)</f>
        <v>0.11</v>
      </c>
      <c r="V90" s="71" t="str">
        <f>IF(OR('Cleanup TMS'!AR90=0,'Cleanup TMS'!AR90=""),"-",'Cleanup TMS'!AR90)</f>
        <v>B</v>
      </c>
      <c r="W90" s="73">
        <f>IF('Cleanup TMS'!BB90=0,"-",'Cleanup TMS'!BB90)</f>
        <v>1200</v>
      </c>
      <c r="X90" s="73">
        <f>'Cleanup TMS'!BC90</f>
        <v>147</v>
      </c>
      <c r="Y90" s="73">
        <f>'Cleanup TMS'!BD90</f>
        <v>143</v>
      </c>
      <c r="Z90" s="74">
        <f>IF(OR('Cleanup TMS'!BE90=0,'Cleanup TMS'!BE90=""),"-",'Cleanup TMS'!BE90)</f>
        <v>0.12</v>
      </c>
      <c r="AA90" s="74" t="str">
        <f>IF(OR('Cleanup TMS'!BF90=0,'Cleanup TMS'!BF90=""),"-",'Cleanup TMS'!BF90)</f>
        <v>B</v>
      </c>
      <c r="AB90" s="148">
        <f>IF(OR('Cleanup TMS'!BI90="",'Cleanup TMS'!BI90=0),"-",'Cleanup TMS'!BI90)</f>
        <v>0.05</v>
      </c>
      <c r="AC90" s="73">
        <f>'Cleanup TMS'!BS90</f>
        <v>24200</v>
      </c>
      <c r="AD90" s="73">
        <f t="shared" si="7"/>
        <v>3516</v>
      </c>
      <c r="AE90" s="74">
        <f>IF(OR('Cleanup TMS'!BU90=0,'Cleanup TMS'!BU90=""),"-",'Cleanup TMS'!BU90)</f>
        <v>0.15</v>
      </c>
      <c r="AF90" s="74" t="str">
        <f>IF(OR('Cleanup TMS'!BV90=0,'Cleanup TMS'!BV90=""),"-",'Cleanup TMS'!BV90)</f>
        <v>B</v>
      </c>
      <c r="AG90" s="73">
        <f>'Cleanup TMS'!CF90</f>
        <v>1200</v>
      </c>
      <c r="AH90" s="73">
        <f t="shared" si="8"/>
        <v>188</v>
      </c>
      <c r="AI90" s="73">
        <f t="shared" si="9"/>
        <v>183</v>
      </c>
      <c r="AJ90" s="71">
        <f>IF(OR('Cleanup TMS'!CI90=0,'Cleanup TMS'!CI90=""),"-",'Cleanup TMS'!CI90)</f>
        <v>0.16</v>
      </c>
      <c r="AK90" s="75" t="str">
        <f>IF(OR('Cleanup TMS'!CJ90=0,'Cleanup TMS'!CJ90=""),"-",'Cleanup TMS'!CJ90)</f>
        <v>B</v>
      </c>
    </row>
    <row r="91" spans="1:37" ht="18.75" customHeight="1">
      <c r="A91" s="69">
        <f>'Cleanup TMS'!A91</f>
        <v>3541110</v>
      </c>
      <c r="B91" s="70">
        <f>'Cleanup TMS'!B91</f>
        <v>19</v>
      </c>
      <c r="C91" s="70" t="str">
        <f>IF('Cleanup TMS'!E91="","",'Cleanup TMS'!E91)</f>
        <v/>
      </c>
      <c r="D91" s="70" t="str">
        <f>'Cleanup TMS'!F91</f>
        <v>SUMTER</v>
      </c>
      <c r="E91" s="70">
        <f>'Cleanup TMS'!G91</f>
        <v>45</v>
      </c>
      <c r="F91" s="71">
        <f>ROUND('Cleanup TMS'!H91,2)</f>
        <v>0.2</v>
      </c>
      <c r="G91" s="72" t="str">
        <f>'Cleanup TMS'!I91</f>
        <v>CR 462</v>
      </c>
      <c r="H91" s="72" t="str">
        <f>'Cleanup TMS'!J91</f>
        <v>US 301/SR 35</v>
      </c>
      <c r="I91" s="72" t="str">
        <f>'Cleanup TMS'!K91</f>
        <v>CR 131</v>
      </c>
      <c r="J91" s="70">
        <f>'Cleanup TMS'!L91</f>
        <v>2</v>
      </c>
      <c r="K91" s="70">
        <v>2</v>
      </c>
      <c r="L91" s="70" t="s">
        <v>646</v>
      </c>
      <c r="M91" s="70" t="s">
        <v>648</v>
      </c>
      <c r="N91" s="152" t="s">
        <v>652</v>
      </c>
      <c r="O91" s="152" t="s">
        <v>547</v>
      </c>
      <c r="P91" s="70" t="str">
        <f>'Cleanup TMS'!V91</f>
        <v>COUNTY</v>
      </c>
      <c r="Q91" s="70" t="str">
        <f>'Cleanup TMS'!W91</f>
        <v>WILDWOOD</v>
      </c>
      <c r="R91" s="82" t="s">
        <v>657</v>
      </c>
      <c r="S91" s="73" t="s">
        <v>558</v>
      </c>
      <c r="T91" s="73">
        <f>'Cleanup TMS'!AP91</f>
        <v>11646</v>
      </c>
      <c r="U91" s="71">
        <f>IF(OR('Cleanup TMS'!AQ91=0,'Cleanup TMS'!AQ91=""),"-",'Cleanup TMS'!AQ91)</f>
        <v>0.01</v>
      </c>
      <c r="V91" s="71" t="str">
        <f>IF(OR('Cleanup TMS'!AR91=0,'Cleanup TMS'!AR91=""),"-",'Cleanup TMS'!AR91)</f>
        <v>B</v>
      </c>
      <c r="W91" s="73" t="s">
        <v>558</v>
      </c>
      <c r="X91" s="73">
        <f>'Cleanup TMS'!BC91</f>
        <v>406</v>
      </c>
      <c r="Y91" s="73">
        <f>'Cleanup TMS'!BD91</f>
        <v>725</v>
      </c>
      <c r="Z91" s="74" t="s">
        <v>558</v>
      </c>
      <c r="AA91" s="74" t="str">
        <f>IF(OR('Cleanup TMS'!BF91=0,'Cleanup TMS'!BF91=""),"-",'Cleanup TMS'!BF91)</f>
        <v>C</v>
      </c>
      <c r="AB91" s="148">
        <f>IF(OR('Cleanup TMS'!BI91="",'Cleanup TMS'!BI91=0),"-",'Cleanup TMS'!BI91)</f>
        <v>0.01</v>
      </c>
      <c r="AC91" s="73" t="s">
        <v>558</v>
      </c>
      <c r="AD91" s="73">
        <f t="shared" si="7"/>
        <v>12240</v>
      </c>
      <c r="AE91" s="74" t="s">
        <v>558</v>
      </c>
      <c r="AF91" s="74" t="str">
        <f>IF(OR('Cleanup TMS'!BV91=0,'Cleanup TMS'!BV91=""),"-",'Cleanup TMS'!BV91)</f>
        <v>C</v>
      </c>
      <c r="AG91" s="73" t="s">
        <v>558</v>
      </c>
      <c r="AH91" s="73">
        <f t="shared" si="8"/>
        <v>427</v>
      </c>
      <c r="AI91" s="73">
        <f t="shared" si="9"/>
        <v>762</v>
      </c>
      <c r="AJ91" s="71" t="s">
        <v>558</v>
      </c>
      <c r="AK91" s="75" t="str">
        <f>IF(OR('Cleanup TMS'!CJ91=0,'Cleanup TMS'!CJ91=""),"-",'Cleanup TMS'!CJ91)</f>
        <v>C</v>
      </c>
    </row>
    <row r="92" spans="1:37" ht="18.75" customHeight="1">
      <c r="A92" s="69">
        <f>'Cleanup TMS'!A92</f>
        <v>3542100</v>
      </c>
      <c r="B92" s="70">
        <f>'Cleanup TMS'!B92</f>
        <v>16</v>
      </c>
      <c r="C92" s="70" t="str">
        <f>IF('Cleanup TMS'!E92="","",'Cleanup TMS'!E92)</f>
        <v/>
      </c>
      <c r="D92" s="70" t="str">
        <f>'Cleanup TMS'!F92</f>
        <v>SUMTER</v>
      </c>
      <c r="E92" s="70">
        <f>'Cleanup TMS'!G92</f>
        <v>45</v>
      </c>
      <c r="F92" s="71">
        <f>ROUND('Cleanup TMS'!H92,2)</f>
        <v>2.0099999999999998</v>
      </c>
      <c r="G92" s="72" t="str">
        <f>'Cleanup TMS'!I92</f>
        <v>CR 462</v>
      </c>
      <c r="H92" s="72" t="str">
        <f>'Cleanup TMS'!J92</f>
        <v>CR 475</v>
      </c>
      <c r="I92" s="72" t="str">
        <f>'Cleanup TMS'!K92</f>
        <v>CR 229</v>
      </c>
      <c r="J92" s="70">
        <f>'Cleanup TMS'!L92</f>
        <v>2</v>
      </c>
      <c r="K92" s="70">
        <v>2</v>
      </c>
      <c r="L92" s="70" t="s">
        <v>646</v>
      </c>
      <c r="M92" s="70" t="s">
        <v>648</v>
      </c>
      <c r="N92" s="152" t="s">
        <v>652</v>
      </c>
      <c r="O92" s="152" t="s">
        <v>547</v>
      </c>
      <c r="P92" s="70" t="str">
        <f>'Cleanup TMS'!V92</f>
        <v>COUNTY</v>
      </c>
      <c r="Q92" s="70" t="str">
        <f>'Cleanup TMS'!W92</f>
        <v>UNINCORPORATED SUMTER COUNTY</v>
      </c>
      <c r="R92" s="70" t="s">
        <v>5</v>
      </c>
      <c r="S92" s="73">
        <f>IF('Cleanup TMS'!AO92=0,"-",'Cleanup TMS'!AO92)</f>
        <v>24200</v>
      </c>
      <c r="T92" s="73">
        <f>'Cleanup TMS'!AP92</f>
        <v>844</v>
      </c>
      <c r="U92" s="71">
        <f>IF(OR('Cleanup TMS'!AQ92=0,'Cleanup TMS'!AQ92=""),"-",'Cleanup TMS'!AQ92)</f>
        <v>0.03</v>
      </c>
      <c r="V92" s="71" t="str">
        <f>IF(OR('Cleanup TMS'!AR92=0,'Cleanup TMS'!AR92=""),"-",'Cleanup TMS'!AR92)</f>
        <v>B</v>
      </c>
      <c r="W92" s="73">
        <f>IF('Cleanup TMS'!BB92=0,"-",'Cleanup TMS'!BB92)</f>
        <v>1200</v>
      </c>
      <c r="X92" s="73">
        <f>'Cleanup TMS'!BC92</f>
        <v>19</v>
      </c>
      <c r="Y92" s="73">
        <f>'Cleanup TMS'!BD92</f>
        <v>72</v>
      </c>
      <c r="Z92" s="74">
        <f>IF(OR('Cleanup TMS'!BE92=0,'Cleanup TMS'!BE92=""),"-",'Cleanup TMS'!BE92)</f>
        <v>0.06</v>
      </c>
      <c r="AA92" s="74" t="str">
        <f>IF(OR('Cleanup TMS'!BF92=0,'Cleanup TMS'!BF92=""),"-",'Cleanup TMS'!BF92)</f>
        <v>B</v>
      </c>
      <c r="AB92" s="148">
        <f>IF(OR('Cleanup TMS'!BI92="",'Cleanup TMS'!BI92=0),"-",'Cleanup TMS'!BI92)</f>
        <v>0.01</v>
      </c>
      <c r="AC92" s="73">
        <f>'Cleanup TMS'!BS92</f>
        <v>24200</v>
      </c>
      <c r="AD92" s="73">
        <f t="shared" si="7"/>
        <v>887</v>
      </c>
      <c r="AE92" s="74">
        <f>IF(OR('Cleanup TMS'!BU92=0,'Cleanup TMS'!BU92=""),"-",'Cleanup TMS'!BU92)</f>
        <v>0.04</v>
      </c>
      <c r="AF92" s="74" t="str">
        <f>IF(OR('Cleanup TMS'!BV92=0,'Cleanup TMS'!BV92=""),"-",'Cleanup TMS'!BV92)</f>
        <v>B</v>
      </c>
      <c r="AG92" s="73">
        <f>'Cleanup TMS'!CF92</f>
        <v>1200</v>
      </c>
      <c r="AH92" s="73">
        <f t="shared" si="8"/>
        <v>20</v>
      </c>
      <c r="AI92" s="73">
        <f t="shared" si="9"/>
        <v>76</v>
      </c>
      <c r="AJ92" s="71">
        <f>IF(OR('Cleanup TMS'!CI92=0,'Cleanup TMS'!CI92=""),"-",'Cleanup TMS'!CI92)</f>
        <v>0.06</v>
      </c>
      <c r="AK92" s="75" t="str">
        <f>IF(OR('Cleanup TMS'!CJ92=0,'Cleanup TMS'!CJ92=""),"-",'Cleanup TMS'!CJ92)</f>
        <v>B</v>
      </c>
    </row>
    <row r="93" spans="1:37" ht="18.75" customHeight="1">
      <c r="A93" s="69">
        <f>'Cleanup TMS'!A93</f>
        <v>3542120</v>
      </c>
      <c r="B93" s="70">
        <f>'Cleanup TMS'!B93</f>
        <v>21</v>
      </c>
      <c r="C93" s="70" t="str">
        <f>IF('Cleanup TMS'!E93="","",'Cleanup TMS'!E93)</f>
        <v/>
      </c>
      <c r="D93" s="70" t="str">
        <f>'Cleanup TMS'!F93</f>
        <v>SUMTER</v>
      </c>
      <c r="E93" s="70">
        <f>'Cleanup TMS'!G93</f>
        <v>45</v>
      </c>
      <c r="F93" s="71">
        <f>ROUND('Cleanup TMS'!H93,2)</f>
        <v>1.05</v>
      </c>
      <c r="G93" s="72" t="str">
        <f>'Cleanup TMS'!I93</f>
        <v>CR 462</v>
      </c>
      <c r="H93" s="72" t="str">
        <f>'Cleanup TMS'!J93</f>
        <v>CR 229</v>
      </c>
      <c r="I93" s="72" t="str">
        <f>'Cleanup TMS'!K93</f>
        <v>CR 223</v>
      </c>
      <c r="J93" s="70">
        <f>'Cleanup TMS'!L93</f>
        <v>2</v>
      </c>
      <c r="K93" s="70">
        <v>2</v>
      </c>
      <c r="L93" s="70" t="s">
        <v>646</v>
      </c>
      <c r="M93" s="70" t="s">
        <v>648</v>
      </c>
      <c r="N93" s="152" t="s">
        <v>652</v>
      </c>
      <c r="O93" s="152" t="s">
        <v>547</v>
      </c>
      <c r="P93" s="70" t="str">
        <f>'Cleanup TMS'!V93</f>
        <v>COUNTY</v>
      </c>
      <c r="Q93" s="70" t="str">
        <f>'Cleanup TMS'!W93</f>
        <v>UNINCORPORATED SUMTER COUNTY</v>
      </c>
      <c r="R93" s="70" t="s">
        <v>5</v>
      </c>
      <c r="S93" s="73">
        <f>IF('Cleanup TMS'!AO93=0,"-",'Cleanup TMS'!AO93)</f>
        <v>24200</v>
      </c>
      <c r="T93" s="73">
        <f>'Cleanup TMS'!AP93</f>
        <v>1651</v>
      </c>
      <c r="U93" s="71">
        <f>IF(OR('Cleanup TMS'!AQ93=0,'Cleanup TMS'!AQ93=""),"-",'Cleanup TMS'!AQ93)</f>
        <v>7.0000000000000007E-2</v>
      </c>
      <c r="V93" s="71" t="str">
        <f>IF(OR('Cleanup TMS'!AR93=0,'Cleanup TMS'!AR93=""),"-",'Cleanup TMS'!AR93)</f>
        <v>B</v>
      </c>
      <c r="W93" s="73">
        <f>IF('Cleanup TMS'!BB93=0,"-",'Cleanup TMS'!BB93)</f>
        <v>1200</v>
      </c>
      <c r="X93" s="73">
        <f>'Cleanup TMS'!BC93</f>
        <v>66</v>
      </c>
      <c r="Y93" s="73">
        <f>'Cleanup TMS'!BD93</f>
        <v>104</v>
      </c>
      <c r="Z93" s="74">
        <f>IF(OR('Cleanup TMS'!BE93=0,'Cleanup TMS'!BE93=""),"-",'Cleanup TMS'!BE93)</f>
        <v>0.09</v>
      </c>
      <c r="AA93" s="74" t="str">
        <f>IF(OR('Cleanup TMS'!BF93=0,'Cleanup TMS'!BF93=""),"-",'Cleanup TMS'!BF93)</f>
        <v>B</v>
      </c>
      <c r="AB93" s="148">
        <f>IF(OR('Cleanup TMS'!BI93="",'Cleanup TMS'!BI93=0),"-",'Cleanup TMS'!BI93)</f>
        <v>0.01</v>
      </c>
      <c r="AC93" s="73">
        <f>'Cleanup TMS'!BS93</f>
        <v>24200</v>
      </c>
      <c r="AD93" s="73">
        <f t="shared" si="7"/>
        <v>1735</v>
      </c>
      <c r="AE93" s="74">
        <f>IF(OR('Cleanup TMS'!BU93=0,'Cleanup TMS'!BU93=""),"-",'Cleanup TMS'!BU93)</f>
        <v>7.0000000000000007E-2</v>
      </c>
      <c r="AF93" s="74" t="str">
        <f>IF(OR('Cleanup TMS'!BV93=0,'Cleanup TMS'!BV93=""),"-",'Cleanup TMS'!BV93)</f>
        <v>B</v>
      </c>
      <c r="AG93" s="73">
        <f>'Cleanup TMS'!CF93</f>
        <v>1200</v>
      </c>
      <c r="AH93" s="73">
        <f t="shared" si="8"/>
        <v>69</v>
      </c>
      <c r="AI93" s="73">
        <f t="shared" si="9"/>
        <v>109</v>
      </c>
      <c r="AJ93" s="71">
        <f>IF(OR('Cleanup TMS'!CI93=0,'Cleanup TMS'!CI93=""),"-",'Cleanup TMS'!CI93)</f>
        <v>0.09</v>
      </c>
      <c r="AK93" s="75" t="str">
        <f>IF(OR('Cleanup TMS'!CJ93=0,'Cleanup TMS'!CJ93=""),"-",'Cleanup TMS'!CJ93)</f>
        <v>B</v>
      </c>
    </row>
    <row r="94" spans="1:37" ht="18.75" customHeight="1">
      <c r="A94" s="69">
        <f>'Cleanup TMS'!A94</f>
        <v>3542130</v>
      </c>
      <c r="B94" s="70">
        <f>'Cleanup TMS'!B94</f>
        <v>17</v>
      </c>
      <c r="C94" s="70" t="str">
        <f>IF('Cleanup TMS'!E94="","",'Cleanup TMS'!E94)</f>
        <v/>
      </c>
      <c r="D94" s="70" t="str">
        <f>'Cleanup TMS'!F94</f>
        <v>SUMTER</v>
      </c>
      <c r="E94" s="70">
        <f>'Cleanup TMS'!G94</f>
        <v>45</v>
      </c>
      <c r="F94" s="71">
        <f>ROUND('Cleanup TMS'!H94,2)</f>
        <v>1.34</v>
      </c>
      <c r="G94" s="72" t="str">
        <f>'Cleanup TMS'!I94</f>
        <v>CR 462</v>
      </c>
      <c r="H94" s="72" t="str">
        <f>'Cleanup TMS'!J94</f>
        <v>CR 223</v>
      </c>
      <c r="I94" s="72" t="str">
        <f>'Cleanup TMS'!K94</f>
        <v>CR 209</v>
      </c>
      <c r="J94" s="70">
        <f>'Cleanup TMS'!L94</f>
        <v>2</v>
      </c>
      <c r="K94" s="70">
        <v>2</v>
      </c>
      <c r="L94" s="70" t="s">
        <v>646</v>
      </c>
      <c r="M94" s="70" t="s">
        <v>648</v>
      </c>
      <c r="N94" s="152" t="s">
        <v>652</v>
      </c>
      <c r="O94" s="152" t="s">
        <v>547</v>
      </c>
      <c r="P94" s="70" t="str">
        <f>'Cleanup TMS'!V94</f>
        <v>COUNTY</v>
      </c>
      <c r="Q94" s="70" t="str">
        <f>'Cleanup TMS'!W94</f>
        <v>UNINCORPORATED SUMTER COUNTY</v>
      </c>
      <c r="R94" s="70" t="s">
        <v>5</v>
      </c>
      <c r="S94" s="73">
        <f>IF('Cleanup TMS'!AO94=0,"-",'Cleanup TMS'!AO94)</f>
        <v>24200</v>
      </c>
      <c r="T94" s="73">
        <f>'Cleanup TMS'!AP94</f>
        <v>2842</v>
      </c>
      <c r="U94" s="71">
        <f>IF(OR('Cleanup TMS'!AQ94=0,'Cleanup TMS'!AQ94=""),"-",'Cleanup TMS'!AQ94)</f>
        <v>0.12</v>
      </c>
      <c r="V94" s="71" t="str">
        <f>IF(OR('Cleanup TMS'!AR94=0,'Cleanup TMS'!AR94=""),"-",'Cleanup TMS'!AR94)</f>
        <v>B</v>
      </c>
      <c r="W94" s="73">
        <f>IF('Cleanup TMS'!BB94=0,"-",'Cleanup TMS'!BB94)</f>
        <v>1200</v>
      </c>
      <c r="X94" s="73">
        <f>'Cleanup TMS'!BC94</f>
        <v>111</v>
      </c>
      <c r="Y94" s="73">
        <f>'Cleanup TMS'!BD94</f>
        <v>250</v>
      </c>
      <c r="Z94" s="74">
        <f>IF(OR('Cleanup TMS'!BE94=0,'Cleanup TMS'!BE94=""),"-",'Cleanup TMS'!BE94)</f>
        <v>0.21</v>
      </c>
      <c r="AA94" s="74" t="str">
        <f>IF(OR('Cleanup TMS'!BF94=0,'Cleanup TMS'!BF94=""),"-",'Cleanup TMS'!BF94)</f>
        <v>B</v>
      </c>
      <c r="AB94" s="148">
        <f>IF(OR('Cleanup TMS'!BI94="",'Cleanup TMS'!BI94=0),"-",'Cleanup TMS'!BI94)</f>
        <v>0.03</v>
      </c>
      <c r="AC94" s="73">
        <f>'Cleanup TMS'!BS94</f>
        <v>24200</v>
      </c>
      <c r="AD94" s="73">
        <f t="shared" si="7"/>
        <v>3295</v>
      </c>
      <c r="AE94" s="74">
        <f>IF(OR('Cleanup TMS'!BU94=0,'Cleanup TMS'!BU94=""),"-",'Cleanup TMS'!BU94)</f>
        <v>0.14000000000000001</v>
      </c>
      <c r="AF94" s="74" t="str">
        <f>IF(OR('Cleanup TMS'!BV94=0,'Cleanup TMS'!BV94=""),"-",'Cleanup TMS'!BV94)</f>
        <v>B</v>
      </c>
      <c r="AG94" s="73">
        <f>'Cleanup TMS'!CF94</f>
        <v>1200</v>
      </c>
      <c r="AH94" s="73">
        <f t="shared" si="8"/>
        <v>129</v>
      </c>
      <c r="AI94" s="73">
        <f t="shared" si="9"/>
        <v>290</v>
      </c>
      <c r="AJ94" s="71">
        <f>IF(OR('Cleanup TMS'!CI94=0,'Cleanup TMS'!CI94=""),"-",'Cleanup TMS'!CI94)</f>
        <v>0.24</v>
      </c>
      <c r="AK94" s="75" t="str">
        <f>IF(OR('Cleanup TMS'!CJ94=0,'Cleanup TMS'!CJ94=""),"-",'Cleanup TMS'!CJ94)</f>
        <v>B</v>
      </c>
    </row>
    <row r="95" spans="1:37" ht="18.75" customHeight="1">
      <c r="A95" s="69">
        <f>'Cleanup TMS'!A95</f>
        <v>3542150</v>
      </c>
      <c r="B95" s="70">
        <f>'Cleanup TMS'!B95</f>
        <v>18</v>
      </c>
      <c r="C95" s="70" t="str">
        <f>IF('Cleanup TMS'!E95="","",'Cleanup TMS'!E95)</f>
        <v/>
      </c>
      <c r="D95" s="70" t="str">
        <f>'Cleanup TMS'!F95</f>
        <v>SUMTER</v>
      </c>
      <c r="E95" s="70">
        <f>'Cleanup TMS'!G95</f>
        <v>55</v>
      </c>
      <c r="F95" s="71">
        <f>ROUND('Cleanup TMS'!H95,2)</f>
        <v>1.01</v>
      </c>
      <c r="G95" s="72" t="str">
        <f>'Cleanup TMS'!I95</f>
        <v>CR 462</v>
      </c>
      <c r="H95" s="72" t="str">
        <f>'Cleanup TMS'!J95</f>
        <v>CR 209</v>
      </c>
      <c r="I95" s="72" t="str">
        <f>'Cleanup TMS'!K95</f>
        <v>US 301/SR 35</v>
      </c>
      <c r="J95" s="70">
        <f>'Cleanup TMS'!L95</f>
        <v>2</v>
      </c>
      <c r="K95" s="70">
        <v>2</v>
      </c>
      <c r="L95" s="70" t="s">
        <v>646</v>
      </c>
      <c r="M95" s="70" t="s">
        <v>648</v>
      </c>
      <c r="N95" s="152" t="s">
        <v>652</v>
      </c>
      <c r="O95" s="152" t="s">
        <v>547</v>
      </c>
      <c r="P95" s="70" t="str">
        <f>'Cleanup TMS'!V95</f>
        <v>COUNTY</v>
      </c>
      <c r="Q95" s="70" t="str">
        <f>'Cleanup TMS'!W95</f>
        <v>WILDWOOD</v>
      </c>
      <c r="R95" s="70" t="s">
        <v>5</v>
      </c>
      <c r="S95" s="73">
        <f>IF('Cleanup TMS'!AO95=0,"-",'Cleanup TMS'!AO95)</f>
        <v>24200</v>
      </c>
      <c r="T95" s="73">
        <f>'Cleanup TMS'!AP95</f>
        <v>3348</v>
      </c>
      <c r="U95" s="71">
        <f>IF(OR('Cleanup TMS'!AQ95=0,'Cleanup TMS'!AQ95=""),"-",'Cleanup TMS'!AQ95)</f>
        <v>0.14000000000000001</v>
      </c>
      <c r="V95" s="71" t="str">
        <f>IF(OR('Cleanup TMS'!AR95=0,'Cleanup TMS'!AR95=""),"-",'Cleanup TMS'!AR95)</f>
        <v>B</v>
      </c>
      <c r="W95" s="73">
        <f>IF('Cleanup TMS'!BB95=0,"-",'Cleanup TMS'!BB95)</f>
        <v>1200</v>
      </c>
      <c r="X95" s="73">
        <f>'Cleanup TMS'!BC95</f>
        <v>112</v>
      </c>
      <c r="Y95" s="73">
        <f>'Cleanup TMS'!BD95</f>
        <v>286</v>
      </c>
      <c r="Z95" s="74">
        <f>IF(OR('Cleanup TMS'!BE95=0,'Cleanup TMS'!BE95=""),"-",'Cleanup TMS'!BE95)</f>
        <v>0.24</v>
      </c>
      <c r="AA95" s="74" t="str">
        <f>IF(OR('Cleanup TMS'!BF95=0,'Cleanup TMS'!BF95=""),"-",'Cleanup TMS'!BF95)</f>
        <v>B</v>
      </c>
      <c r="AB95" s="148">
        <f>IF(OR('Cleanup TMS'!BI95="",'Cleanup TMS'!BI95=0),"-",'Cleanup TMS'!BI95)</f>
        <v>0.01</v>
      </c>
      <c r="AC95" s="73">
        <f>'Cleanup TMS'!BS95</f>
        <v>24200</v>
      </c>
      <c r="AD95" s="73">
        <f t="shared" si="7"/>
        <v>3519</v>
      </c>
      <c r="AE95" s="74">
        <f>IF(OR('Cleanup TMS'!BU95=0,'Cleanup TMS'!BU95=""),"-",'Cleanup TMS'!BU95)</f>
        <v>0.15</v>
      </c>
      <c r="AF95" s="74" t="str">
        <f>IF(OR('Cleanup TMS'!BV95=0,'Cleanup TMS'!BV95=""),"-",'Cleanup TMS'!BV95)</f>
        <v>B</v>
      </c>
      <c r="AG95" s="73">
        <f>'Cleanup TMS'!CF95</f>
        <v>1200</v>
      </c>
      <c r="AH95" s="73">
        <f t="shared" si="8"/>
        <v>118</v>
      </c>
      <c r="AI95" s="73">
        <f t="shared" si="9"/>
        <v>301</v>
      </c>
      <c r="AJ95" s="71">
        <f>IF(OR('Cleanup TMS'!CI95=0,'Cleanup TMS'!CI95=""),"-",'Cleanup TMS'!CI95)</f>
        <v>0.25</v>
      </c>
      <c r="AK95" s="75" t="str">
        <f>IF(OR('Cleanup TMS'!CJ95=0,'Cleanup TMS'!CJ95=""),"-",'Cleanup TMS'!CJ95)</f>
        <v>B</v>
      </c>
    </row>
    <row r="96" spans="1:37" ht="18.75" customHeight="1">
      <c r="A96" s="69">
        <f>'Cleanup TMS'!A96</f>
        <v>3543100</v>
      </c>
      <c r="B96" s="70">
        <f>'Cleanup TMS'!B96</f>
        <v>46</v>
      </c>
      <c r="C96" s="70" t="str">
        <f>IF('Cleanup TMS'!E96="","",'Cleanup TMS'!E96)</f>
        <v/>
      </c>
      <c r="D96" s="70" t="str">
        <f>'Cleanup TMS'!F96</f>
        <v>SUMTER</v>
      </c>
      <c r="E96" s="70">
        <f>'Cleanup TMS'!G96</f>
        <v>35</v>
      </c>
      <c r="F96" s="71">
        <f>ROUND('Cleanup TMS'!H96,2)</f>
        <v>0.75</v>
      </c>
      <c r="G96" s="72" t="str">
        <f>'Cleanup TMS'!I96</f>
        <v>CR 472</v>
      </c>
      <c r="H96" s="72" t="str">
        <f>'Cleanup TMS'!J96</f>
        <v>US 301/SR 35</v>
      </c>
      <c r="I96" s="72" t="str">
        <f>'Cleanup TMS'!K96</f>
        <v>CR 117</v>
      </c>
      <c r="J96" s="70">
        <f>'Cleanup TMS'!L96</f>
        <v>2</v>
      </c>
      <c r="K96" s="70">
        <v>2</v>
      </c>
      <c r="L96" s="70" t="s">
        <v>646</v>
      </c>
      <c r="M96" s="70" t="s">
        <v>648</v>
      </c>
      <c r="N96" s="152" t="s">
        <v>651</v>
      </c>
      <c r="O96" s="152" t="s">
        <v>547</v>
      </c>
      <c r="P96" s="70" t="str">
        <f>'Cleanup TMS'!V96</f>
        <v>COUNTY</v>
      </c>
      <c r="Q96" s="70" t="str">
        <f>'Cleanup TMS'!W96</f>
        <v>WILDWOOD</v>
      </c>
      <c r="R96" s="70" t="s">
        <v>5</v>
      </c>
      <c r="S96" s="73">
        <f>IF('Cleanup TMS'!AO96=0,"-",'Cleanup TMS'!AO96)</f>
        <v>14060</v>
      </c>
      <c r="T96" s="73">
        <f>'Cleanup TMS'!AP96</f>
        <v>6086</v>
      </c>
      <c r="U96" s="71">
        <f>IF(OR('Cleanup TMS'!AQ96=0,'Cleanup TMS'!AQ96=""),"-",'Cleanup TMS'!AQ96)</f>
        <v>0.43</v>
      </c>
      <c r="V96" s="71" t="str">
        <f>IF(OR('Cleanup TMS'!AR96=0,'Cleanup TMS'!AR96=""),"-",'Cleanup TMS'!AR96)</f>
        <v>C</v>
      </c>
      <c r="W96" s="73">
        <f>IF('Cleanup TMS'!BB96=0,"-",'Cleanup TMS'!BB96)</f>
        <v>713</v>
      </c>
      <c r="X96" s="73">
        <f>'Cleanup TMS'!BC96</f>
        <v>329</v>
      </c>
      <c r="Y96" s="73">
        <f>'Cleanup TMS'!BD96</f>
        <v>218</v>
      </c>
      <c r="Z96" s="74">
        <f>IF(OR('Cleanup TMS'!BE96=0,'Cleanup TMS'!BE96=""),"-",'Cleanup TMS'!BE96)</f>
        <v>0.46</v>
      </c>
      <c r="AA96" s="74" t="str">
        <f>IF(OR('Cleanup TMS'!BF96=0,'Cleanup TMS'!BF96=""),"-",'Cleanup TMS'!BF96)</f>
        <v>C</v>
      </c>
      <c r="AB96" s="148">
        <f>IF(OR('Cleanup TMS'!BI96="",'Cleanup TMS'!BI96=0),"-",'Cleanup TMS'!BI96)</f>
        <v>3.2500000000000001E-2</v>
      </c>
      <c r="AC96" s="73">
        <f>'Cleanup TMS'!BS96</f>
        <v>14060</v>
      </c>
      <c r="AD96" s="73">
        <f t="shared" si="7"/>
        <v>7141</v>
      </c>
      <c r="AE96" s="74">
        <f>IF(OR('Cleanup TMS'!BU96=0,'Cleanup TMS'!BU96=""),"-",'Cleanup TMS'!BU96)</f>
        <v>0.51</v>
      </c>
      <c r="AF96" s="74" t="str">
        <f>IF(OR('Cleanup TMS'!BV96=0,'Cleanup TMS'!BV96=""),"-",'Cleanup TMS'!BV96)</f>
        <v>D</v>
      </c>
      <c r="AG96" s="73">
        <f>'Cleanup TMS'!CF96</f>
        <v>713</v>
      </c>
      <c r="AH96" s="73">
        <f t="shared" si="8"/>
        <v>386</v>
      </c>
      <c r="AI96" s="73">
        <f t="shared" si="9"/>
        <v>256</v>
      </c>
      <c r="AJ96" s="71">
        <f>IF(OR('Cleanup TMS'!CI96=0,'Cleanup TMS'!CI96=""),"-",'Cleanup TMS'!CI96)</f>
        <v>0.54</v>
      </c>
      <c r="AK96" s="75" t="str">
        <f>IF(OR('Cleanup TMS'!CJ96=0,'Cleanup TMS'!CJ96=""),"-",'Cleanup TMS'!CJ96)</f>
        <v>D</v>
      </c>
    </row>
    <row r="97" spans="1:37" ht="18.75" customHeight="1">
      <c r="A97" s="69">
        <f>'Cleanup TMS'!A97</f>
        <v>3545100</v>
      </c>
      <c r="B97" s="70">
        <f>'Cleanup TMS'!B97</f>
        <v>972210</v>
      </c>
      <c r="C97" s="70">
        <f>IF('Cleanup TMS'!E97="","",'Cleanup TMS'!E97)</f>
        <v>972210</v>
      </c>
      <c r="D97" s="70" t="str">
        <f>'Cleanup TMS'!F97</f>
        <v>FDOT</v>
      </c>
      <c r="E97" s="70">
        <f>'Cleanup TMS'!G97</f>
        <v>70</v>
      </c>
      <c r="F97" s="71">
        <f>ROUND('Cleanup TMS'!H97,2)</f>
        <v>3.35</v>
      </c>
      <c r="G97" s="72" t="str">
        <f>'Cleanup TMS'!I97</f>
        <v>SR 91/FLORIDAS TURNPIKE</v>
      </c>
      <c r="H97" s="72" t="str">
        <f>'Cleanup TMS'!J97</f>
        <v>SR 93/I-75</v>
      </c>
      <c r="I97" s="72" t="str">
        <f>'Cleanup TMS'!K97</f>
        <v>US 301/SR 35</v>
      </c>
      <c r="J97" s="70">
        <f>'Cleanup TMS'!L97</f>
        <v>4</v>
      </c>
      <c r="K97" s="70">
        <v>4</v>
      </c>
      <c r="L97" s="70" t="s">
        <v>647</v>
      </c>
      <c r="M97" s="70" t="s">
        <v>153</v>
      </c>
      <c r="N97" s="152" t="s">
        <v>153</v>
      </c>
      <c r="O97" s="152" t="s">
        <v>547</v>
      </c>
      <c r="P97" s="70" t="str">
        <f>'Cleanup TMS'!V97</f>
        <v>STATE</v>
      </c>
      <c r="Q97" s="70" t="str">
        <f>'Cleanup TMS'!W97</f>
        <v>WILDWOOD</v>
      </c>
      <c r="R97" s="70" t="s">
        <v>4</v>
      </c>
      <c r="S97" s="73">
        <f>IF('Cleanup TMS'!AO97=0,"-",'Cleanup TMS'!AO97)</f>
        <v>48000</v>
      </c>
      <c r="T97" s="73">
        <f>'Cleanup TMS'!AP97</f>
        <v>42410</v>
      </c>
      <c r="U97" s="71">
        <f>IF(OR('Cleanup TMS'!AQ97=0,'Cleanup TMS'!AQ97=""),"-",'Cleanup TMS'!AQ97)</f>
        <v>0.88</v>
      </c>
      <c r="V97" s="71" t="str">
        <f>IF(OR('Cleanup TMS'!AR97=0,'Cleanup TMS'!AR97=""),"-",'Cleanup TMS'!AR97)</f>
        <v>C</v>
      </c>
      <c r="W97" s="73">
        <f>IF('Cleanup TMS'!BB97=0,"-",'Cleanup TMS'!BB97)</f>
        <v>2770</v>
      </c>
      <c r="X97" s="73">
        <f>'Cleanup TMS'!BC97</f>
        <v>2654</v>
      </c>
      <c r="Y97" s="73">
        <f>'Cleanup TMS'!BD97</f>
        <v>1799</v>
      </c>
      <c r="Z97" s="74">
        <f>IF(OR('Cleanup TMS'!BE97=0,'Cleanup TMS'!BE97=""),"-",'Cleanup TMS'!BE97)</f>
        <v>0.96</v>
      </c>
      <c r="AA97" s="74" t="str">
        <f>IF(OR('Cleanup TMS'!BF97=0,'Cleanup TMS'!BF97=""),"-",'Cleanup TMS'!BF97)</f>
        <v>C</v>
      </c>
      <c r="AB97" s="148">
        <f>IF(OR('Cleanup TMS'!BI97="",'Cleanup TMS'!BI97=0),"-",'Cleanup TMS'!BI97)</f>
        <v>0.01</v>
      </c>
      <c r="AC97" s="73">
        <f>'Cleanup TMS'!BS97</f>
        <v>48000</v>
      </c>
      <c r="AD97" s="73">
        <f t="shared" si="7"/>
        <v>44573</v>
      </c>
      <c r="AE97" s="74">
        <f>IF(OR('Cleanup TMS'!BU97=0,'Cleanup TMS'!BU97=""),"-",'Cleanup TMS'!BU97)</f>
        <v>0.93</v>
      </c>
      <c r="AF97" s="74" t="str">
        <f>IF(OR('Cleanup TMS'!BV97=0,'Cleanup TMS'!BV97=""),"-",'Cleanup TMS'!BV97)</f>
        <v>C</v>
      </c>
      <c r="AG97" s="73">
        <f>'Cleanup TMS'!CF97</f>
        <v>2770</v>
      </c>
      <c r="AH97" s="73">
        <f t="shared" si="8"/>
        <v>2789</v>
      </c>
      <c r="AI97" s="73">
        <f t="shared" si="9"/>
        <v>1891</v>
      </c>
      <c r="AJ97" s="71">
        <f>IF(OR('Cleanup TMS'!CI97=0,'Cleanup TMS'!CI97=""),"-",'Cleanup TMS'!CI97)</f>
        <v>1.01</v>
      </c>
      <c r="AK97" s="75" t="str">
        <f>IF(OR('Cleanup TMS'!CJ97=0,'Cleanup TMS'!CJ97=""),"-",'Cleanup TMS'!CJ97)</f>
        <v>D</v>
      </c>
    </row>
    <row r="98" spans="1:37" ht="18.75" customHeight="1">
      <c r="A98" s="69">
        <f>'Cleanup TMS'!A98</f>
        <v>3545110</v>
      </c>
      <c r="B98" s="70">
        <f>'Cleanup TMS'!B98</f>
        <v>972200</v>
      </c>
      <c r="C98" s="70">
        <f>IF('Cleanup TMS'!E98="","",'Cleanup TMS'!E98)</f>
        <v>972200</v>
      </c>
      <c r="D98" s="70" t="str">
        <f>'Cleanup TMS'!F98</f>
        <v>FDOT</v>
      </c>
      <c r="E98" s="70">
        <f>'Cleanup TMS'!G98</f>
        <v>70</v>
      </c>
      <c r="F98" s="71">
        <f>ROUND('Cleanup TMS'!H98,2)</f>
        <v>7.32</v>
      </c>
      <c r="G98" s="72" t="str">
        <f>'Cleanup TMS'!I98</f>
        <v>SR 91/FLORIDAS TURNPIKE</v>
      </c>
      <c r="H98" s="72" t="str">
        <f>'Cleanup TMS'!J98</f>
        <v>US 301/SR 35</v>
      </c>
      <c r="I98" s="72" t="str">
        <f>'Cleanup TMS'!K98</f>
        <v>LAKE COUNTY BOUNDARY</v>
      </c>
      <c r="J98" s="70">
        <f>'Cleanup TMS'!L98</f>
        <v>4</v>
      </c>
      <c r="K98" s="70">
        <v>4</v>
      </c>
      <c r="L98" s="70" t="s">
        <v>647</v>
      </c>
      <c r="M98" s="70" t="s">
        <v>153</v>
      </c>
      <c r="N98" s="152" t="s">
        <v>153</v>
      </c>
      <c r="O98" s="152" t="s">
        <v>547</v>
      </c>
      <c r="P98" s="70" t="str">
        <f>'Cleanup TMS'!V98</f>
        <v>STATE</v>
      </c>
      <c r="Q98" s="70" t="str">
        <f>'Cleanup TMS'!W98</f>
        <v>WILDWOOD</v>
      </c>
      <c r="R98" s="70" t="s">
        <v>4</v>
      </c>
      <c r="S98" s="73">
        <f>IF('Cleanup TMS'!AO98=0,"-",'Cleanup TMS'!AO98)</f>
        <v>48000</v>
      </c>
      <c r="T98" s="73">
        <f>'Cleanup TMS'!AP98</f>
        <v>46882</v>
      </c>
      <c r="U98" s="71">
        <f>IF(OR('Cleanup TMS'!AQ98=0,'Cleanup TMS'!AQ98=""),"-",'Cleanup TMS'!AQ98)</f>
        <v>0.98</v>
      </c>
      <c r="V98" s="71" t="str">
        <f>IF(OR('Cleanup TMS'!AR98=0,'Cleanup TMS'!AR98=""),"-",'Cleanup TMS'!AR98)</f>
        <v>C</v>
      </c>
      <c r="W98" s="73">
        <f>IF('Cleanup TMS'!BB98=0,"-",'Cleanup TMS'!BB98)</f>
        <v>2770</v>
      </c>
      <c r="X98" s="73">
        <f>'Cleanup TMS'!BC98</f>
        <v>2609</v>
      </c>
      <c r="Y98" s="73">
        <f>'Cleanup TMS'!BD98</f>
        <v>2314</v>
      </c>
      <c r="Z98" s="74">
        <f>IF(OR('Cleanup TMS'!BE98=0,'Cleanup TMS'!BE98=""),"-",'Cleanup TMS'!BE98)</f>
        <v>0.94</v>
      </c>
      <c r="AA98" s="74" t="str">
        <f>IF(OR('Cleanup TMS'!BF98=0,'Cleanup TMS'!BF98=""),"-",'Cleanup TMS'!BF98)</f>
        <v>C</v>
      </c>
      <c r="AB98" s="148">
        <f>IF(OR('Cleanup TMS'!BI98="",'Cleanup TMS'!BI98=0),"-",'Cleanup TMS'!BI98)</f>
        <v>0.01</v>
      </c>
      <c r="AC98" s="73">
        <f>'Cleanup TMS'!BS98</f>
        <v>48000</v>
      </c>
      <c r="AD98" s="73">
        <f t="shared" si="7"/>
        <v>49273</v>
      </c>
      <c r="AE98" s="74">
        <f>IF(OR('Cleanup TMS'!BU98=0,'Cleanup TMS'!BU98=""),"-",'Cleanup TMS'!BU98)</f>
        <v>1.03</v>
      </c>
      <c r="AF98" s="74" t="str">
        <f>IF(OR('Cleanup TMS'!BV98=0,'Cleanup TMS'!BV98=""),"-",'Cleanup TMS'!BV98)</f>
        <v>D</v>
      </c>
      <c r="AG98" s="73">
        <f>'Cleanup TMS'!CF98</f>
        <v>2770</v>
      </c>
      <c r="AH98" s="73">
        <f t="shared" si="8"/>
        <v>2742</v>
      </c>
      <c r="AI98" s="73">
        <f t="shared" si="9"/>
        <v>2432</v>
      </c>
      <c r="AJ98" s="71">
        <f>IF(OR('Cleanup TMS'!CI98=0,'Cleanup TMS'!CI98=""),"-",'Cleanup TMS'!CI98)</f>
        <v>0.99</v>
      </c>
      <c r="AK98" s="75" t="str">
        <f>IF(OR('Cleanup TMS'!CJ98=0,'Cleanup TMS'!CJ98=""),"-",'Cleanup TMS'!CJ98)</f>
        <v>C</v>
      </c>
    </row>
    <row r="99" spans="1:37" ht="18.75" customHeight="1">
      <c r="A99" s="69">
        <f>'Cleanup TMS'!A99</f>
        <v>3546100</v>
      </c>
      <c r="B99" s="70">
        <f>'Cleanup TMS'!B99</f>
        <v>180208</v>
      </c>
      <c r="C99" s="70">
        <f>IF('Cleanup TMS'!E99="","",'Cleanup TMS'!E99)</f>
        <v>180208</v>
      </c>
      <c r="D99" s="70" t="str">
        <f>'Cleanup TMS'!F99</f>
        <v>FDOT</v>
      </c>
      <c r="E99" s="70">
        <f>'Cleanup TMS'!G99</f>
        <v>70</v>
      </c>
      <c r="F99" s="71">
        <f>ROUND('Cleanup TMS'!H99,2)</f>
        <v>1.78</v>
      </c>
      <c r="G99" s="72" t="str">
        <f>'Cleanup TMS'!I99</f>
        <v>SR 93/I-75</v>
      </c>
      <c r="H99" s="72" t="str">
        <f>'Cleanup TMS'!J99</f>
        <v>HERNANDO COUNTY BOUNDARY</v>
      </c>
      <c r="I99" s="72" t="str">
        <f>'Cleanup TMS'!K99</f>
        <v>CR 673</v>
      </c>
      <c r="J99" s="70">
        <f>'Cleanup TMS'!L99</f>
        <v>6</v>
      </c>
      <c r="K99" s="70">
        <v>6</v>
      </c>
      <c r="L99" s="70" t="s">
        <v>647</v>
      </c>
      <c r="M99" s="70" t="s">
        <v>153</v>
      </c>
      <c r="N99" s="152" t="s">
        <v>153</v>
      </c>
      <c r="O99" s="152" t="s">
        <v>547</v>
      </c>
      <c r="P99" s="70" t="str">
        <f>'Cleanup TMS'!V99</f>
        <v>STATE</v>
      </c>
      <c r="Q99" s="70" t="str">
        <f>'Cleanup TMS'!W99</f>
        <v>UNINCORPORATED SUMTER COUNTY</v>
      </c>
      <c r="R99" s="70" t="s">
        <v>4</v>
      </c>
      <c r="S99" s="73">
        <f>IF('Cleanup TMS'!AO99=0,"-",'Cleanup TMS'!AO99)</f>
        <v>69000</v>
      </c>
      <c r="T99" s="73">
        <f>'Cleanup TMS'!AP99</f>
        <v>53168.571428571362</v>
      </c>
      <c r="U99" s="71">
        <f>IF(OR('Cleanup TMS'!AQ99=0,'Cleanup TMS'!AQ99=""),"-",'Cleanup TMS'!AQ99)</f>
        <v>0.77</v>
      </c>
      <c r="V99" s="71" t="str">
        <f>IF(OR('Cleanup TMS'!AR99=0,'Cleanup TMS'!AR99=""),"-",'Cleanup TMS'!AR99)</f>
        <v>C</v>
      </c>
      <c r="W99" s="73">
        <f>IF('Cleanup TMS'!BB99=0,"-",'Cleanup TMS'!BB99)</f>
        <v>3990</v>
      </c>
      <c r="X99" s="73">
        <f>'Cleanup TMS'!BC99</f>
        <v>1870</v>
      </c>
      <c r="Y99" s="73">
        <f>'Cleanup TMS'!BD99</f>
        <v>2044</v>
      </c>
      <c r="Z99" s="74">
        <f>IF(OR('Cleanup TMS'!BE99=0,'Cleanup TMS'!BE99=""),"-",'Cleanup TMS'!BE99)</f>
        <v>0.51</v>
      </c>
      <c r="AA99" s="74" t="str">
        <f>IF(OR('Cleanup TMS'!BF99=0,'Cleanup TMS'!BF99=""),"-",'Cleanup TMS'!BF99)</f>
        <v>B</v>
      </c>
      <c r="AB99" s="148">
        <f>IF(OR('Cleanup TMS'!BI99="",'Cleanup TMS'!BI99=0),"-",'Cleanup TMS'!BI99)</f>
        <v>0.01</v>
      </c>
      <c r="AC99" s="73">
        <f>'Cleanup TMS'!BS99</f>
        <v>69000</v>
      </c>
      <c r="AD99" s="73">
        <f t="shared" si="7"/>
        <v>55881</v>
      </c>
      <c r="AE99" s="74">
        <f>IF(OR('Cleanup TMS'!BU99=0,'Cleanup TMS'!BU99=""),"-",'Cleanup TMS'!BU99)</f>
        <v>0.81</v>
      </c>
      <c r="AF99" s="74" t="str">
        <f>IF(OR('Cleanup TMS'!BV99=0,'Cleanup TMS'!BV99=""),"-",'Cleanup TMS'!BV99)</f>
        <v>C</v>
      </c>
      <c r="AG99" s="73">
        <f>'Cleanup TMS'!CF99</f>
        <v>3990</v>
      </c>
      <c r="AH99" s="73">
        <f t="shared" si="8"/>
        <v>1965</v>
      </c>
      <c r="AI99" s="73">
        <f t="shared" si="9"/>
        <v>2148</v>
      </c>
      <c r="AJ99" s="71">
        <f>IF(OR('Cleanup TMS'!CI99=0,'Cleanup TMS'!CI99=""),"-",'Cleanup TMS'!CI99)</f>
        <v>0.54</v>
      </c>
      <c r="AK99" s="75" t="str">
        <f>IF(OR('Cleanup TMS'!CJ99=0,'Cleanup TMS'!CJ99=""),"-",'Cleanup TMS'!CJ99)</f>
        <v>B</v>
      </c>
    </row>
    <row r="100" spans="1:37" ht="18.75" customHeight="1">
      <c r="A100" s="69">
        <f>'Cleanup TMS'!A100</f>
        <v>3546120</v>
      </c>
      <c r="B100" s="70">
        <f>'Cleanup TMS'!B100</f>
        <v>180194</v>
      </c>
      <c r="C100" s="70">
        <f>IF('Cleanup TMS'!E100="","",'Cleanup TMS'!E100)</f>
        <v>180194</v>
      </c>
      <c r="D100" s="70" t="str">
        <f>'Cleanup TMS'!F100</f>
        <v>FDOT</v>
      </c>
      <c r="E100" s="70">
        <f>'Cleanup TMS'!G100</f>
        <v>70</v>
      </c>
      <c r="F100" s="71">
        <f>ROUND('Cleanup TMS'!H100,2)</f>
        <v>5.91</v>
      </c>
      <c r="G100" s="72" t="str">
        <f>'Cleanup TMS'!I100</f>
        <v>SR 93/I-75</v>
      </c>
      <c r="H100" s="72" t="str">
        <f>'Cleanup TMS'!J100</f>
        <v>CR 673</v>
      </c>
      <c r="I100" s="72" t="str">
        <f>'Cleanup TMS'!K100</f>
        <v>CR 48</v>
      </c>
      <c r="J100" s="70">
        <f>'Cleanup TMS'!L100</f>
        <v>6</v>
      </c>
      <c r="K100" s="70">
        <v>6</v>
      </c>
      <c r="L100" s="70" t="s">
        <v>647</v>
      </c>
      <c r="M100" s="70" t="s">
        <v>153</v>
      </c>
      <c r="N100" s="152" t="s">
        <v>153</v>
      </c>
      <c r="O100" s="152" t="s">
        <v>547</v>
      </c>
      <c r="P100" s="70" t="str">
        <f>'Cleanup TMS'!V100</f>
        <v>STATE</v>
      </c>
      <c r="Q100" s="70" t="str">
        <f>'Cleanup TMS'!W100</f>
        <v>BUSHNELL</v>
      </c>
      <c r="R100" s="70" t="s">
        <v>4</v>
      </c>
      <c r="S100" s="73">
        <f>IF('Cleanup TMS'!AO100=0,"-",'Cleanup TMS'!AO100)</f>
        <v>69000</v>
      </c>
      <c r="T100" s="73">
        <f>'Cleanup TMS'!AP100</f>
        <v>53464</v>
      </c>
      <c r="U100" s="71">
        <f>IF(OR('Cleanup TMS'!AQ100=0,'Cleanup TMS'!AQ100=""),"-",'Cleanup TMS'!AQ100)</f>
        <v>0.77</v>
      </c>
      <c r="V100" s="71" t="str">
        <f>IF(OR('Cleanup TMS'!AR100=0,'Cleanup TMS'!AR100=""),"-",'Cleanup TMS'!AR100)</f>
        <v>C</v>
      </c>
      <c r="W100" s="73">
        <f>IF('Cleanup TMS'!BB100=0,"-",'Cleanup TMS'!BB100)</f>
        <v>3990</v>
      </c>
      <c r="X100" s="73">
        <f>'Cleanup TMS'!BC100</f>
        <v>2507.5</v>
      </c>
      <c r="Y100" s="73">
        <f>'Cleanup TMS'!BD100</f>
        <v>2377.5</v>
      </c>
      <c r="Z100" s="74">
        <f>IF(OR('Cleanup TMS'!BE100=0,'Cleanup TMS'!BE100=""),"-",'Cleanup TMS'!BE100)</f>
        <v>0.63</v>
      </c>
      <c r="AA100" s="74" t="str">
        <f>IF(OR('Cleanup TMS'!BF100=0,'Cleanup TMS'!BF100=""),"-",'Cleanup TMS'!BF100)</f>
        <v>B</v>
      </c>
      <c r="AB100" s="148">
        <f>IF(OR('Cleanup TMS'!BI100="",'Cleanup TMS'!BI100=0),"-",'Cleanup TMS'!BI100)</f>
        <v>1.2500000000000001E-2</v>
      </c>
      <c r="AC100" s="73">
        <f>'Cleanup TMS'!BS100</f>
        <v>69000</v>
      </c>
      <c r="AD100" s="73">
        <f t="shared" si="7"/>
        <v>56890</v>
      </c>
      <c r="AE100" s="74">
        <f>IF(OR('Cleanup TMS'!BU100=0,'Cleanup TMS'!BU100=""),"-",'Cleanup TMS'!BU100)</f>
        <v>0.82</v>
      </c>
      <c r="AF100" s="74" t="str">
        <f>IF(OR('Cleanup TMS'!BV100=0,'Cleanup TMS'!BV100=""),"-",'Cleanup TMS'!BV100)</f>
        <v>C</v>
      </c>
      <c r="AG100" s="73">
        <f>'Cleanup TMS'!CF100</f>
        <v>3990</v>
      </c>
      <c r="AH100" s="73">
        <f t="shared" si="8"/>
        <v>2668</v>
      </c>
      <c r="AI100" s="73">
        <f t="shared" si="9"/>
        <v>2530</v>
      </c>
      <c r="AJ100" s="71">
        <f>IF(OR('Cleanup TMS'!CI100=0,'Cleanup TMS'!CI100=""),"-",'Cleanup TMS'!CI100)</f>
        <v>0.67</v>
      </c>
      <c r="AK100" s="75" t="str">
        <f>IF(OR('Cleanup TMS'!CJ100=0,'Cleanup TMS'!CJ100=""),"-",'Cleanup TMS'!CJ100)</f>
        <v>B</v>
      </c>
    </row>
    <row r="101" spans="1:37" ht="18.75" customHeight="1">
      <c r="A101" s="69">
        <f>'Cleanup TMS'!A101</f>
        <v>3546130</v>
      </c>
      <c r="B101" s="70">
        <f>'Cleanup TMS'!B101</f>
        <v>180358</v>
      </c>
      <c r="C101" s="70">
        <f>IF('Cleanup TMS'!E101="","",'Cleanup TMS'!E101)</f>
        <v>180358</v>
      </c>
      <c r="D101" s="70" t="str">
        <f>'Cleanup TMS'!F101</f>
        <v>FDOT</v>
      </c>
      <c r="E101" s="70">
        <f>'Cleanup TMS'!G101</f>
        <v>70</v>
      </c>
      <c r="F101" s="71">
        <f>ROUND('Cleanup TMS'!H101,2)</f>
        <v>6.43</v>
      </c>
      <c r="G101" s="72" t="str">
        <f>'Cleanup TMS'!I101</f>
        <v>SR 93/I-75</v>
      </c>
      <c r="H101" s="72" t="str">
        <f>'Cleanup TMS'!J101</f>
        <v>CR 48 (FLORIDA ST)</v>
      </c>
      <c r="I101" s="72" t="str">
        <f>'Cleanup TMS'!K101</f>
        <v>CR 470 E</v>
      </c>
      <c r="J101" s="70">
        <f>'Cleanup TMS'!L101</f>
        <v>6</v>
      </c>
      <c r="K101" s="70">
        <v>6</v>
      </c>
      <c r="L101" s="70" t="s">
        <v>647</v>
      </c>
      <c r="M101" s="70" t="s">
        <v>153</v>
      </c>
      <c r="N101" s="152" t="s">
        <v>153</v>
      </c>
      <c r="O101" s="152" t="s">
        <v>547</v>
      </c>
      <c r="P101" s="70" t="str">
        <f>'Cleanup TMS'!V101</f>
        <v>STATE</v>
      </c>
      <c r="Q101" s="70" t="str">
        <f>'Cleanup TMS'!W101</f>
        <v>BUSHNELL</v>
      </c>
      <c r="R101" s="70" t="s">
        <v>4</v>
      </c>
      <c r="S101" s="73">
        <f>IF('Cleanup TMS'!AO101=0,"-",'Cleanup TMS'!AO101)</f>
        <v>69000</v>
      </c>
      <c r="T101" s="73">
        <f>'Cleanup TMS'!AP101</f>
        <v>55771.499999999534</v>
      </c>
      <c r="U101" s="71">
        <f>IF(OR('Cleanup TMS'!AQ101=0,'Cleanup TMS'!AQ101=""),"-",'Cleanup TMS'!AQ101)</f>
        <v>0.81</v>
      </c>
      <c r="V101" s="71" t="str">
        <f>IF(OR('Cleanup TMS'!AR101=0,'Cleanup TMS'!AR101=""),"-",'Cleanup TMS'!AR101)</f>
        <v>C</v>
      </c>
      <c r="W101" s="73">
        <f>IF('Cleanup TMS'!BB101=0,"-",'Cleanup TMS'!BB101)</f>
        <v>3990</v>
      </c>
      <c r="X101" s="73">
        <f>'Cleanup TMS'!BC101</f>
        <v>3145</v>
      </c>
      <c r="Y101" s="73">
        <f>'Cleanup TMS'!BD101</f>
        <v>2711</v>
      </c>
      <c r="Z101" s="74">
        <f>IF(OR('Cleanup TMS'!BE101=0,'Cleanup TMS'!BE101=""),"-",'Cleanup TMS'!BE101)</f>
        <v>0.79</v>
      </c>
      <c r="AA101" s="74" t="str">
        <f>IF(OR('Cleanup TMS'!BF101=0,'Cleanup TMS'!BF101=""),"-",'Cleanup TMS'!BF101)</f>
        <v>C</v>
      </c>
      <c r="AB101" s="148">
        <f>IF(OR('Cleanup TMS'!BI101="",'Cleanup TMS'!BI101=0),"-",'Cleanup TMS'!BI101)</f>
        <v>2.75E-2</v>
      </c>
      <c r="AC101" s="73">
        <f>'Cleanup TMS'!BS101</f>
        <v>69000</v>
      </c>
      <c r="AD101" s="73">
        <f t="shared" si="7"/>
        <v>63874</v>
      </c>
      <c r="AE101" s="74">
        <f>IF(OR('Cleanup TMS'!BU101=0,'Cleanup TMS'!BU101=""),"-",'Cleanup TMS'!BU101)</f>
        <v>0.93</v>
      </c>
      <c r="AF101" s="74" t="str">
        <f>IF(OR('Cleanup TMS'!BV101=0,'Cleanup TMS'!BV101=""),"-",'Cleanup TMS'!BV101)</f>
        <v>C</v>
      </c>
      <c r="AG101" s="73">
        <f>'Cleanup TMS'!CF101</f>
        <v>3990</v>
      </c>
      <c r="AH101" s="73">
        <f t="shared" si="8"/>
        <v>3602</v>
      </c>
      <c r="AI101" s="73">
        <f t="shared" si="9"/>
        <v>3105</v>
      </c>
      <c r="AJ101" s="71">
        <f>IF(OR('Cleanup TMS'!CI101=0,'Cleanup TMS'!CI101=""),"-",'Cleanup TMS'!CI101)</f>
        <v>0.9</v>
      </c>
      <c r="AK101" s="75" t="str">
        <f>IF(OR('Cleanup TMS'!CJ101=0,'Cleanup TMS'!CJ101=""),"-",'Cleanup TMS'!CJ101)</f>
        <v>C</v>
      </c>
    </row>
    <row r="102" spans="1:37" ht="18.75" customHeight="1">
      <c r="A102" s="69">
        <f>'Cleanup TMS'!A102</f>
        <v>3546140</v>
      </c>
      <c r="B102" s="70">
        <f>'Cleanup TMS'!B102</f>
        <v>189920</v>
      </c>
      <c r="C102" s="70">
        <f>IF('Cleanup TMS'!E102="","",'Cleanup TMS'!E102)</f>
        <v>189920</v>
      </c>
      <c r="D102" s="70" t="str">
        <f>'Cleanup TMS'!F102</f>
        <v>FDOT</v>
      </c>
      <c r="E102" s="70">
        <f>'Cleanup TMS'!G102</f>
        <v>70</v>
      </c>
      <c r="F102" s="71">
        <f>ROUND('Cleanup TMS'!H102,2)</f>
        <v>7.71</v>
      </c>
      <c r="G102" s="72" t="str">
        <f>'Cleanup TMS'!I102</f>
        <v>SR 93/I-75</v>
      </c>
      <c r="H102" s="72" t="str">
        <f>'Cleanup TMS'!J102</f>
        <v>CR 470 E</v>
      </c>
      <c r="I102" s="72" t="str">
        <f>'Cleanup TMS'!K102</f>
        <v>SR 91/FLORIDAS TURNPIKE</v>
      </c>
      <c r="J102" s="70">
        <f>'Cleanup TMS'!L102</f>
        <v>6</v>
      </c>
      <c r="K102" s="70">
        <v>6</v>
      </c>
      <c r="L102" s="70" t="s">
        <v>647</v>
      </c>
      <c r="M102" s="70" t="s">
        <v>153</v>
      </c>
      <c r="N102" s="152" t="s">
        <v>153</v>
      </c>
      <c r="O102" s="152" t="s">
        <v>547</v>
      </c>
      <c r="P102" s="70" t="str">
        <f>'Cleanup TMS'!V102</f>
        <v>STATE</v>
      </c>
      <c r="Q102" s="70" t="str">
        <f>'Cleanup TMS'!W102</f>
        <v>UNINCORPORATED SUMTER COUNTY</v>
      </c>
      <c r="R102" s="70" t="s">
        <v>4</v>
      </c>
      <c r="S102" s="73">
        <f>IF('Cleanup TMS'!AO102=0,"-",'Cleanup TMS'!AO102)</f>
        <v>69000</v>
      </c>
      <c r="T102" s="73">
        <f>'Cleanup TMS'!AP102</f>
        <v>54358.700000000186</v>
      </c>
      <c r="U102" s="71">
        <f>IF(OR('Cleanup TMS'!AQ102=0,'Cleanup TMS'!AQ102=""),"-",'Cleanup TMS'!AQ102)</f>
        <v>0.79</v>
      </c>
      <c r="V102" s="71" t="str">
        <f>IF(OR('Cleanup TMS'!AR102=0,'Cleanup TMS'!AR102=""),"-",'Cleanup TMS'!AR102)</f>
        <v>C</v>
      </c>
      <c r="W102" s="73">
        <f>IF('Cleanup TMS'!BB102=0,"-",'Cleanup TMS'!BB102)</f>
        <v>3990</v>
      </c>
      <c r="X102" s="73">
        <f>'Cleanup TMS'!BC102</f>
        <v>3054</v>
      </c>
      <c r="Y102" s="73">
        <f>'Cleanup TMS'!BD102</f>
        <v>2654</v>
      </c>
      <c r="Z102" s="74">
        <f>IF(OR('Cleanup TMS'!BE102=0,'Cleanup TMS'!BE102=""),"-",'Cleanup TMS'!BE102)</f>
        <v>0.77</v>
      </c>
      <c r="AA102" s="74" t="str">
        <f>IF(OR('Cleanup TMS'!BF102=0,'Cleanup TMS'!BF102=""),"-",'Cleanup TMS'!BF102)</f>
        <v>C</v>
      </c>
      <c r="AB102" s="148">
        <f>IF(OR('Cleanup TMS'!BI102="",'Cleanup TMS'!BI102=0),"-",'Cleanup TMS'!BI102)</f>
        <v>0.01</v>
      </c>
      <c r="AC102" s="73">
        <f>'Cleanup TMS'!BS102</f>
        <v>69000</v>
      </c>
      <c r="AD102" s="73">
        <f t="shared" si="7"/>
        <v>57132</v>
      </c>
      <c r="AE102" s="74">
        <f>IF(OR('Cleanup TMS'!BU102=0,'Cleanup TMS'!BU102=""),"-",'Cleanup TMS'!BU102)</f>
        <v>0.83</v>
      </c>
      <c r="AF102" s="74" t="str">
        <f>IF(OR('Cleanup TMS'!BV102=0,'Cleanup TMS'!BV102=""),"-",'Cleanup TMS'!BV102)</f>
        <v>C</v>
      </c>
      <c r="AG102" s="73">
        <f>'Cleanup TMS'!CF102</f>
        <v>3990</v>
      </c>
      <c r="AH102" s="73">
        <f t="shared" si="8"/>
        <v>3210</v>
      </c>
      <c r="AI102" s="73">
        <f t="shared" si="9"/>
        <v>2789</v>
      </c>
      <c r="AJ102" s="71">
        <f>IF(OR('Cleanup TMS'!CI102=0,'Cleanup TMS'!CI102=""),"-",'Cleanup TMS'!CI102)</f>
        <v>0.8</v>
      </c>
      <c r="AK102" s="75" t="str">
        <f>IF(OR('Cleanup TMS'!CJ102=0,'Cleanup TMS'!CJ102=""),"-",'Cleanup TMS'!CJ102)</f>
        <v>C</v>
      </c>
    </row>
    <row r="103" spans="1:37" ht="18.75" customHeight="1">
      <c r="A103" s="69">
        <f>'Cleanup TMS'!A103</f>
        <v>3546150</v>
      </c>
      <c r="B103" s="70">
        <f>'Cleanup TMS'!B103</f>
        <v>180186</v>
      </c>
      <c r="C103" s="70">
        <f>IF('Cleanup TMS'!E103="","",'Cleanup TMS'!E103)</f>
        <v>180186</v>
      </c>
      <c r="D103" s="70" t="str">
        <f>'Cleanup TMS'!F103</f>
        <v>FDOT</v>
      </c>
      <c r="E103" s="70">
        <f>'Cleanup TMS'!G103</f>
        <v>70</v>
      </c>
      <c r="F103" s="71">
        <f>ROUND('Cleanup TMS'!H103,2)</f>
        <v>0.82</v>
      </c>
      <c r="G103" s="72" t="str">
        <f>'Cleanup TMS'!I103</f>
        <v>SR 93/I-75</v>
      </c>
      <c r="H103" s="72" t="str">
        <f>'Cleanup TMS'!J103</f>
        <v>SR 91/FLORIDAS TURNPIKE</v>
      </c>
      <c r="I103" s="72" t="str">
        <f>'Cleanup TMS'!K103</f>
        <v>SR 44</v>
      </c>
      <c r="J103" s="70">
        <f>'Cleanup TMS'!L103</f>
        <v>6</v>
      </c>
      <c r="K103" s="70">
        <v>6</v>
      </c>
      <c r="L103" s="70" t="s">
        <v>647</v>
      </c>
      <c r="M103" s="70" t="s">
        <v>153</v>
      </c>
      <c r="N103" s="152" t="s">
        <v>153</v>
      </c>
      <c r="O103" s="152" t="s">
        <v>547</v>
      </c>
      <c r="P103" s="70" t="str">
        <f>'Cleanup TMS'!V103</f>
        <v>STATE</v>
      </c>
      <c r="Q103" s="70" t="str">
        <f>'Cleanup TMS'!W103</f>
        <v>UNINCORPORATED SUMTER COUNTY</v>
      </c>
      <c r="R103" s="70" t="s">
        <v>4</v>
      </c>
      <c r="S103" s="73">
        <f>IF('Cleanup TMS'!AO103=0,"-",'Cleanup TMS'!AO103)</f>
        <v>69000</v>
      </c>
      <c r="T103" s="73">
        <f>'Cleanup TMS'!AP103</f>
        <v>91014.28571428638</v>
      </c>
      <c r="U103" s="71">
        <f>IF(OR('Cleanup TMS'!AQ103=0,'Cleanup TMS'!AQ103=""),"-",'Cleanup TMS'!AQ103)</f>
        <v>1.32</v>
      </c>
      <c r="V103" s="71" t="str">
        <f>IF(OR('Cleanup TMS'!AR103=0,'Cleanup TMS'!AR103=""),"-",'Cleanup TMS'!AR103)</f>
        <v>E</v>
      </c>
      <c r="W103" s="73">
        <f>IF('Cleanup TMS'!BB103=0,"-",'Cleanup TMS'!BB103)</f>
        <v>3990</v>
      </c>
      <c r="X103" s="73">
        <f>'Cleanup TMS'!BC103</f>
        <v>5122</v>
      </c>
      <c r="Y103" s="73">
        <f>'Cleanup TMS'!BD103</f>
        <v>4434</v>
      </c>
      <c r="Z103" s="74">
        <f>IF(OR('Cleanup TMS'!BE103=0,'Cleanup TMS'!BE103=""),"-",'Cleanup TMS'!BE103)</f>
        <v>1.28</v>
      </c>
      <c r="AA103" s="74" t="str">
        <f>IF(OR('Cleanup TMS'!BF103=0,'Cleanup TMS'!BF103=""),"-",'Cleanup TMS'!BF103)</f>
        <v>E</v>
      </c>
      <c r="AB103" s="148">
        <f>IF(OR('Cleanup TMS'!BI103="",'Cleanup TMS'!BI103=0),"-",'Cleanup TMS'!BI103)</f>
        <v>0.01</v>
      </c>
      <c r="AC103" s="73">
        <f>'Cleanup TMS'!BS103</f>
        <v>69000</v>
      </c>
      <c r="AD103" s="73">
        <f t="shared" si="7"/>
        <v>95657</v>
      </c>
      <c r="AE103" s="74">
        <f>IF(OR('Cleanup TMS'!BU103=0,'Cleanup TMS'!BU103=""),"-",'Cleanup TMS'!BU103)</f>
        <v>1.39</v>
      </c>
      <c r="AF103" s="74" t="str">
        <f>IF(OR('Cleanup TMS'!BV103=0,'Cleanup TMS'!BV103=""),"-",'Cleanup TMS'!BV103)</f>
        <v>F</v>
      </c>
      <c r="AG103" s="73">
        <f>'Cleanup TMS'!CF103</f>
        <v>3990</v>
      </c>
      <c r="AH103" s="73">
        <f t="shared" si="8"/>
        <v>5383</v>
      </c>
      <c r="AI103" s="73">
        <f t="shared" si="9"/>
        <v>4660</v>
      </c>
      <c r="AJ103" s="71">
        <f>IF(OR('Cleanup TMS'!CI103=0,'Cleanup TMS'!CI103=""),"-",'Cleanup TMS'!CI103)</f>
        <v>1.35</v>
      </c>
      <c r="AK103" s="75" t="str">
        <f>IF(OR('Cleanup TMS'!CJ103=0,'Cleanup TMS'!CJ103=""),"-",'Cleanup TMS'!CJ103)</f>
        <v>E</v>
      </c>
    </row>
    <row r="104" spans="1:37" ht="18.75" customHeight="1">
      <c r="A104" s="69">
        <f>'Cleanup TMS'!A104</f>
        <v>3546180</v>
      </c>
      <c r="B104" s="70">
        <f>'Cleanup TMS'!B104</f>
        <v>180188</v>
      </c>
      <c r="C104" s="70">
        <f>IF('Cleanup TMS'!E104="","",'Cleanup TMS'!E104)</f>
        <v>180188</v>
      </c>
      <c r="D104" s="70" t="str">
        <f>'Cleanup TMS'!F104</f>
        <v>FDOT</v>
      </c>
      <c r="E104" s="70">
        <f>'Cleanup TMS'!G104</f>
        <v>70</v>
      </c>
      <c r="F104" s="71">
        <f>ROUND('Cleanup TMS'!H104,2)</f>
        <v>6.37</v>
      </c>
      <c r="G104" s="72" t="str">
        <f>'Cleanup TMS'!I104</f>
        <v>SR 93/I-75</v>
      </c>
      <c r="H104" s="72" t="str">
        <f>'Cleanup TMS'!J104</f>
        <v>SR 44</v>
      </c>
      <c r="I104" s="72" t="str">
        <f>'Cleanup TMS'!K104</f>
        <v>MARION COUNTY BOUNDARY</v>
      </c>
      <c r="J104" s="70">
        <f>'Cleanup TMS'!L104</f>
        <v>6</v>
      </c>
      <c r="K104" s="70">
        <v>6</v>
      </c>
      <c r="L104" s="70" t="s">
        <v>647</v>
      </c>
      <c r="M104" s="70" t="s">
        <v>153</v>
      </c>
      <c r="N104" s="152" t="s">
        <v>153</v>
      </c>
      <c r="O104" s="152" t="s">
        <v>547</v>
      </c>
      <c r="P104" s="70" t="str">
        <f>'Cleanup TMS'!V104</f>
        <v>STATE</v>
      </c>
      <c r="Q104" s="70" t="str">
        <f>'Cleanup TMS'!W104</f>
        <v>UNINCORPORATED SUMTER COUNTY</v>
      </c>
      <c r="R104" s="70" t="s">
        <v>4</v>
      </c>
      <c r="S104" s="73">
        <f>IF('Cleanup TMS'!AO104=0,"-",'Cleanup TMS'!AO104)</f>
        <v>69000</v>
      </c>
      <c r="T104" s="73">
        <f>'Cleanup TMS'!AP104</f>
        <v>70250</v>
      </c>
      <c r="U104" s="71">
        <f>IF(OR('Cleanup TMS'!AQ104=0,'Cleanup TMS'!AQ104=""),"-",'Cleanup TMS'!AQ104)</f>
        <v>1.02</v>
      </c>
      <c r="V104" s="71" t="str">
        <f>IF(OR('Cleanup TMS'!AR104=0,'Cleanup TMS'!AR104=""),"-",'Cleanup TMS'!AR104)</f>
        <v>D</v>
      </c>
      <c r="W104" s="73">
        <f>IF('Cleanup TMS'!BB104=0,"-",'Cleanup TMS'!BB104)</f>
        <v>3990</v>
      </c>
      <c r="X104" s="73">
        <f>'Cleanup TMS'!BC104</f>
        <v>3954</v>
      </c>
      <c r="Y104" s="73">
        <f>'Cleanup TMS'!BD104</f>
        <v>3423</v>
      </c>
      <c r="Z104" s="74">
        <f>IF(OR('Cleanup TMS'!BE104=0,'Cleanup TMS'!BE104=""),"-",'Cleanup TMS'!BE104)</f>
        <v>0.99</v>
      </c>
      <c r="AA104" s="74" t="str">
        <f>IF(OR('Cleanup TMS'!BF104=0,'Cleanup TMS'!BF104=""),"-",'Cleanup TMS'!BF104)</f>
        <v>C</v>
      </c>
      <c r="AB104" s="148">
        <f>IF(OR('Cleanup TMS'!BI104="",'Cleanup TMS'!BI104=0),"-",'Cleanup TMS'!BI104)</f>
        <v>0.01</v>
      </c>
      <c r="AC104" s="73">
        <f>'Cleanup TMS'!BS104</f>
        <v>69000</v>
      </c>
      <c r="AD104" s="73">
        <f t="shared" si="7"/>
        <v>73833</v>
      </c>
      <c r="AE104" s="74">
        <f>IF(OR('Cleanup TMS'!BU104=0,'Cleanup TMS'!BU104=""),"-",'Cleanup TMS'!BU104)</f>
        <v>1.07</v>
      </c>
      <c r="AF104" s="74" t="str">
        <f>IF(OR('Cleanup TMS'!BV104=0,'Cleanup TMS'!BV104=""),"-",'Cleanup TMS'!BV104)</f>
        <v>D</v>
      </c>
      <c r="AG104" s="73">
        <f>'Cleanup TMS'!CF104</f>
        <v>3990</v>
      </c>
      <c r="AH104" s="73">
        <f t="shared" si="8"/>
        <v>4156</v>
      </c>
      <c r="AI104" s="73">
        <f t="shared" si="9"/>
        <v>3598</v>
      </c>
      <c r="AJ104" s="71">
        <f>IF(OR('Cleanup TMS'!CI104=0,'Cleanup TMS'!CI104=""),"-",'Cleanup TMS'!CI104)</f>
        <v>1.04</v>
      </c>
      <c r="AK104" s="75" t="str">
        <f>IF(OR('Cleanup TMS'!CJ104=0,'Cleanup TMS'!CJ104=""),"-",'Cleanup TMS'!CJ104)</f>
        <v>D</v>
      </c>
    </row>
    <row r="105" spans="1:37" ht="18.75" customHeight="1">
      <c r="A105" s="69">
        <f>'Cleanup TMS'!A105</f>
        <v>3547105</v>
      </c>
      <c r="B105" s="70">
        <f>'Cleanup TMS'!B105</f>
        <v>180209</v>
      </c>
      <c r="C105" s="70">
        <f>IF('Cleanup TMS'!E105="","",'Cleanup TMS'!E105)</f>
        <v>180209</v>
      </c>
      <c r="D105" s="70" t="str">
        <f>'Cleanup TMS'!F105</f>
        <v>FDOT</v>
      </c>
      <c r="E105" s="70">
        <f>'Cleanup TMS'!G105</f>
        <v>45</v>
      </c>
      <c r="F105" s="71">
        <f>ROUND('Cleanup TMS'!H105,2)</f>
        <v>0.51</v>
      </c>
      <c r="G105" s="72" t="str">
        <f>'Cleanup TMS'!I105</f>
        <v>US 27/US 441/SR 500</v>
      </c>
      <c r="H105" s="72" t="str">
        <f>'Cleanup TMS'!J105</f>
        <v>MARION COUNTY  BOUNDARY</v>
      </c>
      <c r="I105" s="72" t="str">
        <f>'Cleanup TMS'!K105</f>
        <v>BUENOS AIRES BLVD</v>
      </c>
      <c r="J105" s="70">
        <f>'Cleanup TMS'!L105</f>
        <v>6</v>
      </c>
      <c r="K105" s="70">
        <v>6</v>
      </c>
      <c r="L105" s="70" t="s">
        <v>646</v>
      </c>
      <c r="M105" s="70" t="s">
        <v>649</v>
      </c>
      <c r="N105" s="152" t="s">
        <v>651</v>
      </c>
      <c r="O105" s="152" t="s">
        <v>547</v>
      </c>
      <c r="P105" s="70" t="str">
        <f>'Cleanup TMS'!V105</f>
        <v>STATE</v>
      </c>
      <c r="Q105" s="70" t="str">
        <f>'Cleanup TMS'!W105</f>
        <v>UNINCORPORATED SUMTER COUNTY</v>
      </c>
      <c r="R105" s="70" t="s">
        <v>5</v>
      </c>
      <c r="S105" s="73">
        <f>IF('Cleanup TMS'!AO105=0,"-",'Cleanup TMS'!AO105)</f>
        <v>59900</v>
      </c>
      <c r="T105" s="73">
        <f>'Cleanup TMS'!AP105</f>
        <v>37300</v>
      </c>
      <c r="U105" s="71">
        <f>IF(OR('Cleanup TMS'!AQ105=0,'Cleanup TMS'!AQ105=""),"-",'Cleanup TMS'!AQ105)</f>
        <v>0.62</v>
      </c>
      <c r="V105" s="71" t="str">
        <f>IF(OR('Cleanup TMS'!AR105=0,'Cleanup TMS'!AR105=""),"-",'Cleanup TMS'!AR105)</f>
        <v>C</v>
      </c>
      <c r="W105" s="73">
        <f>IF('Cleanup TMS'!BB105=0,"-",'Cleanup TMS'!BB105)</f>
        <v>3020</v>
      </c>
      <c r="X105" s="73">
        <f>'Cleanup TMS'!BC105</f>
        <v>1301</v>
      </c>
      <c r="Y105" s="73">
        <f>'Cleanup TMS'!BD105</f>
        <v>1757</v>
      </c>
      <c r="Z105" s="74">
        <f>IF(OR('Cleanup TMS'!BE105=0,'Cleanup TMS'!BE105=""),"-",'Cleanup TMS'!BE105)</f>
        <v>0.57999999999999996</v>
      </c>
      <c r="AA105" s="74" t="str">
        <f>IF(OR('Cleanup TMS'!BF105=0,'Cleanup TMS'!BF105=""),"-",'Cleanup TMS'!BF105)</f>
        <v>C</v>
      </c>
      <c r="AB105" s="148">
        <f>IF(OR('Cleanup TMS'!BI105="",'Cleanup TMS'!BI105=0),"-",'Cleanup TMS'!BI105)</f>
        <v>0.01</v>
      </c>
      <c r="AC105" s="73">
        <f>'Cleanup TMS'!BS105</f>
        <v>59900</v>
      </c>
      <c r="AD105" s="73">
        <f t="shared" si="7"/>
        <v>39203</v>
      </c>
      <c r="AE105" s="74">
        <f>IF(OR('Cleanup TMS'!BU105=0,'Cleanup TMS'!BU105=""),"-",'Cleanup TMS'!BU105)</f>
        <v>0.65</v>
      </c>
      <c r="AF105" s="74" t="str">
        <f>IF(OR('Cleanup TMS'!BV105=0,'Cleanup TMS'!BV105=""),"-",'Cleanup TMS'!BV105)</f>
        <v>C</v>
      </c>
      <c r="AG105" s="73">
        <f>'Cleanup TMS'!CF105</f>
        <v>3020</v>
      </c>
      <c r="AH105" s="73">
        <f t="shared" si="8"/>
        <v>1367</v>
      </c>
      <c r="AI105" s="73">
        <f t="shared" si="9"/>
        <v>1847</v>
      </c>
      <c r="AJ105" s="71">
        <f>IF(OR('Cleanup TMS'!CI105=0,'Cleanup TMS'!CI105=""),"-",'Cleanup TMS'!CI105)</f>
        <v>0.61</v>
      </c>
      <c r="AK105" s="75" t="str">
        <f>IF(OR('Cleanup TMS'!CJ105=0,'Cleanup TMS'!CJ105=""),"-",'Cleanup TMS'!CJ105)</f>
        <v>C</v>
      </c>
    </row>
    <row r="106" spans="1:37" ht="18.75" customHeight="1">
      <c r="A106" s="69">
        <f>'Cleanup TMS'!A106</f>
        <v>3547120</v>
      </c>
      <c r="B106" s="70">
        <f>'Cleanup TMS'!B106</f>
        <v>180209</v>
      </c>
      <c r="C106" s="70">
        <f>IF('Cleanup TMS'!E106="","",'Cleanup TMS'!E106)</f>
        <v>180209</v>
      </c>
      <c r="D106" s="70" t="str">
        <f>'Cleanup TMS'!F106</f>
        <v>FDOT</v>
      </c>
      <c r="E106" s="70">
        <f>'Cleanup TMS'!G106</f>
        <v>45</v>
      </c>
      <c r="F106" s="71">
        <f>ROUND('Cleanup TMS'!H106,2)</f>
        <v>0.51</v>
      </c>
      <c r="G106" s="72" t="str">
        <f>'Cleanup TMS'!I106</f>
        <v>US 27/US 441/SR 500</v>
      </c>
      <c r="H106" s="72" t="str">
        <f>'Cleanup TMS'!J106</f>
        <v>BUENOS AIRES BLVD</v>
      </c>
      <c r="I106" s="72" t="str">
        <f>'Cleanup TMS'!K106</f>
        <v>MORSE BLVD</v>
      </c>
      <c r="J106" s="70">
        <f>'Cleanup TMS'!L106</f>
        <v>6</v>
      </c>
      <c r="K106" s="70">
        <v>6</v>
      </c>
      <c r="L106" s="70" t="s">
        <v>646</v>
      </c>
      <c r="M106" s="70" t="s">
        <v>649</v>
      </c>
      <c r="N106" s="152" t="s">
        <v>651</v>
      </c>
      <c r="O106" s="152" t="s">
        <v>547</v>
      </c>
      <c r="P106" s="70" t="str">
        <f>'Cleanup TMS'!V106</f>
        <v>STATE</v>
      </c>
      <c r="Q106" s="70" t="str">
        <f>'Cleanup TMS'!W106</f>
        <v>UNINCORPORATED SUMTER COUNTY</v>
      </c>
      <c r="R106" s="70" t="s">
        <v>5</v>
      </c>
      <c r="S106" s="73">
        <f>IF('Cleanup TMS'!AO106=0,"-",'Cleanup TMS'!AO106)</f>
        <v>59900</v>
      </c>
      <c r="T106" s="73">
        <f>'Cleanup TMS'!AP106</f>
        <v>37300</v>
      </c>
      <c r="U106" s="71">
        <f>IF(OR('Cleanup TMS'!AQ106=0,'Cleanup TMS'!AQ106=""),"-",'Cleanup TMS'!AQ106)</f>
        <v>0.62</v>
      </c>
      <c r="V106" s="71" t="str">
        <f>IF(OR('Cleanup TMS'!AR106=0,'Cleanup TMS'!AR106=""),"-",'Cleanup TMS'!AR106)</f>
        <v>C</v>
      </c>
      <c r="W106" s="73">
        <f>IF('Cleanup TMS'!BB106=0,"-",'Cleanup TMS'!BB106)</f>
        <v>3020</v>
      </c>
      <c r="X106" s="73">
        <f>'Cleanup TMS'!BC106</f>
        <v>1301</v>
      </c>
      <c r="Y106" s="73">
        <f>'Cleanup TMS'!BD106</f>
        <v>1757</v>
      </c>
      <c r="Z106" s="74">
        <f>IF(OR('Cleanup TMS'!BE106=0,'Cleanup TMS'!BE106=""),"-",'Cleanup TMS'!BE106)</f>
        <v>0.57999999999999996</v>
      </c>
      <c r="AA106" s="74" t="str">
        <f>IF(OR('Cleanup TMS'!BF106=0,'Cleanup TMS'!BF106=""),"-",'Cleanup TMS'!BF106)</f>
        <v>C</v>
      </c>
      <c r="AB106" s="148">
        <f>IF(OR('Cleanup TMS'!BI106="",'Cleanup TMS'!BI106=0),"-",'Cleanup TMS'!BI106)</f>
        <v>0.01</v>
      </c>
      <c r="AC106" s="73">
        <f>'Cleanup TMS'!BS106</f>
        <v>59900</v>
      </c>
      <c r="AD106" s="73">
        <f t="shared" si="7"/>
        <v>39203</v>
      </c>
      <c r="AE106" s="74">
        <f>IF(OR('Cleanup TMS'!BU106=0,'Cleanup TMS'!BU106=""),"-",'Cleanup TMS'!BU106)</f>
        <v>0.65</v>
      </c>
      <c r="AF106" s="74" t="str">
        <f>IF(OR('Cleanup TMS'!BV106=0,'Cleanup TMS'!BV106=""),"-",'Cleanup TMS'!BV106)</f>
        <v>C</v>
      </c>
      <c r="AG106" s="73">
        <f>'Cleanup TMS'!CF106</f>
        <v>3020</v>
      </c>
      <c r="AH106" s="73">
        <f t="shared" si="8"/>
        <v>1367</v>
      </c>
      <c r="AI106" s="73">
        <f t="shared" si="9"/>
        <v>1847</v>
      </c>
      <c r="AJ106" s="71">
        <f>IF(OR('Cleanup TMS'!CI106=0,'Cleanup TMS'!CI106=""),"-",'Cleanup TMS'!CI106)</f>
        <v>0.61</v>
      </c>
      <c r="AK106" s="75" t="str">
        <f>IF(OR('Cleanup TMS'!CJ106=0,'Cleanup TMS'!CJ106=""),"-",'Cleanup TMS'!CJ106)</f>
        <v>C</v>
      </c>
    </row>
    <row r="107" spans="1:37" ht="18.75" customHeight="1">
      <c r="A107" s="69">
        <f>'Cleanup TMS'!A107</f>
        <v>3549100</v>
      </c>
      <c r="B107" s="70">
        <f>'Cleanup TMS'!B107</f>
        <v>60</v>
      </c>
      <c r="C107" s="70" t="str">
        <f>IF('Cleanup TMS'!E107="","",'Cleanup TMS'!E107)</f>
        <v/>
      </c>
      <c r="D107" s="70" t="str">
        <f>'Cleanup TMS'!F107</f>
        <v>SUMTER</v>
      </c>
      <c r="E107" s="70">
        <f>'Cleanup TMS'!G107</f>
        <v>55</v>
      </c>
      <c r="F107" s="71">
        <f>ROUND('Cleanup TMS'!H107,2)</f>
        <v>1.34</v>
      </c>
      <c r="G107" s="72" t="str">
        <f>'Cleanup TMS'!I107</f>
        <v>CR 476 W</v>
      </c>
      <c r="H107" s="72" t="str">
        <f>'Cleanup TMS'!J107</f>
        <v>HERNANDO COUNTY BOUNDARY</v>
      </c>
      <c r="I107" s="72" t="str">
        <f>'Cleanup TMS'!K107</f>
        <v>CR 575</v>
      </c>
      <c r="J107" s="70">
        <f>'Cleanup TMS'!L107</f>
        <v>2</v>
      </c>
      <c r="K107" s="70">
        <v>2</v>
      </c>
      <c r="L107" s="70" t="s">
        <v>646</v>
      </c>
      <c r="M107" s="70" t="s">
        <v>648</v>
      </c>
      <c r="N107" s="152" t="s">
        <v>652</v>
      </c>
      <c r="O107" s="152" t="s">
        <v>547</v>
      </c>
      <c r="P107" s="70" t="str">
        <f>'Cleanup TMS'!V107</f>
        <v>COUNTY</v>
      </c>
      <c r="Q107" s="70" t="str">
        <f>'Cleanup TMS'!W107</f>
        <v>UNINCORPORATED SUMTER COUNTY</v>
      </c>
      <c r="R107" s="70" t="s">
        <v>4</v>
      </c>
      <c r="S107" s="73">
        <f>IF('Cleanup TMS'!AO107=0,"-",'Cleanup TMS'!AO107)</f>
        <v>18000</v>
      </c>
      <c r="T107" s="73">
        <f>'Cleanup TMS'!AP107</f>
        <v>5028</v>
      </c>
      <c r="U107" s="71">
        <f>IF(OR('Cleanup TMS'!AQ107=0,'Cleanup TMS'!AQ107=""),"-",'Cleanup TMS'!AQ107)</f>
        <v>0.28000000000000003</v>
      </c>
      <c r="V107" s="71" t="str">
        <f>IF(OR('Cleanup TMS'!AR107=0,'Cleanup TMS'!AR107=""),"-",'Cleanup TMS'!AR107)</f>
        <v>B</v>
      </c>
      <c r="W107" s="73">
        <f>IF('Cleanup TMS'!BB107=0,"-",'Cleanup TMS'!BB107)</f>
        <v>890</v>
      </c>
      <c r="X107" s="73">
        <f>'Cleanup TMS'!BC107</f>
        <v>168</v>
      </c>
      <c r="Y107" s="73">
        <f>'Cleanup TMS'!BD107</f>
        <v>250</v>
      </c>
      <c r="Z107" s="74">
        <f>IF(OR('Cleanup TMS'!BE107=0,'Cleanup TMS'!BE107=""),"-",'Cleanup TMS'!BE107)</f>
        <v>0.28000000000000003</v>
      </c>
      <c r="AA107" s="74" t="str">
        <f>IF(OR('Cleanup TMS'!BF107=0,'Cleanup TMS'!BF107=""),"-",'Cleanup TMS'!BF107)</f>
        <v>B</v>
      </c>
      <c r="AB107" s="148">
        <f>IF(OR('Cleanup TMS'!BI107="",'Cleanup TMS'!BI107=0),"-",'Cleanup TMS'!BI107)</f>
        <v>4.2500000000000003E-2</v>
      </c>
      <c r="AC107" s="73">
        <f>'Cleanup TMS'!BS107</f>
        <v>18000</v>
      </c>
      <c r="AD107" s="73">
        <f t="shared" si="7"/>
        <v>6191</v>
      </c>
      <c r="AE107" s="74">
        <f>IF(OR('Cleanup TMS'!BU107=0,'Cleanup TMS'!BU107=""),"-",'Cleanup TMS'!BU107)</f>
        <v>0.34</v>
      </c>
      <c r="AF107" s="74" t="str">
        <f>IF(OR('Cleanup TMS'!BV107=0,'Cleanup TMS'!BV107=""),"-",'Cleanup TMS'!BV107)</f>
        <v>B</v>
      </c>
      <c r="AG107" s="73">
        <f>'Cleanup TMS'!CF107</f>
        <v>890</v>
      </c>
      <c r="AH107" s="73">
        <f t="shared" si="8"/>
        <v>207</v>
      </c>
      <c r="AI107" s="73">
        <f t="shared" si="9"/>
        <v>308</v>
      </c>
      <c r="AJ107" s="71">
        <f>IF(OR('Cleanup TMS'!CI107=0,'Cleanup TMS'!CI107=""),"-",'Cleanup TMS'!CI107)</f>
        <v>0.35</v>
      </c>
      <c r="AK107" s="75" t="str">
        <f>IF(OR('Cleanup TMS'!CJ107=0,'Cleanup TMS'!CJ107=""),"-",'Cleanup TMS'!CJ107)</f>
        <v>B</v>
      </c>
    </row>
    <row r="108" spans="1:37" ht="18.75" customHeight="1">
      <c r="A108" s="69">
        <f>'Cleanup TMS'!A108</f>
        <v>3549110</v>
      </c>
      <c r="B108" s="70">
        <f>'Cleanup TMS'!B108</f>
        <v>61</v>
      </c>
      <c r="C108" s="70" t="str">
        <f>IF('Cleanup TMS'!E108="","",'Cleanup TMS'!E108)</f>
        <v/>
      </c>
      <c r="D108" s="70" t="str">
        <f>'Cleanup TMS'!F108</f>
        <v>SUMTER</v>
      </c>
      <c r="E108" s="70">
        <f>'Cleanup TMS'!G108</f>
        <v>45</v>
      </c>
      <c r="F108" s="71">
        <f>ROUND('Cleanup TMS'!H108,2)</f>
        <v>2.0099999999999998</v>
      </c>
      <c r="G108" s="72" t="str">
        <f>'Cleanup TMS'!I108</f>
        <v>CR 476 W</v>
      </c>
      <c r="H108" s="72" t="str">
        <f>'Cleanup TMS'!J108</f>
        <v>CR 575</v>
      </c>
      <c r="I108" s="72" t="str">
        <f>'Cleanup TMS'!K108</f>
        <v>CR 476B</v>
      </c>
      <c r="J108" s="70">
        <f>'Cleanup TMS'!L108</f>
        <v>2</v>
      </c>
      <c r="K108" s="70">
        <v>2</v>
      </c>
      <c r="L108" s="70" t="s">
        <v>646</v>
      </c>
      <c r="M108" s="70" t="s">
        <v>648</v>
      </c>
      <c r="N108" s="152" t="s">
        <v>652</v>
      </c>
      <c r="O108" s="152" t="s">
        <v>547</v>
      </c>
      <c r="P108" s="70" t="str">
        <f>'Cleanup TMS'!V108</f>
        <v>COUNTY</v>
      </c>
      <c r="Q108" s="70" t="str">
        <f>'Cleanup TMS'!W108</f>
        <v>UNINCORPORATED SUMTER COUNTY</v>
      </c>
      <c r="R108" s="70" t="s">
        <v>4</v>
      </c>
      <c r="S108" s="73">
        <f>IF('Cleanup TMS'!AO108=0,"-",'Cleanup TMS'!AO108)</f>
        <v>18000</v>
      </c>
      <c r="T108" s="73">
        <f>'Cleanup TMS'!AP108</f>
        <v>5905</v>
      </c>
      <c r="U108" s="71">
        <f>IF(OR('Cleanup TMS'!AQ108=0,'Cleanup TMS'!AQ108=""),"-",'Cleanup TMS'!AQ108)</f>
        <v>0.33</v>
      </c>
      <c r="V108" s="71" t="str">
        <f>IF(OR('Cleanup TMS'!AR108=0,'Cleanup TMS'!AR108=""),"-",'Cleanup TMS'!AR108)</f>
        <v>B</v>
      </c>
      <c r="W108" s="73">
        <f>IF('Cleanup TMS'!BB108=0,"-",'Cleanup TMS'!BB108)</f>
        <v>890</v>
      </c>
      <c r="X108" s="73">
        <f>'Cleanup TMS'!BC108</f>
        <v>180</v>
      </c>
      <c r="Y108" s="73">
        <f>'Cleanup TMS'!BD108</f>
        <v>310</v>
      </c>
      <c r="Z108" s="74">
        <f>IF(OR('Cleanup TMS'!BE108=0,'Cleanup TMS'!BE108=""),"-",'Cleanup TMS'!BE108)</f>
        <v>0.35</v>
      </c>
      <c r="AA108" s="74" t="str">
        <f>IF(OR('Cleanup TMS'!BF108=0,'Cleanup TMS'!BF108=""),"-",'Cleanup TMS'!BF108)</f>
        <v>B</v>
      </c>
      <c r="AB108" s="148">
        <f>IF(OR('Cleanup TMS'!BI108="",'Cleanup TMS'!BI108=0),"-",'Cleanup TMS'!BI108)</f>
        <v>3.2500000000000001E-2</v>
      </c>
      <c r="AC108" s="73">
        <f>'Cleanup TMS'!BS108</f>
        <v>18000</v>
      </c>
      <c r="AD108" s="73">
        <f t="shared" si="7"/>
        <v>6929</v>
      </c>
      <c r="AE108" s="74">
        <f>IF(OR('Cleanup TMS'!BU108=0,'Cleanup TMS'!BU108=""),"-",'Cleanup TMS'!BU108)</f>
        <v>0.38</v>
      </c>
      <c r="AF108" s="74" t="str">
        <f>IF(OR('Cleanup TMS'!BV108=0,'Cleanup TMS'!BV108=""),"-",'Cleanup TMS'!BV108)</f>
        <v>B</v>
      </c>
      <c r="AG108" s="73">
        <f>'Cleanup TMS'!CF108</f>
        <v>890</v>
      </c>
      <c r="AH108" s="73">
        <f t="shared" si="8"/>
        <v>211</v>
      </c>
      <c r="AI108" s="73">
        <f t="shared" si="9"/>
        <v>364</v>
      </c>
      <c r="AJ108" s="71">
        <f>IF(OR('Cleanup TMS'!CI108=0,'Cleanup TMS'!CI108=""),"-",'Cleanup TMS'!CI108)</f>
        <v>0.41</v>
      </c>
      <c r="AK108" s="75" t="str">
        <f>IF(OR('Cleanup TMS'!CJ108=0,'Cleanup TMS'!CJ108=""),"-",'Cleanup TMS'!CJ108)</f>
        <v>B</v>
      </c>
    </row>
    <row r="109" spans="1:37" ht="18.75" customHeight="1">
      <c r="A109" s="69">
        <f>'Cleanup TMS'!A109</f>
        <v>3549120</v>
      </c>
      <c r="B109" s="70">
        <f>'Cleanup TMS'!B109</f>
        <v>62</v>
      </c>
      <c r="C109" s="70" t="str">
        <f>IF('Cleanup TMS'!E109="","",'Cleanup TMS'!E109)</f>
        <v/>
      </c>
      <c r="D109" s="70" t="str">
        <f>'Cleanup TMS'!F109</f>
        <v>SUMTER</v>
      </c>
      <c r="E109" s="70">
        <f>'Cleanup TMS'!G109</f>
        <v>45</v>
      </c>
      <c r="F109" s="71">
        <f>ROUND('Cleanup TMS'!H109,2)</f>
        <v>1.55</v>
      </c>
      <c r="G109" s="72" t="str">
        <f>'Cleanup TMS'!I109</f>
        <v>CR 476 W</v>
      </c>
      <c r="H109" s="72" t="str">
        <f>'Cleanup TMS'!J109</f>
        <v>CR 476B</v>
      </c>
      <c r="I109" s="72" t="str">
        <f>'Cleanup TMS'!K109</f>
        <v>CR 625</v>
      </c>
      <c r="J109" s="70">
        <f>'Cleanup TMS'!L109</f>
        <v>2</v>
      </c>
      <c r="K109" s="70">
        <v>2</v>
      </c>
      <c r="L109" s="70" t="s">
        <v>646</v>
      </c>
      <c r="M109" s="70" t="s">
        <v>648</v>
      </c>
      <c r="N109" s="152" t="s">
        <v>652</v>
      </c>
      <c r="O109" s="152" t="s">
        <v>547</v>
      </c>
      <c r="P109" s="70" t="str">
        <f>'Cleanup TMS'!V109</f>
        <v>COUNTY</v>
      </c>
      <c r="Q109" s="70" t="str">
        <f>'Cleanup TMS'!W109</f>
        <v>UNINCORPORATED SUMTER COUNTY</v>
      </c>
      <c r="R109" s="70" t="s">
        <v>4</v>
      </c>
      <c r="S109" s="73">
        <f>IF('Cleanup TMS'!AO109=0,"-",'Cleanup TMS'!AO109)</f>
        <v>18000</v>
      </c>
      <c r="T109" s="73">
        <f>'Cleanup TMS'!AP109</f>
        <v>5405</v>
      </c>
      <c r="U109" s="71">
        <f>IF(OR('Cleanup TMS'!AQ109=0,'Cleanup TMS'!AQ109=""),"-",'Cleanup TMS'!AQ109)</f>
        <v>0.3</v>
      </c>
      <c r="V109" s="71" t="str">
        <f>IF(OR('Cleanup TMS'!AR109=0,'Cleanup TMS'!AR109=""),"-",'Cleanup TMS'!AR109)</f>
        <v>B</v>
      </c>
      <c r="W109" s="73">
        <f>IF('Cleanup TMS'!BB109=0,"-",'Cleanup TMS'!BB109)</f>
        <v>890</v>
      </c>
      <c r="X109" s="73">
        <f>'Cleanup TMS'!BC109</f>
        <v>173</v>
      </c>
      <c r="Y109" s="73">
        <f>'Cleanup TMS'!BD109</f>
        <v>290</v>
      </c>
      <c r="Z109" s="74">
        <f>IF(OR('Cleanup TMS'!BE109=0,'Cleanup TMS'!BE109=""),"-",'Cleanup TMS'!BE109)</f>
        <v>0.33</v>
      </c>
      <c r="AA109" s="74" t="str">
        <f>IF(OR('Cleanup TMS'!BF109=0,'Cleanup TMS'!BF109=""),"-",'Cleanup TMS'!BF109)</f>
        <v>B</v>
      </c>
      <c r="AB109" s="148">
        <f>IF(OR('Cleanup TMS'!BI109="",'Cleanup TMS'!BI109=0),"-",'Cleanup TMS'!BI109)</f>
        <v>2.2499999999999999E-2</v>
      </c>
      <c r="AC109" s="73">
        <f>'Cleanup TMS'!BS109</f>
        <v>18000</v>
      </c>
      <c r="AD109" s="73">
        <f t="shared" si="7"/>
        <v>6041</v>
      </c>
      <c r="AE109" s="74">
        <f>IF(OR('Cleanup TMS'!BU109=0,'Cleanup TMS'!BU109=""),"-",'Cleanup TMS'!BU109)</f>
        <v>0.34</v>
      </c>
      <c r="AF109" s="74" t="str">
        <f>IF(OR('Cleanup TMS'!BV109=0,'Cleanup TMS'!BV109=""),"-",'Cleanup TMS'!BV109)</f>
        <v>B</v>
      </c>
      <c r="AG109" s="73">
        <f>'Cleanup TMS'!CF109</f>
        <v>890</v>
      </c>
      <c r="AH109" s="73">
        <f t="shared" si="8"/>
        <v>193</v>
      </c>
      <c r="AI109" s="73">
        <f t="shared" si="9"/>
        <v>324</v>
      </c>
      <c r="AJ109" s="71">
        <f>IF(OR('Cleanup TMS'!CI109=0,'Cleanup TMS'!CI109=""),"-",'Cleanup TMS'!CI109)</f>
        <v>0.36</v>
      </c>
      <c r="AK109" s="75" t="str">
        <f>IF(OR('Cleanup TMS'!CJ109=0,'Cleanup TMS'!CJ109=""),"-",'Cleanup TMS'!CJ109)</f>
        <v>B</v>
      </c>
    </row>
    <row r="110" spans="1:37" ht="18.75" customHeight="1">
      <c r="A110" s="69">
        <f>'Cleanup TMS'!A110</f>
        <v>3549130</v>
      </c>
      <c r="B110" s="70">
        <f>'Cleanup TMS'!B110</f>
        <v>56</v>
      </c>
      <c r="C110" s="70" t="str">
        <f>IF('Cleanup TMS'!E110="","",'Cleanup TMS'!E110)</f>
        <v/>
      </c>
      <c r="D110" s="70" t="str">
        <f>'Cleanup TMS'!F110</f>
        <v>SUMTER</v>
      </c>
      <c r="E110" s="70">
        <f>'Cleanup TMS'!G110</f>
        <v>45</v>
      </c>
      <c r="F110" s="71">
        <f>ROUND('Cleanup TMS'!H110,2)</f>
        <v>1.82</v>
      </c>
      <c r="G110" s="72" t="str">
        <f>'Cleanup TMS'!I110</f>
        <v>CR 476 W</v>
      </c>
      <c r="H110" s="72" t="str">
        <f>'Cleanup TMS'!J110</f>
        <v>CR 625</v>
      </c>
      <c r="I110" s="72" t="str">
        <f>'Cleanup TMS'!K110</f>
        <v>CR 616</v>
      </c>
      <c r="J110" s="70">
        <f>'Cleanup TMS'!L110</f>
        <v>2</v>
      </c>
      <c r="K110" s="70">
        <v>2</v>
      </c>
      <c r="L110" s="70" t="s">
        <v>646</v>
      </c>
      <c r="M110" s="70" t="s">
        <v>648</v>
      </c>
      <c r="N110" s="152" t="s">
        <v>652</v>
      </c>
      <c r="O110" s="152" t="s">
        <v>547</v>
      </c>
      <c r="P110" s="70" t="str">
        <f>'Cleanup TMS'!V110</f>
        <v>COUNTY</v>
      </c>
      <c r="Q110" s="70" t="str">
        <f>'Cleanup TMS'!W110</f>
        <v>BUSHNELL</v>
      </c>
      <c r="R110" s="70" t="s">
        <v>5</v>
      </c>
      <c r="S110" s="73">
        <f>IF('Cleanup TMS'!AO110=0,"-",'Cleanup TMS'!AO110)</f>
        <v>24200</v>
      </c>
      <c r="T110" s="73">
        <f>'Cleanup TMS'!AP110</f>
        <v>5802</v>
      </c>
      <c r="U110" s="71">
        <f>IF(OR('Cleanup TMS'!AQ110=0,'Cleanup TMS'!AQ110=""),"-",'Cleanup TMS'!AQ110)</f>
        <v>0.24</v>
      </c>
      <c r="V110" s="71" t="str">
        <f>IF(OR('Cleanup TMS'!AR110=0,'Cleanup TMS'!AR110=""),"-",'Cleanup TMS'!AR110)</f>
        <v>B</v>
      </c>
      <c r="W110" s="73">
        <f>IF('Cleanup TMS'!BB110=0,"-",'Cleanup TMS'!BB110)</f>
        <v>1200</v>
      </c>
      <c r="X110" s="73">
        <f>'Cleanup TMS'!BC110</f>
        <v>186</v>
      </c>
      <c r="Y110" s="73">
        <f>'Cleanup TMS'!BD110</f>
        <v>327</v>
      </c>
      <c r="Z110" s="74">
        <f>IF(OR('Cleanup TMS'!BE110=0,'Cleanup TMS'!BE110=""),"-",'Cleanup TMS'!BE110)</f>
        <v>0.27</v>
      </c>
      <c r="AA110" s="74" t="str">
        <f>IF(OR('Cleanup TMS'!BF110=0,'Cleanup TMS'!BF110=""),"-",'Cleanup TMS'!BF110)</f>
        <v>B</v>
      </c>
      <c r="AB110" s="148">
        <f>IF(OR('Cleanup TMS'!BI110="",'Cleanup TMS'!BI110=0),"-",'Cleanup TMS'!BI110)</f>
        <v>1.7500000000000002E-2</v>
      </c>
      <c r="AC110" s="73">
        <f>'Cleanup TMS'!BS110</f>
        <v>24200</v>
      </c>
      <c r="AD110" s="73">
        <f t="shared" si="7"/>
        <v>6328</v>
      </c>
      <c r="AE110" s="74">
        <f>IF(OR('Cleanup TMS'!BU110=0,'Cleanup TMS'!BU110=""),"-",'Cleanup TMS'!BU110)</f>
        <v>0.26</v>
      </c>
      <c r="AF110" s="74" t="str">
        <f>IF(OR('Cleanup TMS'!BV110=0,'Cleanup TMS'!BV110=""),"-",'Cleanup TMS'!BV110)</f>
        <v>B</v>
      </c>
      <c r="AG110" s="73">
        <f>'Cleanup TMS'!CF110</f>
        <v>1200</v>
      </c>
      <c r="AH110" s="73">
        <f t="shared" si="8"/>
        <v>203</v>
      </c>
      <c r="AI110" s="73">
        <f t="shared" si="9"/>
        <v>357</v>
      </c>
      <c r="AJ110" s="71">
        <f>IF(OR('Cleanup TMS'!CI110=0,'Cleanup TMS'!CI110=""),"-",'Cleanup TMS'!CI110)</f>
        <v>0.3</v>
      </c>
      <c r="AK110" s="75" t="str">
        <f>IF(OR('Cleanup TMS'!CJ110=0,'Cleanup TMS'!CJ110=""),"-",'Cleanup TMS'!CJ110)</f>
        <v>B</v>
      </c>
    </row>
    <row r="111" spans="1:37" ht="18.75" customHeight="1">
      <c r="A111" s="69">
        <f>'Cleanup TMS'!A111</f>
        <v>3549140</v>
      </c>
      <c r="B111" s="70">
        <f>'Cleanup TMS'!B111</f>
        <v>63</v>
      </c>
      <c r="C111" s="70" t="str">
        <f>IF('Cleanup TMS'!E111="","",'Cleanup TMS'!E111)</f>
        <v/>
      </c>
      <c r="D111" s="70" t="str">
        <f>'Cleanup TMS'!F111</f>
        <v>SUMTER</v>
      </c>
      <c r="E111" s="70">
        <f>'Cleanup TMS'!G111</f>
        <v>45</v>
      </c>
      <c r="F111" s="71">
        <f>ROUND('Cleanup TMS'!H111,2)</f>
        <v>2.34</v>
      </c>
      <c r="G111" s="72" t="str">
        <f>'Cleanup TMS'!I111</f>
        <v>CR 476 W</v>
      </c>
      <c r="H111" s="72" t="str">
        <f>'Cleanup TMS'!J111</f>
        <v>CR 616</v>
      </c>
      <c r="I111" s="72" t="str">
        <f>'Cleanup TMS'!K111</f>
        <v>US 301/SR 35</v>
      </c>
      <c r="J111" s="70">
        <f>'Cleanup TMS'!L111</f>
        <v>2</v>
      </c>
      <c r="K111" s="70">
        <v>2</v>
      </c>
      <c r="L111" s="70" t="s">
        <v>646</v>
      </c>
      <c r="M111" s="70" t="s">
        <v>648</v>
      </c>
      <c r="N111" s="152" t="s">
        <v>652</v>
      </c>
      <c r="O111" s="152" t="s">
        <v>547</v>
      </c>
      <c r="P111" s="70" t="str">
        <f>'Cleanup TMS'!V111</f>
        <v>COUNTY</v>
      </c>
      <c r="Q111" s="70" t="str">
        <f>'Cleanup TMS'!W111</f>
        <v>BUSHNELL</v>
      </c>
      <c r="R111" s="70" t="s">
        <v>5</v>
      </c>
      <c r="S111" s="73">
        <f>IF('Cleanup TMS'!AO111=0,"-",'Cleanup TMS'!AO111)</f>
        <v>24200</v>
      </c>
      <c r="T111" s="73">
        <f>'Cleanup TMS'!AP111</f>
        <v>5572</v>
      </c>
      <c r="U111" s="71">
        <f>IF(OR('Cleanup TMS'!AQ111=0,'Cleanup TMS'!AQ111=""),"-",'Cleanup TMS'!AQ111)</f>
        <v>0.23</v>
      </c>
      <c r="V111" s="71" t="str">
        <f>IF(OR('Cleanup TMS'!AR111=0,'Cleanup TMS'!AR111=""),"-",'Cleanup TMS'!AR111)</f>
        <v>B</v>
      </c>
      <c r="W111" s="73">
        <f>IF('Cleanup TMS'!BB111=0,"-",'Cleanup TMS'!BB111)</f>
        <v>1200</v>
      </c>
      <c r="X111" s="73">
        <f>'Cleanup TMS'!BC111</f>
        <v>223</v>
      </c>
      <c r="Y111" s="73">
        <f>'Cleanup TMS'!BD111</f>
        <v>328</v>
      </c>
      <c r="Z111" s="74">
        <f>IF(OR('Cleanup TMS'!BE111=0,'Cleanup TMS'!BE111=""),"-",'Cleanup TMS'!BE111)</f>
        <v>0.27</v>
      </c>
      <c r="AA111" s="74" t="str">
        <f>IF(OR('Cleanup TMS'!BF111=0,'Cleanup TMS'!BF111=""),"-",'Cleanup TMS'!BF111)</f>
        <v>B</v>
      </c>
      <c r="AB111" s="148">
        <f>IF(OR('Cleanup TMS'!BI111="",'Cleanup TMS'!BI111=0),"-",'Cleanup TMS'!BI111)</f>
        <v>0.04</v>
      </c>
      <c r="AC111" s="73">
        <f>'Cleanup TMS'!BS111</f>
        <v>24200</v>
      </c>
      <c r="AD111" s="73">
        <f t="shared" si="7"/>
        <v>6779</v>
      </c>
      <c r="AE111" s="74">
        <f>IF(OR('Cleanup TMS'!BU111=0,'Cleanup TMS'!BU111=""),"-",'Cleanup TMS'!BU111)</f>
        <v>0.28000000000000003</v>
      </c>
      <c r="AF111" s="74" t="str">
        <f>IF(OR('Cleanup TMS'!BV111=0,'Cleanup TMS'!BV111=""),"-",'Cleanup TMS'!BV111)</f>
        <v>B</v>
      </c>
      <c r="AG111" s="73">
        <f>'Cleanup TMS'!CF111</f>
        <v>1200</v>
      </c>
      <c r="AH111" s="73">
        <f t="shared" si="8"/>
        <v>271</v>
      </c>
      <c r="AI111" s="73">
        <f t="shared" si="9"/>
        <v>399</v>
      </c>
      <c r="AJ111" s="71">
        <f>IF(OR('Cleanup TMS'!CI111=0,'Cleanup TMS'!CI111=""),"-",'Cleanup TMS'!CI111)</f>
        <v>0.33</v>
      </c>
      <c r="AK111" s="75" t="str">
        <f>IF(OR('Cleanup TMS'!CJ111=0,'Cleanup TMS'!CJ111=""),"-",'Cleanup TMS'!CJ111)</f>
        <v>B</v>
      </c>
    </row>
    <row r="112" spans="1:37" ht="18.75" customHeight="1">
      <c r="A112" s="69">
        <f>'Cleanup TMS'!A112</f>
        <v>3549160</v>
      </c>
      <c r="B112" s="70">
        <f>'Cleanup TMS'!B112</f>
        <v>54</v>
      </c>
      <c r="C112" s="70" t="str">
        <f>IF('Cleanup TMS'!E112="","",'Cleanup TMS'!E112)</f>
        <v/>
      </c>
      <c r="D112" s="70" t="str">
        <f>'Cleanup TMS'!F112</f>
        <v>SUMTER</v>
      </c>
      <c r="E112" s="70">
        <f>'Cleanup TMS'!G112</f>
        <v>30</v>
      </c>
      <c r="F112" s="71">
        <f>ROUND('Cleanup TMS'!H112,2)</f>
        <v>0.27</v>
      </c>
      <c r="G112" s="72" t="str">
        <f>'Cleanup TMS'!I112</f>
        <v>CR 476 (SEMINOLE AVE)</v>
      </c>
      <c r="H112" s="72" t="str">
        <f>'Cleanup TMS'!J112</f>
        <v>US 301/SR 35</v>
      </c>
      <c r="I112" s="72" t="str">
        <f>'Cleanup TMS'!K112</f>
        <v>CR 48</v>
      </c>
      <c r="J112" s="70">
        <f>'Cleanup TMS'!L112</f>
        <v>2</v>
      </c>
      <c r="K112" s="70">
        <v>2</v>
      </c>
      <c r="L112" s="70" t="s">
        <v>646</v>
      </c>
      <c r="M112" s="70" t="s">
        <v>648</v>
      </c>
      <c r="N112" s="152" t="s">
        <v>651</v>
      </c>
      <c r="O112" s="152" t="s">
        <v>547</v>
      </c>
      <c r="P112" s="70" t="str">
        <f>'Cleanup TMS'!V112</f>
        <v>COUNTY</v>
      </c>
      <c r="Q112" s="70" t="str">
        <f>'Cleanup TMS'!W112</f>
        <v>BUSHNELL</v>
      </c>
      <c r="R112" s="70" t="s">
        <v>5</v>
      </c>
      <c r="S112" s="73">
        <f>IF('Cleanup TMS'!AO112=0,"-",'Cleanup TMS'!AO112)</f>
        <v>10360</v>
      </c>
      <c r="T112" s="73">
        <f>'Cleanup TMS'!AP112</f>
        <v>5832</v>
      </c>
      <c r="U112" s="71">
        <f>IF(OR('Cleanup TMS'!AQ112=0,'Cleanup TMS'!AQ112=""),"-",'Cleanup TMS'!AQ112)</f>
        <v>0.56000000000000005</v>
      </c>
      <c r="V112" s="71" t="str">
        <f>IF(OR('Cleanup TMS'!AR112=0,'Cleanup TMS'!AR112=""),"-",'Cleanup TMS'!AR112)</f>
        <v>D</v>
      </c>
      <c r="W112" s="73">
        <f>IF('Cleanup TMS'!BB112=0,"-",'Cleanup TMS'!BB112)</f>
        <v>525</v>
      </c>
      <c r="X112" s="73">
        <f>'Cleanup TMS'!BC112</f>
        <v>220</v>
      </c>
      <c r="Y112" s="73">
        <f>'Cleanup TMS'!BD112</f>
        <v>355</v>
      </c>
      <c r="Z112" s="74">
        <f>IF(OR('Cleanup TMS'!BE112=0,'Cleanup TMS'!BE112=""),"-",'Cleanup TMS'!BE112)</f>
        <v>0.68</v>
      </c>
      <c r="AA112" s="74" t="str">
        <f>IF(OR('Cleanup TMS'!BF112=0,'Cleanup TMS'!BF112=""),"-",'Cleanup TMS'!BF112)</f>
        <v>D</v>
      </c>
      <c r="AB112" s="148">
        <f>IF(OR('Cleanup TMS'!BI112="",'Cleanup TMS'!BI112=0),"-",'Cleanup TMS'!BI112)</f>
        <v>0.05</v>
      </c>
      <c r="AC112" s="73">
        <f>'Cleanup TMS'!BS112</f>
        <v>10360</v>
      </c>
      <c r="AD112" s="73">
        <f t="shared" si="7"/>
        <v>7443</v>
      </c>
      <c r="AE112" s="74">
        <f>IF(OR('Cleanup TMS'!BU112=0,'Cleanup TMS'!BU112=""),"-",'Cleanup TMS'!BU112)</f>
        <v>0.72</v>
      </c>
      <c r="AF112" s="74" t="str">
        <f>IF(OR('Cleanup TMS'!BV112=0,'Cleanup TMS'!BV112=""),"-",'Cleanup TMS'!BV112)</f>
        <v>D</v>
      </c>
      <c r="AG112" s="73">
        <f>'Cleanup TMS'!CF112</f>
        <v>525</v>
      </c>
      <c r="AH112" s="73">
        <f t="shared" si="8"/>
        <v>281</v>
      </c>
      <c r="AI112" s="73">
        <f t="shared" si="9"/>
        <v>453</v>
      </c>
      <c r="AJ112" s="71">
        <f>IF(OR('Cleanup TMS'!CI112=0,'Cleanup TMS'!CI112=""),"-",'Cleanup TMS'!CI112)</f>
        <v>0.86</v>
      </c>
      <c r="AK112" s="75" t="str">
        <f>IF(OR('Cleanup TMS'!CJ112=0,'Cleanup TMS'!CJ112=""),"-",'Cleanup TMS'!CJ112)</f>
        <v>D</v>
      </c>
    </row>
    <row r="113" spans="1:37" ht="18.75" customHeight="1">
      <c r="A113" s="69">
        <f>'Cleanup TMS'!A113</f>
        <v>3550100</v>
      </c>
      <c r="B113" s="70">
        <f>'Cleanup TMS'!B113</f>
        <v>43</v>
      </c>
      <c r="C113" s="70" t="str">
        <f>IF('Cleanup TMS'!E113="","",'Cleanup TMS'!E113)</f>
        <v/>
      </c>
      <c r="D113" s="70" t="str">
        <f>'Cleanup TMS'!F113</f>
        <v>SUMTER</v>
      </c>
      <c r="E113" s="70">
        <f>'Cleanup TMS'!G113</f>
        <v>45</v>
      </c>
      <c r="F113" s="71">
        <f>ROUND('Cleanup TMS'!H113,2)</f>
        <v>2.9</v>
      </c>
      <c r="G113" s="72" t="str">
        <f>'Cleanup TMS'!I113</f>
        <v>CR 470 N</v>
      </c>
      <c r="H113" s="72" t="str">
        <f>'Cleanup TMS'!J113</f>
        <v>CR 416 N</v>
      </c>
      <c r="I113" s="72" t="str">
        <f>'Cleanup TMS'!K113</f>
        <v>CR 479</v>
      </c>
      <c r="J113" s="70">
        <f>'Cleanup TMS'!L113</f>
        <v>2</v>
      </c>
      <c r="K113" s="70">
        <v>2</v>
      </c>
      <c r="L113" s="70" t="s">
        <v>646</v>
      </c>
      <c r="M113" s="70" t="s">
        <v>648</v>
      </c>
      <c r="N113" s="152" t="s">
        <v>652</v>
      </c>
      <c r="O113" s="152" t="s">
        <v>547</v>
      </c>
      <c r="P113" s="70" t="str">
        <f>'Cleanup TMS'!V113</f>
        <v>COUNTY</v>
      </c>
      <c r="Q113" s="70" t="str">
        <f>'Cleanup TMS'!W113</f>
        <v>UNINCORPORATED SUMTER COUNTY</v>
      </c>
      <c r="R113" s="70" t="s">
        <v>5</v>
      </c>
      <c r="S113" s="73">
        <f>IF('Cleanup TMS'!AO113=0,"-",'Cleanup TMS'!AO113)</f>
        <v>24200</v>
      </c>
      <c r="T113" s="73">
        <f>'Cleanup TMS'!AP113</f>
        <v>6930</v>
      </c>
      <c r="U113" s="71">
        <f>IF(OR('Cleanup TMS'!AQ113=0,'Cleanup TMS'!AQ113=""),"-",'Cleanup TMS'!AQ113)</f>
        <v>0.28999999999999998</v>
      </c>
      <c r="V113" s="71" t="str">
        <f>IF(OR('Cleanup TMS'!AR113=0,'Cleanup TMS'!AR113=""),"-",'Cleanup TMS'!AR113)</f>
        <v>B</v>
      </c>
      <c r="W113" s="73">
        <f>IF('Cleanup TMS'!BB113=0,"-",'Cleanup TMS'!BB113)</f>
        <v>1200</v>
      </c>
      <c r="X113" s="73">
        <f>'Cleanup TMS'!BC113</f>
        <v>405</v>
      </c>
      <c r="Y113" s="73">
        <f>'Cleanup TMS'!BD113</f>
        <v>198</v>
      </c>
      <c r="Z113" s="74">
        <f>IF(OR('Cleanup TMS'!BE113=0,'Cleanup TMS'!BE113=""),"-",'Cleanup TMS'!BE113)</f>
        <v>0.34</v>
      </c>
      <c r="AA113" s="74" t="str">
        <f>IF(OR('Cleanup TMS'!BF113=0,'Cleanup TMS'!BF113=""),"-",'Cleanup TMS'!BF113)</f>
        <v>B</v>
      </c>
      <c r="AB113" s="148">
        <f>IF(OR('Cleanup TMS'!BI113="",'Cleanup TMS'!BI113=0),"-",'Cleanup TMS'!BI113)</f>
        <v>0.01</v>
      </c>
      <c r="AC113" s="73">
        <f>'Cleanup TMS'!BS113</f>
        <v>24200</v>
      </c>
      <c r="AD113" s="73">
        <f t="shared" si="7"/>
        <v>7283</v>
      </c>
      <c r="AE113" s="74">
        <f>IF(OR('Cleanup TMS'!BU113=0,'Cleanup TMS'!BU113=""),"-",'Cleanup TMS'!BU113)</f>
        <v>0.3</v>
      </c>
      <c r="AF113" s="74" t="str">
        <f>IF(OR('Cleanup TMS'!BV113=0,'Cleanup TMS'!BV113=""),"-",'Cleanup TMS'!BV113)</f>
        <v>B</v>
      </c>
      <c r="AG113" s="73">
        <f>'Cleanup TMS'!CF113</f>
        <v>1200</v>
      </c>
      <c r="AH113" s="73">
        <f t="shared" si="8"/>
        <v>426</v>
      </c>
      <c r="AI113" s="73">
        <f t="shared" si="9"/>
        <v>208</v>
      </c>
      <c r="AJ113" s="71">
        <f>IF(OR('Cleanup TMS'!CI113=0,'Cleanup TMS'!CI113=""),"-",'Cleanup TMS'!CI113)</f>
        <v>0.36</v>
      </c>
      <c r="AK113" s="75" t="str">
        <f>IF(OR('Cleanup TMS'!CJ113=0,'Cleanup TMS'!CJ113=""),"-",'Cleanup TMS'!CJ113)</f>
        <v>B</v>
      </c>
    </row>
    <row r="114" spans="1:37" ht="18.75" customHeight="1">
      <c r="A114" s="69">
        <f>'Cleanup TMS'!A114</f>
        <v>3550110</v>
      </c>
      <c r="B114" s="70">
        <f>'Cleanup TMS'!B114</f>
        <v>39</v>
      </c>
      <c r="C114" s="70" t="str">
        <f>IF('Cleanup TMS'!E114="","",'Cleanup TMS'!E114)</f>
        <v/>
      </c>
      <c r="D114" s="70" t="str">
        <f>'Cleanup TMS'!F114</f>
        <v>SUMTER</v>
      </c>
      <c r="E114" s="70">
        <f>'Cleanup TMS'!G114</f>
        <v>55</v>
      </c>
      <c r="F114" s="71">
        <f>ROUND('Cleanup TMS'!H114,2)</f>
        <v>2.48</v>
      </c>
      <c r="G114" s="72" t="str">
        <f>'Cleanup TMS'!I114</f>
        <v>CR 470 E</v>
      </c>
      <c r="H114" s="72" t="str">
        <f>'Cleanup TMS'!J114</f>
        <v>SR 93/I-75</v>
      </c>
      <c r="I114" s="72" t="str">
        <f>'Cleanup TMS'!K114</f>
        <v>US 301/SR 35</v>
      </c>
      <c r="J114" s="70">
        <f>'Cleanup TMS'!L114</f>
        <v>2</v>
      </c>
      <c r="K114" s="70">
        <v>2</v>
      </c>
      <c r="L114" s="70" t="s">
        <v>646</v>
      </c>
      <c r="M114" s="70" t="s">
        <v>648</v>
      </c>
      <c r="N114" s="152" t="s">
        <v>652</v>
      </c>
      <c r="O114" s="152" t="s">
        <v>547</v>
      </c>
      <c r="P114" s="70" t="str">
        <f>'Cleanup TMS'!V114</f>
        <v>COUNTY</v>
      </c>
      <c r="Q114" s="70" t="str">
        <f>'Cleanup TMS'!W114</f>
        <v>UNINCORPORATED SUMTER COUNTY</v>
      </c>
      <c r="R114" s="70" t="s">
        <v>5</v>
      </c>
      <c r="S114" s="73">
        <f>IF('Cleanup TMS'!AO114=0,"-",'Cleanup TMS'!AO114)</f>
        <v>24200</v>
      </c>
      <c r="T114" s="73">
        <f>'Cleanup TMS'!AP114</f>
        <v>17029</v>
      </c>
      <c r="U114" s="71">
        <f>IF(OR('Cleanup TMS'!AQ114=0,'Cleanup TMS'!AQ114=""),"-",'Cleanup TMS'!AQ114)</f>
        <v>0.7</v>
      </c>
      <c r="V114" s="71" t="str">
        <f>IF(OR('Cleanup TMS'!AR114=0,'Cleanup TMS'!AR114=""),"-",'Cleanup TMS'!AR114)</f>
        <v>C</v>
      </c>
      <c r="W114" s="73">
        <f>IF('Cleanup TMS'!BB114=0,"-",'Cleanup TMS'!BB114)</f>
        <v>1200</v>
      </c>
      <c r="X114" s="73">
        <f>'Cleanup TMS'!BC114</f>
        <v>685</v>
      </c>
      <c r="Y114" s="73">
        <f>'Cleanup TMS'!BD114</f>
        <v>685</v>
      </c>
      <c r="Z114" s="74">
        <f>IF(OR('Cleanup TMS'!BE114=0,'Cleanup TMS'!BE114=""),"-",'Cleanup TMS'!BE114)</f>
        <v>0.56999999999999995</v>
      </c>
      <c r="AA114" s="74" t="str">
        <f>IF(OR('Cleanup TMS'!BF114=0,'Cleanup TMS'!BF114=""),"-",'Cleanup TMS'!BF114)</f>
        <v>C</v>
      </c>
      <c r="AB114" s="148">
        <f>IF(OR('Cleanup TMS'!BI114="",'Cleanup TMS'!BI114=0),"-",'Cleanup TMS'!BI114)</f>
        <v>1.4999999999999999E-2</v>
      </c>
      <c r="AC114" s="73">
        <f>'Cleanup TMS'!BS114</f>
        <v>24200</v>
      </c>
      <c r="AD114" s="73">
        <f t="shared" si="7"/>
        <v>18345</v>
      </c>
      <c r="AE114" s="74">
        <f>IF(OR('Cleanup TMS'!BU114=0,'Cleanup TMS'!BU114=""),"-",'Cleanup TMS'!BU114)</f>
        <v>0.76</v>
      </c>
      <c r="AF114" s="74" t="str">
        <f>IF(OR('Cleanup TMS'!BV114=0,'Cleanup TMS'!BV114=""),"-",'Cleanup TMS'!BV114)</f>
        <v>D</v>
      </c>
      <c r="AG114" s="73">
        <f>'Cleanup TMS'!CF114</f>
        <v>1200</v>
      </c>
      <c r="AH114" s="73">
        <f t="shared" si="8"/>
        <v>738</v>
      </c>
      <c r="AI114" s="73">
        <f t="shared" si="9"/>
        <v>738</v>
      </c>
      <c r="AJ114" s="71">
        <f>IF(OR('Cleanup TMS'!CI114=0,'Cleanup TMS'!CI114=""),"-",'Cleanup TMS'!CI114)</f>
        <v>0.62</v>
      </c>
      <c r="AK114" s="75" t="str">
        <f>IF(OR('Cleanup TMS'!CJ114=0,'Cleanup TMS'!CJ114=""),"-",'Cleanup TMS'!CJ114)</f>
        <v>C</v>
      </c>
    </row>
    <row r="115" spans="1:37" ht="18.75" customHeight="1">
      <c r="A115" s="69">
        <f>'Cleanup TMS'!A115</f>
        <v>3551100</v>
      </c>
      <c r="B115" s="70">
        <f>'Cleanup TMS'!B115</f>
        <v>180201</v>
      </c>
      <c r="C115" s="70">
        <f>IF('Cleanup TMS'!E115="","",'Cleanup TMS'!E115)</f>
        <v>180201</v>
      </c>
      <c r="D115" s="70" t="str">
        <f>'Cleanup TMS'!F115</f>
        <v>FDOT</v>
      </c>
      <c r="E115" s="70">
        <f>'Cleanup TMS'!G115</f>
        <v>45</v>
      </c>
      <c r="F115" s="71">
        <f>ROUND('Cleanup TMS'!H115,2)</f>
        <v>1.1499999999999999</v>
      </c>
      <c r="G115" s="72" t="str">
        <f>'Cleanup TMS'!I115</f>
        <v>SR 44</v>
      </c>
      <c r="H115" s="72" t="str">
        <f>'Cleanup TMS'!J115</f>
        <v>US 301/SR 35</v>
      </c>
      <c r="I115" s="72" t="str">
        <f>'Cleanup TMS'!K115</f>
        <v>CR 139</v>
      </c>
      <c r="J115" s="70">
        <f>'Cleanup TMS'!L115</f>
        <v>4</v>
      </c>
      <c r="K115" s="70">
        <v>4</v>
      </c>
      <c r="L115" s="70" t="s">
        <v>646</v>
      </c>
      <c r="M115" s="70" t="s">
        <v>649</v>
      </c>
      <c r="N115" s="152" t="s">
        <v>651</v>
      </c>
      <c r="O115" s="152" t="s">
        <v>547</v>
      </c>
      <c r="P115" s="70" t="str">
        <f>'Cleanup TMS'!V115</f>
        <v>STATE</v>
      </c>
      <c r="Q115" s="70" t="str">
        <f>'Cleanup TMS'!W115</f>
        <v>WILDWOOD</v>
      </c>
      <c r="R115" s="70" t="s">
        <v>5</v>
      </c>
      <c r="S115" s="73">
        <f>IF('Cleanup TMS'!AO115=0,"-",'Cleanup TMS'!AO115)</f>
        <v>41790</v>
      </c>
      <c r="T115" s="73">
        <f>'Cleanup TMS'!AP115</f>
        <v>17810</v>
      </c>
      <c r="U115" s="71">
        <f>IF(OR('Cleanup TMS'!AQ115=0,'Cleanup TMS'!AQ115=""),"-",'Cleanup TMS'!AQ115)</f>
        <v>0.43</v>
      </c>
      <c r="V115" s="71" t="str">
        <f>IF(OR('Cleanup TMS'!AR115=0,'Cleanup TMS'!AR115=""),"-",'Cleanup TMS'!AR115)</f>
        <v>C</v>
      </c>
      <c r="W115" s="73">
        <f>IF('Cleanup TMS'!BB115=0,"-",'Cleanup TMS'!BB115)</f>
        <v>2100</v>
      </c>
      <c r="X115" s="73">
        <f>'Cleanup TMS'!BC115</f>
        <v>692</v>
      </c>
      <c r="Y115" s="73">
        <f>'Cleanup TMS'!BD115</f>
        <v>941</v>
      </c>
      <c r="Z115" s="74">
        <f>IF(OR('Cleanup TMS'!BE115=0,'Cleanup TMS'!BE115=""),"-",'Cleanup TMS'!BE115)</f>
        <v>0.45</v>
      </c>
      <c r="AA115" s="74" t="str">
        <f>IF(OR('Cleanup TMS'!BF115=0,'Cleanup TMS'!BF115=""),"-",'Cleanup TMS'!BF115)</f>
        <v>C</v>
      </c>
      <c r="AB115" s="148">
        <f>IF(OR('Cleanup TMS'!BI115="",'Cleanup TMS'!BI115=0),"-",'Cleanup TMS'!BI115)</f>
        <v>0.01</v>
      </c>
      <c r="AC115" s="73">
        <f>'Cleanup TMS'!BS115</f>
        <v>41790</v>
      </c>
      <c r="AD115" s="73">
        <f t="shared" si="7"/>
        <v>18718</v>
      </c>
      <c r="AE115" s="74">
        <f>IF(OR('Cleanup TMS'!BU115=0,'Cleanup TMS'!BU115=""),"-",'Cleanup TMS'!BU115)</f>
        <v>0.45</v>
      </c>
      <c r="AF115" s="74" t="str">
        <f>IF(OR('Cleanup TMS'!BV115=0,'Cleanup TMS'!BV115=""),"-",'Cleanup TMS'!BV115)</f>
        <v>C</v>
      </c>
      <c r="AG115" s="73">
        <f>'Cleanup TMS'!CF115</f>
        <v>2100</v>
      </c>
      <c r="AH115" s="73">
        <f t="shared" si="8"/>
        <v>727</v>
      </c>
      <c r="AI115" s="73">
        <f t="shared" si="9"/>
        <v>989</v>
      </c>
      <c r="AJ115" s="71">
        <f>IF(OR('Cleanup TMS'!CI115=0,'Cleanup TMS'!CI115=""),"-",'Cleanup TMS'!CI115)</f>
        <v>0.47</v>
      </c>
      <c r="AK115" s="75" t="str">
        <f>IF(OR('Cleanup TMS'!CJ115=0,'Cleanup TMS'!CJ115=""),"-",'Cleanup TMS'!CJ115)</f>
        <v>C</v>
      </c>
    </row>
    <row r="116" spans="1:37" ht="18.75" customHeight="1">
      <c r="A116" s="69">
        <f>'Cleanup TMS'!A116</f>
        <v>3551130</v>
      </c>
      <c r="B116" s="70">
        <f>'Cleanup TMS'!B116</f>
        <v>180102</v>
      </c>
      <c r="C116" s="70">
        <f>IF('Cleanup TMS'!E116="","",'Cleanup TMS'!E116)</f>
        <v>180102</v>
      </c>
      <c r="D116" s="70" t="str">
        <f>'Cleanup TMS'!F116</f>
        <v>FDOT</v>
      </c>
      <c r="E116" s="70">
        <f>'Cleanup TMS'!G116</f>
        <v>45</v>
      </c>
      <c r="F116" s="71">
        <f>ROUND('Cleanup TMS'!H116,2)</f>
        <v>2.59</v>
      </c>
      <c r="G116" s="72" t="str">
        <f>'Cleanup TMS'!I116</f>
        <v>SR 44</v>
      </c>
      <c r="H116" s="72" t="str">
        <f>'Cleanup TMS'!J116</f>
        <v>CR 44A</v>
      </c>
      <c r="I116" s="72" t="str">
        <f>'Cleanup TMS'!K116</f>
        <v>US 301/SR 35</v>
      </c>
      <c r="J116" s="70">
        <f>'Cleanup TMS'!L116</f>
        <v>4</v>
      </c>
      <c r="K116" s="70">
        <v>4</v>
      </c>
      <c r="L116" s="70" t="s">
        <v>646</v>
      </c>
      <c r="M116" s="70" t="s">
        <v>649</v>
      </c>
      <c r="N116" s="152" t="s">
        <v>651</v>
      </c>
      <c r="O116" s="152" t="s">
        <v>547</v>
      </c>
      <c r="P116" s="70" t="str">
        <f>'Cleanup TMS'!V116</f>
        <v>STATE</v>
      </c>
      <c r="Q116" s="70" t="str">
        <f>'Cleanup TMS'!W116</f>
        <v>UNINCORPORATED SUMTER COUNTY</v>
      </c>
      <c r="R116" s="70" t="s">
        <v>5</v>
      </c>
      <c r="S116" s="73">
        <f>IF('Cleanup TMS'!AO116=0,"-",'Cleanup TMS'!AO116)</f>
        <v>41790</v>
      </c>
      <c r="T116" s="73">
        <f>'Cleanup TMS'!AP116</f>
        <v>18510</v>
      </c>
      <c r="U116" s="71">
        <f>IF(OR('Cleanup TMS'!AQ116=0,'Cleanup TMS'!AQ116=""),"-",'Cleanup TMS'!AQ116)</f>
        <v>0.44</v>
      </c>
      <c r="V116" s="71" t="str">
        <f>IF(OR('Cleanup TMS'!AR116=0,'Cleanup TMS'!AR116=""),"-",'Cleanup TMS'!AR116)</f>
        <v>C</v>
      </c>
      <c r="W116" s="73">
        <f>IF('Cleanup TMS'!BB116=0,"-",'Cleanup TMS'!BB116)</f>
        <v>2100</v>
      </c>
      <c r="X116" s="73">
        <f>'Cleanup TMS'!BC116</f>
        <v>662</v>
      </c>
      <c r="Y116" s="73">
        <f>'Cleanup TMS'!BD116</f>
        <v>988</v>
      </c>
      <c r="Z116" s="74">
        <f>IF(OR('Cleanup TMS'!BE116=0,'Cleanup TMS'!BE116=""),"-",'Cleanup TMS'!BE116)</f>
        <v>0.47</v>
      </c>
      <c r="AA116" s="74" t="str">
        <f>IF(OR('Cleanup TMS'!BF116=0,'Cleanup TMS'!BF116=""),"-",'Cleanup TMS'!BF116)</f>
        <v>C</v>
      </c>
      <c r="AB116" s="148">
        <f>IF(OR('Cleanup TMS'!BI116="",'Cleanup TMS'!BI116=0),"-",'Cleanup TMS'!BI116)</f>
        <v>0.01</v>
      </c>
      <c r="AC116" s="73">
        <f>'Cleanup TMS'!BS116</f>
        <v>41790</v>
      </c>
      <c r="AD116" s="73">
        <f t="shared" si="7"/>
        <v>19454</v>
      </c>
      <c r="AE116" s="74">
        <f>IF(OR('Cleanup TMS'!BU116=0,'Cleanup TMS'!BU116=""),"-",'Cleanup TMS'!BU116)</f>
        <v>0.47</v>
      </c>
      <c r="AF116" s="74" t="str">
        <f>IF(OR('Cleanup TMS'!BV116=0,'Cleanup TMS'!BV116=""),"-",'Cleanup TMS'!BV116)</f>
        <v>C</v>
      </c>
      <c r="AG116" s="73">
        <f>'Cleanup TMS'!CF116</f>
        <v>2100</v>
      </c>
      <c r="AH116" s="73">
        <f t="shared" si="8"/>
        <v>696</v>
      </c>
      <c r="AI116" s="73">
        <f t="shared" si="9"/>
        <v>1038</v>
      </c>
      <c r="AJ116" s="71">
        <f>IF(OR('Cleanup TMS'!CI116=0,'Cleanup TMS'!CI116=""),"-",'Cleanup TMS'!CI116)</f>
        <v>0.49</v>
      </c>
      <c r="AK116" s="75" t="str">
        <f>IF(OR('Cleanup TMS'!CJ116=0,'Cleanup TMS'!CJ116=""),"-",'Cleanup TMS'!CJ116)</f>
        <v>C</v>
      </c>
    </row>
    <row r="117" spans="1:37" ht="18.75" customHeight="1">
      <c r="A117" s="69">
        <f>'Cleanup TMS'!A117</f>
        <v>3552100</v>
      </c>
      <c r="B117" s="70">
        <f>'Cleanup TMS'!B117</f>
        <v>180203</v>
      </c>
      <c r="C117" s="70">
        <f>IF('Cleanup TMS'!E117="","",'Cleanup TMS'!E117)</f>
        <v>180203</v>
      </c>
      <c r="D117" s="70" t="str">
        <f>'Cleanup TMS'!F117</f>
        <v>FDOT</v>
      </c>
      <c r="E117" s="70">
        <f>'Cleanup TMS'!G117</f>
        <v>60</v>
      </c>
      <c r="F117" s="71">
        <f>ROUND('Cleanup TMS'!H117,2)</f>
        <v>2.92</v>
      </c>
      <c r="G117" s="72" t="str">
        <f>'Cleanup TMS'!I117</f>
        <v>SR 44</v>
      </c>
      <c r="H117" s="72" t="str">
        <f>'Cleanup TMS'!J117</f>
        <v>CITRUS COUNTY BOUNDARY</v>
      </c>
      <c r="I117" s="72" t="str">
        <f>'Cleanup TMS'!K117</f>
        <v>CR 470 N</v>
      </c>
      <c r="J117" s="70">
        <f>'Cleanup TMS'!L117</f>
        <v>4</v>
      </c>
      <c r="K117" s="70">
        <v>4</v>
      </c>
      <c r="L117" s="70" t="s">
        <v>647</v>
      </c>
      <c r="M117" s="70" t="s">
        <v>649</v>
      </c>
      <c r="N117" s="152" t="s">
        <v>652</v>
      </c>
      <c r="O117" s="152" t="s">
        <v>654</v>
      </c>
      <c r="P117" s="70" t="str">
        <f>'Cleanup TMS'!V117</f>
        <v>STATE</v>
      </c>
      <c r="Q117" s="70" t="str">
        <f>'Cleanup TMS'!W117</f>
        <v>UNINCORPORATED SUMTER COUNTY</v>
      </c>
      <c r="R117" s="70" t="s">
        <v>4</v>
      </c>
      <c r="S117" s="73">
        <f>IF('Cleanup TMS'!AO117=0,"-",'Cleanup TMS'!AO117)</f>
        <v>44900</v>
      </c>
      <c r="T117" s="73">
        <f>'Cleanup TMS'!AP117</f>
        <v>12640</v>
      </c>
      <c r="U117" s="71">
        <f>IF(OR('Cleanup TMS'!AQ117=0,'Cleanup TMS'!AQ117=""),"-",'Cleanup TMS'!AQ117)</f>
        <v>0.28000000000000003</v>
      </c>
      <c r="V117" s="71" t="str">
        <f>IF(OR('Cleanup TMS'!AR117=0,'Cleanup TMS'!AR117=""),"-",'Cleanup TMS'!AR117)</f>
        <v>B</v>
      </c>
      <c r="W117" s="73">
        <f>IF('Cleanup TMS'!BB117=0,"-",'Cleanup TMS'!BB117)</f>
        <v>2350</v>
      </c>
      <c r="X117" s="73">
        <f>'Cleanup TMS'!BC117</f>
        <v>636</v>
      </c>
      <c r="Y117" s="73">
        <f>'Cleanup TMS'!BD117</f>
        <v>564</v>
      </c>
      <c r="Z117" s="74">
        <f>IF(OR('Cleanup TMS'!BE117=0,'Cleanup TMS'!BE117=""),"-",'Cleanup TMS'!BE117)</f>
        <v>0.27</v>
      </c>
      <c r="AA117" s="74" t="str">
        <f>IF(OR('Cleanup TMS'!BF117=0,'Cleanup TMS'!BF117=""),"-",'Cleanup TMS'!BF117)</f>
        <v>B</v>
      </c>
      <c r="AB117" s="148">
        <f>IF(OR('Cleanup TMS'!BI117="",'Cleanup TMS'!BI117=0),"-",'Cleanup TMS'!BI117)</f>
        <v>0.01</v>
      </c>
      <c r="AC117" s="73">
        <f>'Cleanup TMS'!BS117</f>
        <v>44900</v>
      </c>
      <c r="AD117" s="73">
        <f t="shared" si="7"/>
        <v>13285</v>
      </c>
      <c r="AE117" s="74">
        <f>IF(OR('Cleanup TMS'!BU117=0,'Cleanup TMS'!BU117=""),"-",'Cleanup TMS'!BU117)</f>
        <v>0.3</v>
      </c>
      <c r="AF117" s="74" t="str">
        <f>IF(OR('Cleanup TMS'!BV117=0,'Cleanup TMS'!BV117=""),"-",'Cleanup TMS'!BV117)</f>
        <v>B</v>
      </c>
      <c r="AG117" s="73">
        <f>'Cleanup TMS'!CF117</f>
        <v>2350</v>
      </c>
      <c r="AH117" s="73">
        <f t="shared" si="8"/>
        <v>668</v>
      </c>
      <c r="AI117" s="73">
        <f t="shared" si="9"/>
        <v>593</v>
      </c>
      <c r="AJ117" s="71">
        <f>IF(OR('Cleanup TMS'!CI117=0,'Cleanup TMS'!CI117=""),"-",'Cleanup TMS'!CI117)</f>
        <v>0.28000000000000003</v>
      </c>
      <c r="AK117" s="75" t="str">
        <f>IF(OR('Cleanup TMS'!CJ117=0,'Cleanup TMS'!CJ117=""),"-",'Cleanup TMS'!CJ117)</f>
        <v>B</v>
      </c>
    </row>
    <row r="118" spans="1:37" ht="18.75" customHeight="1">
      <c r="A118" s="69">
        <f>'Cleanup TMS'!A118</f>
        <v>3552110</v>
      </c>
      <c r="B118" s="70" t="str">
        <f>'Cleanup TMS'!B118</f>
        <v>180203: 180202</v>
      </c>
      <c r="C118" s="70" t="str">
        <f>IF('Cleanup TMS'!E118="","",'Cleanup TMS'!E118)</f>
        <v>180203: 180202</v>
      </c>
      <c r="D118" s="70" t="str">
        <f>'Cleanup TMS'!F118</f>
        <v>FDOT</v>
      </c>
      <c r="E118" s="70">
        <f>'Cleanup TMS'!G118</f>
        <v>60</v>
      </c>
      <c r="F118" s="71">
        <f>ROUND('Cleanup TMS'!H118,2)</f>
        <v>3.67</v>
      </c>
      <c r="G118" s="72" t="str">
        <f>'Cleanup TMS'!I118</f>
        <v>SR 44</v>
      </c>
      <c r="H118" s="72" t="str">
        <f>'Cleanup TMS'!J118</f>
        <v>CR 470 N</v>
      </c>
      <c r="I118" s="72" t="str">
        <f>'Cleanup TMS'!K118</f>
        <v>CR 475</v>
      </c>
      <c r="J118" s="70">
        <f>'Cleanup TMS'!L118</f>
        <v>4</v>
      </c>
      <c r="K118" s="70">
        <v>4</v>
      </c>
      <c r="L118" s="70" t="s">
        <v>647</v>
      </c>
      <c r="M118" s="70" t="s">
        <v>649</v>
      </c>
      <c r="N118" s="152" t="s">
        <v>652</v>
      </c>
      <c r="O118" s="152" t="s">
        <v>654</v>
      </c>
      <c r="P118" s="70" t="str">
        <f>'Cleanup TMS'!V118</f>
        <v>STATE</v>
      </c>
      <c r="Q118" s="70" t="str">
        <f>'Cleanup TMS'!W118</f>
        <v>UNINCORPORATED SUMTER COUNTY</v>
      </c>
      <c r="R118" s="70" t="s">
        <v>4</v>
      </c>
      <c r="S118" s="73">
        <f>IF('Cleanup TMS'!AO118=0,"-",'Cleanup TMS'!AO118)</f>
        <v>44900</v>
      </c>
      <c r="T118" s="73">
        <f>'Cleanup TMS'!AP118</f>
        <v>11690</v>
      </c>
      <c r="U118" s="71">
        <f>IF(OR('Cleanup TMS'!AQ118=0,'Cleanup TMS'!AQ118=""),"-",'Cleanup TMS'!AQ118)</f>
        <v>0.26</v>
      </c>
      <c r="V118" s="71" t="str">
        <f>IF(OR('Cleanup TMS'!AR118=0,'Cleanup TMS'!AR118=""),"-",'Cleanup TMS'!AR118)</f>
        <v>B</v>
      </c>
      <c r="W118" s="73">
        <f>IF('Cleanup TMS'!BB118=0,"-",'Cleanup TMS'!BB118)</f>
        <v>2350</v>
      </c>
      <c r="X118" s="73">
        <f>'Cleanup TMS'!BC118</f>
        <v>588.5</v>
      </c>
      <c r="Y118" s="73">
        <f>'Cleanup TMS'!BD118</f>
        <v>522</v>
      </c>
      <c r="Z118" s="74">
        <f>IF(OR('Cleanup TMS'!BE118=0,'Cleanup TMS'!BE118=""),"-",'Cleanup TMS'!BE118)</f>
        <v>0.25</v>
      </c>
      <c r="AA118" s="74" t="str">
        <f>IF(OR('Cleanup TMS'!BF118=0,'Cleanup TMS'!BF118=""),"-",'Cleanup TMS'!BF118)</f>
        <v>B</v>
      </c>
      <c r="AB118" s="148">
        <f>IF(OR('Cleanup TMS'!BI118="",'Cleanup TMS'!BI118=0),"-",'Cleanup TMS'!BI118)</f>
        <v>0.01</v>
      </c>
      <c r="AC118" s="73">
        <f>'Cleanup TMS'!BS118</f>
        <v>44900</v>
      </c>
      <c r="AD118" s="73">
        <f t="shared" si="7"/>
        <v>12286</v>
      </c>
      <c r="AE118" s="74">
        <f>IF(OR('Cleanup TMS'!BU118=0,'Cleanup TMS'!BU118=""),"-",'Cleanup TMS'!BU118)</f>
        <v>0.27</v>
      </c>
      <c r="AF118" s="74" t="str">
        <f>IF(OR('Cleanup TMS'!BV118=0,'Cleanup TMS'!BV118=""),"-",'Cleanup TMS'!BV118)</f>
        <v>B</v>
      </c>
      <c r="AG118" s="73">
        <f>'Cleanup TMS'!CF118</f>
        <v>2350</v>
      </c>
      <c r="AH118" s="73">
        <f t="shared" si="8"/>
        <v>619</v>
      </c>
      <c r="AI118" s="73">
        <f t="shared" si="9"/>
        <v>549</v>
      </c>
      <c r="AJ118" s="71">
        <f>IF(OR('Cleanup TMS'!CI118=0,'Cleanup TMS'!CI118=""),"-",'Cleanup TMS'!CI118)</f>
        <v>0.26</v>
      </c>
      <c r="AK118" s="75" t="str">
        <f>IF(OR('Cleanup TMS'!CJ118=0,'Cleanup TMS'!CJ118=""),"-",'Cleanup TMS'!CJ118)</f>
        <v>B</v>
      </c>
    </row>
    <row r="119" spans="1:37" ht="18.75" customHeight="1">
      <c r="A119" s="69">
        <f>'Cleanup TMS'!A119</f>
        <v>3552120</v>
      </c>
      <c r="B119" s="70">
        <f>'Cleanup TMS'!B119</f>
        <v>180202</v>
      </c>
      <c r="C119" s="70">
        <f>IF('Cleanup TMS'!E119="","",'Cleanup TMS'!E119)</f>
        <v>180202</v>
      </c>
      <c r="D119" s="70" t="str">
        <f>'Cleanup TMS'!F119</f>
        <v>FDOT</v>
      </c>
      <c r="E119" s="70">
        <f>'Cleanup TMS'!G119</f>
        <v>60</v>
      </c>
      <c r="F119" s="71">
        <f>ROUND('Cleanup TMS'!H119,2)</f>
        <v>1.73</v>
      </c>
      <c r="G119" s="72" t="str">
        <f>'Cleanup TMS'!I119</f>
        <v>SR 44</v>
      </c>
      <c r="H119" s="72" t="str">
        <f>'Cleanup TMS'!J119</f>
        <v>CR 475</v>
      </c>
      <c r="I119" s="72" t="str">
        <f>'Cleanup TMS'!K119</f>
        <v xml:space="preserve">SR 93/I-75 </v>
      </c>
      <c r="J119" s="70">
        <f>'Cleanup TMS'!L119</f>
        <v>4</v>
      </c>
      <c r="K119" s="70">
        <v>4</v>
      </c>
      <c r="L119" s="70" t="s">
        <v>647</v>
      </c>
      <c r="M119" s="70" t="s">
        <v>649</v>
      </c>
      <c r="N119" s="152" t="s">
        <v>652</v>
      </c>
      <c r="O119" s="152" t="s">
        <v>654</v>
      </c>
      <c r="P119" s="70" t="str">
        <f>'Cleanup TMS'!V119</f>
        <v>STATE</v>
      </c>
      <c r="Q119" s="70" t="str">
        <f>'Cleanup TMS'!W119</f>
        <v>UNINCORPORATED SUMTER COUNTY</v>
      </c>
      <c r="R119" s="70" t="s">
        <v>4</v>
      </c>
      <c r="S119" s="73">
        <f>IF('Cleanup TMS'!AO119=0,"-",'Cleanup TMS'!AO119)</f>
        <v>44900</v>
      </c>
      <c r="T119" s="73">
        <f>'Cleanup TMS'!AP119</f>
        <v>10740</v>
      </c>
      <c r="U119" s="71">
        <f>IF(OR('Cleanup TMS'!AQ119=0,'Cleanup TMS'!AQ119=""),"-",'Cleanup TMS'!AQ119)</f>
        <v>0.24</v>
      </c>
      <c r="V119" s="71" t="str">
        <f>IF(OR('Cleanup TMS'!AR119=0,'Cleanup TMS'!AR119=""),"-",'Cleanup TMS'!AR119)</f>
        <v>B</v>
      </c>
      <c r="W119" s="73">
        <f>IF('Cleanup TMS'!BB119=0,"-",'Cleanup TMS'!BB119)</f>
        <v>2350</v>
      </c>
      <c r="X119" s="73">
        <f>'Cleanup TMS'!BC119</f>
        <v>541</v>
      </c>
      <c r="Y119" s="73">
        <f>'Cleanup TMS'!BD119</f>
        <v>480</v>
      </c>
      <c r="Z119" s="74">
        <f>IF(OR('Cleanup TMS'!BE119=0,'Cleanup TMS'!BE119=""),"-",'Cleanup TMS'!BE119)</f>
        <v>0.23</v>
      </c>
      <c r="AA119" s="74" t="str">
        <f>IF(OR('Cleanup TMS'!BF119=0,'Cleanup TMS'!BF119=""),"-",'Cleanup TMS'!BF119)</f>
        <v>B</v>
      </c>
      <c r="AB119" s="148">
        <f>IF(OR('Cleanup TMS'!BI119="",'Cleanup TMS'!BI119=0),"-",'Cleanup TMS'!BI119)</f>
        <v>0.01</v>
      </c>
      <c r="AC119" s="73">
        <f>'Cleanup TMS'!BS119</f>
        <v>44900</v>
      </c>
      <c r="AD119" s="73">
        <f t="shared" si="7"/>
        <v>11288</v>
      </c>
      <c r="AE119" s="74">
        <f>IF(OR('Cleanup TMS'!BU119=0,'Cleanup TMS'!BU119=""),"-",'Cleanup TMS'!BU119)</f>
        <v>0.25</v>
      </c>
      <c r="AF119" s="74" t="str">
        <f>IF(OR('Cleanup TMS'!BV119=0,'Cleanup TMS'!BV119=""),"-",'Cleanup TMS'!BV119)</f>
        <v>B</v>
      </c>
      <c r="AG119" s="73">
        <f>'Cleanup TMS'!CF119</f>
        <v>2350</v>
      </c>
      <c r="AH119" s="73">
        <f t="shared" si="8"/>
        <v>569</v>
      </c>
      <c r="AI119" s="73">
        <f t="shared" si="9"/>
        <v>504</v>
      </c>
      <c r="AJ119" s="71">
        <f>IF(OR('Cleanup TMS'!CI119=0,'Cleanup TMS'!CI119=""),"-",'Cleanup TMS'!CI119)</f>
        <v>0.24</v>
      </c>
      <c r="AK119" s="75" t="str">
        <f>IF(OR('Cleanup TMS'!CJ119=0,'Cleanup TMS'!CJ119=""),"-",'Cleanup TMS'!CJ119)</f>
        <v>B</v>
      </c>
    </row>
    <row r="120" spans="1:37" ht="18.75" customHeight="1">
      <c r="A120" s="69">
        <f>'Cleanup TMS'!A120</f>
        <v>3552130</v>
      </c>
      <c r="B120" s="70">
        <f>'Cleanup TMS'!B120</f>
        <v>180102</v>
      </c>
      <c r="C120" s="70">
        <f>IF('Cleanup TMS'!E120="","",'Cleanup TMS'!E120)</f>
        <v>180102</v>
      </c>
      <c r="D120" s="70" t="str">
        <f>'Cleanup TMS'!F120</f>
        <v>FDOT</v>
      </c>
      <c r="E120" s="70">
        <f>'Cleanup TMS'!G120</f>
        <v>45</v>
      </c>
      <c r="F120" s="71">
        <f>ROUND('Cleanup TMS'!H120,2)</f>
        <v>1</v>
      </c>
      <c r="G120" s="72" t="str">
        <f>'Cleanup TMS'!I120</f>
        <v>SR 44</v>
      </c>
      <c r="H120" s="72" t="str">
        <f>'Cleanup TMS'!J120</f>
        <v>SR 93/I-75</v>
      </c>
      <c r="I120" s="72" t="str">
        <f>'Cleanup TMS'!K120</f>
        <v>CR 44A</v>
      </c>
      <c r="J120" s="70">
        <f>'Cleanup TMS'!L120</f>
        <v>4</v>
      </c>
      <c r="K120" s="70">
        <v>4</v>
      </c>
      <c r="L120" s="70" t="s">
        <v>646</v>
      </c>
      <c r="M120" s="70" t="s">
        <v>649</v>
      </c>
      <c r="N120" s="152" t="s">
        <v>652</v>
      </c>
      <c r="O120" s="152" t="s">
        <v>547</v>
      </c>
      <c r="P120" s="70" t="str">
        <f>'Cleanup TMS'!V120</f>
        <v>STATE</v>
      </c>
      <c r="Q120" s="70" t="str">
        <f>'Cleanup TMS'!W120</f>
        <v>UNINCORPORATED SUMTER COUNTY</v>
      </c>
      <c r="R120" s="70" t="s">
        <v>5</v>
      </c>
      <c r="S120" s="73">
        <f>IF('Cleanup TMS'!AO120=0,"-",'Cleanup TMS'!AO120)</f>
        <v>66200</v>
      </c>
      <c r="T120" s="73">
        <f>'Cleanup TMS'!AP120</f>
        <v>18510</v>
      </c>
      <c r="U120" s="71">
        <f>IF(OR('Cleanup TMS'!AQ120=0,'Cleanup TMS'!AQ120=""),"-",'Cleanup TMS'!AQ120)</f>
        <v>0.28000000000000003</v>
      </c>
      <c r="V120" s="71" t="str">
        <f>IF(OR('Cleanup TMS'!AR120=0,'Cleanup TMS'!AR120=""),"-",'Cleanup TMS'!AR120)</f>
        <v>B</v>
      </c>
      <c r="W120" s="73">
        <f>IF('Cleanup TMS'!BB120=0,"-",'Cleanup TMS'!BB120)</f>
        <v>3280</v>
      </c>
      <c r="X120" s="73">
        <f>'Cleanup TMS'!BC120</f>
        <v>662</v>
      </c>
      <c r="Y120" s="73">
        <f>'Cleanup TMS'!BD120</f>
        <v>988</v>
      </c>
      <c r="Z120" s="74">
        <f>IF(OR('Cleanup TMS'!BE120=0,'Cleanup TMS'!BE120=""),"-",'Cleanup TMS'!BE120)</f>
        <v>0.3</v>
      </c>
      <c r="AA120" s="74" t="str">
        <f>IF(OR('Cleanup TMS'!BF120=0,'Cleanup TMS'!BF120=""),"-",'Cleanup TMS'!BF120)</f>
        <v>B</v>
      </c>
      <c r="AB120" s="148">
        <f>IF(OR('Cleanup TMS'!BI120="",'Cleanup TMS'!BI120=0),"-",'Cleanup TMS'!BI120)</f>
        <v>0.01</v>
      </c>
      <c r="AC120" s="73">
        <f>'Cleanup TMS'!BS120</f>
        <v>66200</v>
      </c>
      <c r="AD120" s="73">
        <f t="shared" si="7"/>
        <v>19454</v>
      </c>
      <c r="AE120" s="74">
        <f>IF(OR('Cleanup TMS'!BU120=0,'Cleanup TMS'!BU120=""),"-",'Cleanup TMS'!BU120)</f>
        <v>0.28999999999999998</v>
      </c>
      <c r="AF120" s="74" t="str">
        <f>IF(OR('Cleanup TMS'!BV120=0,'Cleanup TMS'!BV120=""),"-",'Cleanup TMS'!BV120)</f>
        <v>B</v>
      </c>
      <c r="AG120" s="73">
        <f>'Cleanup TMS'!CF120</f>
        <v>3280</v>
      </c>
      <c r="AH120" s="73">
        <f t="shared" si="8"/>
        <v>696</v>
      </c>
      <c r="AI120" s="73">
        <f t="shared" si="9"/>
        <v>1038</v>
      </c>
      <c r="AJ120" s="71">
        <f>IF(OR('Cleanup TMS'!CI120=0,'Cleanup TMS'!CI120=""),"-",'Cleanup TMS'!CI120)</f>
        <v>0.32</v>
      </c>
      <c r="AK120" s="75" t="str">
        <f>IF(OR('Cleanup TMS'!CJ120=0,'Cleanup TMS'!CJ120=""),"-",'Cleanup TMS'!CJ120)</f>
        <v>B</v>
      </c>
    </row>
    <row r="121" spans="1:37" ht="18.75" customHeight="1">
      <c r="A121" s="69">
        <f>'Cleanup TMS'!A121</f>
        <v>3553100</v>
      </c>
      <c r="B121" s="70" t="str">
        <f>'Cleanup TMS'!B121</f>
        <v>2020-378</v>
      </c>
      <c r="C121" s="70" t="str">
        <f>IF('Cleanup TMS'!E121="","",'Cleanup TMS'!E121)</f>
        <v/>
      </c>
      <c r="D121" s="70" t="str">
        <f>'Cleanup TMS'!F121</f>
        <v>SUMTER</v>
      </c>
      <c r="E121" s="70">
        <f>'Cleanup TMS'!G121</f>
        <v>35</v>
      </c>
      <c r="F121" s="71">
        <f>ROUND('Cleanup TMS'!H121,2)</f>
        <v>0.27</v>
      </c>
      <c r="G121" s="72" t="str">
        <f>'Cleanup TMS'!I121</f>
        <v xml:space="preserve">CR 48 </v>
      </c>
      <c r="H121" s="72" t="str">
        <f>'Cleanup TMS'!J121</f>
        <v>CR 478 (VIRGINIA AVE)</v>
      </c>
      <c r="I121" s="72" t="str">
        <f>'Cleanup TMS'!K121</f>
        <v>CR 469</v>
      </c>
      <c r="J121" s="70">
        <f>'Cleanup TMS'!L121</f>
        <v>2</v>
      </c>
      <c r="K121" s="70">
        <v>2</v>
      </c>
      <c r="L121" s="70" t="s">
        <v>647</v>
      </c>
      <c r="M121" s="70" t="s">
        <v>648</v>
      </c>
      <c r="N121" s="152" t="s">
        <v>652</v>
      </c>
      <c r="O121" s="152" t="s">
        <v>655</v>
      </c>
      <c r="P121" s="70" t="str">
        <f>'Cleanup TMS'!V121</f>
        <v>COUNTY</v>
      </c>
      <c r="Q121" s="70" t="str">
        <f>'Cleanup TMS'!W121</f>
        <v>CENTER HILL</v>
      </c>
      <c r="R121" s="70" t="s">
        <v>5</v>
      </c>
      <c r="S121" s="73">
        <f>IF('Cleanup TMS'!AO121=0,"-",'Cleanup TMS'!AO121)</f>
        <v>21300</v>
      </c>
      <c r="T121" s="73">
        <f>'Cleanup TMS'!AP121</f>
        <v>6975.3800000000047</v>
      </c>
      <c r="U121" s="71">
        <f>IF(OR('Cleanup TMS'!AQ121=0,'Cleanup TMS'!AQ121=""),"-",'Cleanup TMS'!AQ121)</f>
        <v>0.33</v>
      </c>
      <c r="V121" s="71" t="str">
        <f>IF(OR('Cleanup TMS'!AR121=0,'Cleanup TMS'!AR121=""),"-",'Cleanup TMS'!AR121)</f>
        <v>B</v>
      </c>
      <c r="W121" s="73">
        <f>IF('Cleanup TMS'!BB121=0,"-",'Cleanup TMS'!BB121)</f>
        <v>1110</v>
      </c>
      <c r="X121" s="73">
        <f>'Cleanup TMS'!BC121</f>
        <v>188</v>
      </c>
      <c r="Y121" s="73">
        <f>'Cleanup TMS'!BD121</f>
        <v>333</v>
      </c>
      <c r="Z121" s="74">
        <f>IF(OR('Cleanup TMS'!BE121=0,'Cleanup TMS'!BE121=""),"-",'Cleanup TMS'!BE121)</f>
        <v>0.3</v>
      </c>
      <c r="AA121" s="74" t="str">
        <f>IF(OR('Cleanup TMS'!BF121=0,'Cleanup TMS'!BF121=""),"-",'Cleanup TMS'!BF121)</f>
        <v>B</v>
      </c>
      <c r="AB121" s="148">
        <f>IF(OR('Cleanup TMS'!BI121="",'Cleanup TMS'!BI121=0),"-",'Cleanup TMS'!BI121)</f>
        <v>0.02</v>
      </c>
      <c r="AC121" s="73">
        <f>'Cleanup TMS'!BS121</f>
        <v>21300</v>
      </c>
      <c r="AD121" s="73">
        <f t="shared" si="7"/>
        <v>7701</v>
      </c>
      <c r="AE121" s="74">
        <f>IF(OR('Cleanup TMS'!BU121=0,'Cleanup TMS'!BU121=""),"-",'Cleanup TMS'!BU121)</f>
        <v>0.36</v>
      </c>
      <c r="AF121" s="74" t="str">
        <f>IF(OR('Cleanup TMS'!BV121=0,'Cleanup TMS'!BV121=""),"-",'Cleanup TMS'!BV121)</f>
        <v>B</v>
      </c>
      <c r="AG121" s="73">
        <f>'Cleanup TMS'!CF121</f>
        <v>1110</v>
      </c>
      <c r="AH121" s="73">
        <f t="shared" si="8"/>
        <v>208</v>
      </c>
      <c r="AI121" s="73">
        <f t="shared" si="9"/>
        <v>368</v>
      </c>
      <c r="AJ121" s="71">
        <f>IF(OR('Cleanup TMS'!CI121=0,'Cleanup TMS'!CI121=""),"-",'Cleanup TMS'!CI121)</f>
        <v>0.33</v>
      </c>
      <c r="AK121" s="75" t="str">
        <f>IF(OR('Cleanup TMS'!CJ121=0,'Cleanup TMS'!CJ121=""),"-",'Cleanup TMS'!CJ121)</f>
        <v>B</v>
      </c>
    </row>
    <row r="122" spans="1:37" ht="18.75" customHeight="1">
      <c r="A122" s="69">
        <f>'Cleanup TMS'!A122</f>
        <v>3553130</v>
      </c>
      <c r="B122" s="70">
        <f>'Cleanup TMS'!B122</f>
        <v>71</v>
      </c>
      <c r="C122" s="70" t="str">
        <f>IF('Cleanup TMS'!E122="","",'Cleanup TMS'!E122)</f>
        <v/>
      </c>
      <c r="D122" s="70" t="str">
        <f>'Cleanup TMS'!F122</f>
        <v>SUMTER</v>
      </c>
      <c r="E122" s="70">
        <f>'Cleanup TMS'!G122</f>
        <v>30</v>
      </c>
      <c r="F122" s="71">
        <f>ROUND('Cleanup TMS'!H122,2)</f>
        <v>0.51</v>
      </c>
      <c r="G122" s="262" t="str">
        <f>'Cleanup TMS'!I122</f>
        <v>CR 48 (FLORIDA ST)</v>
      </c>
      <c r="H122" s="72" t="str">
        <f>'Cleanup TMS'!J122</f>
        <v>US 301/SR 35 (NOBLE AVE)</v>
      </c>
      <c r="I122" s="72" t="str">
        <f>'Cleanup TMS'!K122</f>
        <v>CR 476 W</v>
      </c>
      <c r="J122" s="70">
        <f>'Cleanup TMS'!L122</f>
        <v>2</v>
      </c>
      <c r="K122" s="70">
        <v>2</v>
      </c>
      <c r="L122" s="70" t="s">
        <v>646</v>
      </c>
      <c r="M122" s="70" t="s">
        <v>648</v>
      </c>
      <c r="N122" s="152" t="s">
        <v>651</v>
      </c>
      <c r="O122" s="152" t="s">
        <v>547</v>
      </c>
      <c r="P122" s="70" t="str">
        <f>'Cleanup TMS'!V122</f>
        <v>BUSHNELL</v>
      </c>
      <c r="Q122" s="70" t="str">
        <f>'Cleanup TMS'!W122</f>
        <v>BUSHNELL</v>
      </c>
      <c r="R122" s="70" t="s">
        <v>5</v>
      </c>
      <c r="S122" s="73">
        <f>IF('Cleanup TMS'!AO122=0,"-",'Cleanup TMS'!AO122)</f>
        <v>10360</v>
      </c>
      <c r="T122" s="73">
        <f>'Cleanup TMS'!AP122</f>
        <v>3626</v>
      </c>
      <c r="U122" s="71">
        <f>IF(OR('Cleanup TMS'!AQ122=0,'Cleanup TMS'!AQ122=""),"-",'Cleanup TMS'!AQ122)</f>
        <v>0.35</v>
      </c>
      <c r="V122" s="71" t="str">
        <f>IF(OR('Cleanup TMS'!AR122=0,'Cleanup TMS'!AR122=""),"-",'Cleanup TMS'!AR122)</f>
        <v>C</v>
      </c>
      <c r="W122" s="73">
        <f>IF('Cleanup TMS'!BB122=0,"-",'Cleanup TMS'!BB122)</f>
        <v>525</v>
      </c>
      <c r="X122" s="73">
        <f>'Cleanup TMS'!BC122</f>
        <v>164</v>
      </c>
      <c r="Y122" s="73">
        <f>'Cleanup TMS'!BD122</f>
        <v>219</v>
      </c>
      <c r="Z122" s="74">
        <f>IF(OR('Cleanup TMS'!BE122=0,'Cleanup TMS'!BE122=""),"-",'Cleanup TMS'!BE122)</f>
        <v>0.42</v>
      </c>
      <c r="AA122" s="74" t="str">
        <f>IF(OR('Cleanup TMS'!BF122=0,'Cleanup TMS'!BF122=""),"-",'Cleanup TMS'!BF122)</f>
        <v>C</v>
      </c>
      <c r="AB122" s="148">
        <f>IF(OR('Cleanup TMS'!BI122="",'Cleanup TMS'!BI122=0),"-",'Cleanup TMS'!BI122)</f>
        <v>1.2500000000000001E-2</v>
      </c>
      <c r="AC122" s="73">
        <f>'Cleanup TMS'!BS122</f>
        <v>10360</v>
      </c>
      <c r="AD122" s="73">
        <f t="shared" si="7"/>
        <v>3858</v>
      </c>
      <c r="AE122" s="74">
        <f>IF(OR('Cleanup TMS'!BU122=0,'Cleanup TMS'!BU122=""),"-",'Cleanup TMS'!BU122)</f>
        <v>0.37</v>
      </c>
      <c r="AF122" s="74" t="str">
        <f>IF(OR('Cleanup TMS'!BV122=0,'Cleanup TMS'!BV122=""),"-",'Cleanup TMS'!BV122)</f>
        <v>C</v>
      </c>
      <c r="AG122" s="73">
        <f>'Cleanup TMS'!CF122</f>
        <v>525</v>
      </c>
      <c r="AH122" s="73">
        <f t="shared" si="8"/>
        <v>175</v>
      </c>
      <c r="AI122" s="73">
        <f t="shared" si="9"/>
        <v>233</v>
      </c>
      <c r="AJ122" s="71">
        <f>IF(OR('Cleanup TMS'!CI122=0,'Cleanup TMS'!CI122=""),"-",'Cleanup TMS'!CI122)</f>
        <v>0.44</v>
      </c>
      <c r="AK122" s="75" t="str">
        <f>IF(OR('Cleanup TMS'!CJ122=0,'Cleanup TMS'!CJ122=""),"-",'Cleanup TMS'!CJ122)</f>
        <v>C</v>
      </c>
    </row>
    <row r="123" spans="1:37" ht="18.75" customHeight="1">
      <c r="A123" s="69">
        <f>'Cleanup TMS'!A123</f>
        <v>3553140</v>
      </c>
      <c r="B123" s="70">
        <f>'Cleanup TMS'!B123</f>
        <v>37</v>
      </c>
      <c r="C123" s="70" t="str">
        <f>IF('Cleanup TMS'!E123="","",'Cleanup TMS'!E123)</f>
        <v/>
      </c>
      <c r="D123" s="70" t="str">
        <f>'Cleanup TMS'!F123</f>
        <v>SUMTER</v>
      </c>
      <c r="E123" s="70">
        <f>'Cleanup TMS'!G123</f>
        <v>55</v>
      </c>
      <c r="F123" s="71">
        <f>ROUND('Cleanup TMS'!H123,2)</f>
        <v>2.75</v>
      </c>
      <c r="G123" s="72" t="str">
        <f>'Cleanup TMS'!I123</f>
        <v>CR 469</v>
      </c>
      <c r="H123" s="72" t="str">
        <f>'Cleanup TMS'!J123</f>
        <v>CR 728</v>
      </c>
      <c r="I123" s="72" t="str">
        <f>'Cleanup TMS'!K123</f>
        <v>CR 48 E</v>
      </c>
      <c r="J123" s="70">
        <f>'Cleanup TMS'!L123</f>
        <v>2</v>
      </c>
      <c r="K123" s="70">
        <v>2</v>
      </c>
      <c r="L123" s="70" t="s">
        <v>647</v>
      </c>
      <c r="M123" s="70" t="s">
        <v>648</v>
      </c>
      <c r="N123" s="152" t="s">
        <v>651</v>
      </c>
      <c r="O123" s="152" t="s">
        <v>547</v>
      </c>
      <c r="P123" s="70" t="str">
        <f>'Cleanup TMS'!V123</f>
        <v>COUNTY</v>
      </c>
      <c r="Q123" s="70" t="str">
        <f>'Cleanup TMS'!W123</f>
        <v>CENTER HILL</v>
      </c>
      <c r="R123" s="70" t="s">
        <v>5</v>
      </c>
      <c r="S123" s="73">
        <f>IF('Cleanup TMS'!AO123=0,"-",'Cleanup TMS'!AO123)</f>
        <v>9940</v>
      </c>
      <c r="T123" s="73">
        <f>'Cleanup TMS'!AP123</f>
        <v>4863</v>
      </c>
      <c r="U123" s="71">
        <f>IF(OR('Cleanup TMS'!AQ123=0,'Cleanup TMS'!AQ123=""),"-",'Cleanup TMS'!AQ123)</f>
        <v>0.49</v>
      </c>
      <c r="V123" s="71" t="str">
        <f>IF(OR('Cleanup TMS'!AR123=0,'Cleanup TMS'!AR123=""),"-",'Cleanup TMS'!AR123)</f>
        <v>C</v>
      </c>
      <c r="W123" s="73">
        <f>IF('Cleanup TMS'!BB123=0,"-",'Cleanup TMS'!BB123)</f>
        <v>518</v>
      </c>
      <c r="X123" s="73">
        <f>'Cleanup TMS'!BC123</f>
        <v>193</v>
      </c>
      <c r="Y123" s="73">
        <f>'Cleanup TMS'!BD123</f>
        <v>166</v>
      </c>
      <c r="Z123" s="74">
        <f>IF(OR('Cleanup TMS'!BE123=0,'Cleanup TMS'!BE123=""),"-",'Cleanup TMS'!BE123)</f>
        <v>0.37</v>
      </c>
      <c r="AA123" s="74" t="str">
        <f>IF(OR('Cleanup TMS'!BF123=0,'Cleanup TMS'!BF123=""),"-",'Cleanup TMS'!BF123)</f>
        <v>C</v>
      </c>
      <c r="AB123" s="148">
        <f>IF(OR('Cleanup TMS'!BI123="",'Cleanup TMS'!BI123=0),"-",'Cleanup TMS'!BI123)</f>
        <v>4.4999999999999998E-2</v>
      </c>
      <c r="AC123" s="73">
        <f>'Cleanup TMS'!BS123</f>
        <v>9940</v>
      </c>
      <c r="AD123" s="73">
        <f t="shared" si="7"/>
        <v>6060</v>
      </c>
      <c r="AE123" s="74">
        <f>IF(OR('Cleanup TMS'!BU123=0,'Cleanup TMS'!BU123=""),"-",'Cleanup TMS'!BU123)</f>
        <v>0.61</v>
      </c>
      <c r="AF123" s="74" t="str">
        <f>IF(OR('Cleanup TMS'!BV123=0,'Cleanup TMS'!BV123=""),"-",'Cleanup TMS'!BV123)</f>
        <v>C</v>
      </c>
      <c r="AG123" s="73">
        <f>'Cleanup TMS'!CF123</f>
        <v>518</v>
      </c>
      <c r="AH123" s="73">
        <f t="shared" si="8"/>
        <v>241</v>
      </c>
      <c r="AI123" s="73">
        <f t="shared" si="9"/>
        <v>207</v>
      </c>
      <c r="AJ123" s="71">
        <f>IF(OR('Cleanup TMS'!CI123=0,'Cleanup TMS'!CI123=""),"-",'Cleanup TMS'!CI123)</f>
        <v>0.47</v>
      </c>
      <c r="AK123" s="75" t="str">
        <f>IF(OR('Cleanup TMS'!CJ123=0,'Cleanup TMS'!CJ123=""),"-",'Cleanup TMS'!CJ123)</f>
        <v>C</v>
      </c>
    </row>
    <row r="124" spans="1:37" ht="18.75" customHeight="1">
      <c r="A124" s="69">
        <f>'Cleanup TMS'!A124</f>
        <v>3553150</v>
      </c>
      <c r="B124" s="70">
        <f>'Cleanup TMS'!B124</f>
        <v>38</v>
      </c>
      <c r="C124" s="70" t="str">
        <f>IF('Cleanup TMS'!E124="","",'Cleanup TMS'!E124)</f>
        <v/>
      </c>
      <c r="D124" s="70" t="str">
        <f>'Cleanup TMS'!F124</f>
        <v>SUMTER</v>
      </c>
      <c r="E124" s="70">
        <f>'Cleanup TMS'!G124</f>
        <v>55</v>
      </c>
      <c r="F124" s="71">
        <f>ROUND('Cleanup TMS'!H124,2)</f>
        <v>2.9</v>
      </c>
      <c r="G124" s="72" t="str">
        <f>'Cleanup TMS'!I124</f>
        <v>CR 469</v>
      </c>
      <c r="H124" s="72" t="str">
        <f>'Cleanup TMS'!J124</f>
        <v>SR 50</v>
      </c>
      <c r="I124" s="72" t="str">
        <f>'Cleanup TMS'!K124</f>
        <v>CR 728</v>
      </c>
      <c r="J124" s="70">
        <f>'Cleanup TMS'!L124</f>
        <v>2</v>
      </c>
      <c r="K124" s="70">
        <v>2</v>
      </c>
      <c r="L124" s="70" t="s">
        <v>646</v>
      </c>
      <c r="M124" s="70" t="s">
        <v>648</v>
      </c>
      <c r="N124" s="152" t="s">
        <v>651</v>
      </c>
      <c r="O124" s="152" t="s">
        <v>547</v>
      </c>
      <c r="P124" s="70" t="str">
        <f>'Cleanup TMS'!V124</f>
        <v>COUNTY</v>
      </c>
      <c r="Q124" s="70" t="str">
        <f>'Cleanup TMS'!W124</f>
        <v>UNINCORPORATED SUMTER COUNTY</v>
      </c>
      <c r="R124" s="70" t="s">
        <v>5</v>
      </c>
      <c r="S124" s="73">
        <f>IF('Cleanup TMS'!AO124=0,"-",'Cleanup TMS'!AO124)</f>
        <v>12390</v>
      </c>
      <c r="T124" s="73">
        <f>'Cleanup TMS'!AP124</f>
        <v>4567</v>
      </c>
      <c r="U124" s="71">
        <f>IF(OR('Cleanup TMS'!AQ124=0,'Cleanup TMS'!AQ124=""),"-",'Cleanup TMS'!AQ124)</f>
        <v>0.37</v>
      </c>
      <c r="V124" s="71" t="str">
        <f>IF(OR('Cleanup TMS'!AR124=0,'Cleanup TMS'!AR124=""),"-",'Cleanup TMS'!AR124)</f>
        <v>C</v>
      </c>
      <c r="W124" s="73">
        <f>IF('Cleanup TMS'!BB124=0,"-",'Cleanup TMS'!BB124)</f>
        <v>616</v>
      </c>
      <c r="X124" s="73">
        <f>'Cleanup TMS'!BC124</f>
        <v>192</v>
      </c>
      <c r="Y124" s="73">
        <f>'Cleanup TMS'!BD124</f>
        <v>160</v>
      </c>
      <c r="Z124" s="74">
        <f>IF(OR('Cleanup TMS'!BE124=0,'Cleanup TMS'!BE124=""),"-",'Cleanup TMS'!BE124)</f>
        <v>0.31</v>
      </c>
      <c r="AA124" s="74" t="str">
        <f>IF(OR('Cleanup TMS'!BF124=0,'Cleanup TMS'!BF124=""),"-",'Cleanup TMS'!BF124)</f>
        <v>C</v>
      </c>
      <c r="AB124" s="148">
        <f>IF(OR('Cleanup TMS'!BI124="",'Cleanup TMS'!BI124=0),"-",'Cleanup TMS'!BI124)</f>
        <v>0.05</v>
      </c>
      <c r="AC124" s="73">
        <f>'Cleanup TMS'!BS124</f>
        <v>12390</v>
      </c>
      <c r="AD124" s="73">
        <f t="shared" si="7"/>
        <v>5829</v>
      </c>
      <c r="AE124" s="74">
        <f>IF(OR('Cleanup TMS'!BU124=0,'Cleanup TMS'!BU124=""),"-",'Cleanup TMS'!BU124)</f>
        <v>0.47</v>
      </c>
      <c r="AF124" s="74" t="str">
        <f>IF(OR('Cleanup TMS'!BV124=0,'Cleanup TMS'!BV124=""),"-",'Cleanup TMS'!BV124)</f>
        <v>C</v>
      </c>
      <c r="AG124" s="73">
        <f>'Cleanup TMS'!CF124</f>
        <v>616</v>
      </c>
      <c r="AH124" s="73">
        <f t="shared" si="8"/>
        <v>245</v>
      </c>
      <c r="AI124" s="73">
        <f t="shared" si="9"/>
        <v>204</v>
      </c>
      <c r="AJ124" s="71">
        <f>IF(OR('Cleanup TMS'!CI124=0,'Cleanup TMS'!CI124=""),"-",'Cleanup TMS'!CI124)</f>
        <v>0.4</v>
      </c>
      <c r="AK124" s="75" t="str">
        <f>IF(OR('Cleanup TMS'!CJ124=0,'Cleanup TMS'!CJ124=""),"-",'Cleanup TMS'!CJ124)</f>
        <v>C</v>
      </c>
    </row>
    <row r="125" spans="1:37" ht="18.75" customHeight="1">
      <c r="A125" s="69">
        <f>'Cleanup TMS'!A125</f>
        <v>3553160</v>
      </c>
      <c r="B125" s="70">
        <f>'Cleanup TMS'!B125</f>
        <v>72</v>
      </c>
      <c r="C125" s="70" t="str">
        <f>IF('Cleanup TMS'!E125="","",'Cleanup TMS'!E125)</f>
        <v/>
      </c>
      <c r="D125" s="70" t="str">
        <f>'Cleanup TMS'!F125</f>
        <v>SUMTER</v>
      </c>
      <c r="E125" s="70">
        <f>'Cleanup TMS'!G125</f>
        <v>35</v>
      </c>
      <c r="F125" s="71">
        <f>ROUND('Cleanup TMS'!H125,2)</f>
        <v>0.59</v>
      </c>
      <c r="G125" s="72" t="str">
        <f>'Cleanup TMS'!I125</f>
        <v>CR 48</v>
      </c>
      <c r="H125" s="72" t="str">
        <f>'Cleanup TMS'!J125</f>
        <v>CR 476 W</v>
      </c>
      <c r="I125" s="72" t="str">
        <f>'Cleanup TMS'!K125</f>
        <v>CR 557</v>
      </c>
      <c r="J125" s="70">
        <f>'Cleanup TMS'!L125</f>
        <v>2</v>
      </c>
      <c r="K125" s="70">
        <v>2</v>
      </c>
      <c r="L125" s="70" t="s">
        <v>647</v>
      </c>
      <c r="M125" s="70" t="s">
        <v>648</v>
      </c>
      <c r="N125" s="152" t="s">
        <v>652</v>
      </c>
      <c r="O125" s="152" t="s">
        <v>655</v>
      </c>
      <c r="P125" s="70" t="str">
        <f>'Cleanup TMS'!V125</f>
        <v>COUNTY</v>
      </c>
      <c r="Q125" s="70" t="str">
        <f>'Cleanup TMS'!W125</f>
        <v>BUSHNELL</v>
      </c>
      <c r="R125" s="70" t="s">
        <v>5</v>
      </c>
      <c r="S125" s="73">
        <f>IF('Cleanup TMS'!AO125=0,"-",'Cleanup TMS'!AO125)</f>
        <v>21300</v>
      </c>
      <c r="T125" s="73">
        <f>'Cleanup TMS'!AP125</f>
        <v>8713</v>
      </c>
      <c r="U125" s="71">
        <f>IF(OR('Cleanup TMS'!AQ125=0,'Cleanup TMS'!AQ125=""),"-",'Cleanup TMS'!AQ125)</f>
        <v>0.41</v>
      </c>
      <c r="V125" s="71" t="str">
        <f>IF(OR('Cleanup TMS'!AR125=0,'Cleanup TMS'!AR125=""),"-",'Cleanup TMS'!AR125)</f>
        <v>B</v>
      </c>
      <c r="W125" s="73">
        <f>IF('Cleanup TMS'!BB125=0,"-",'Cleanup TMS'!BB125)</f>
        <v>1110</v>
      </c>
      <c r="X125" s="73">
        <f>'Cleanup TMS'!BC125</f>
        <v>388</v>
      </c>
      <c r="Y125" s="73">
        <f>'Cleanup TMS'!BD125</f>
        <v>460</v>
      </c>
      <c r="Z125" s="74">
        <f>IF(OR('Cleanup TMS'!BE125=0,'Cleanup TMS'!BE125=""),"-",'Cleanup TMS'!BE125)</f>
        <v>0.41</v>
      </c>
      <c r="AA125" s="74" t="str">
        <f>IF(OR('Cleanup TMS'!BF125=0,'Cleanup TMS'!BF125=""),"-",'Cleanup TMS'!BF125)</f>
        <v>B</v>
      </c>
      <c r="AB125" s="148">
        <f>IF(OR('Cleanup TMS'!BI125="",'Cleanup TMS'!BI125=0),"-",'Cleanup TMS'!BI125)</f>
        <v>4.4999999999999998E-2</v>
      </c>
      <c r="AC125" s="73">
        <f>'Cleanup TMS'!BS125</f>
        <v>21300</v>
      </c>
      <c r="AD125" s="73">
        <f t="shared" si="7"/>
        <v>10858</v>
      </c>
      <c r="AE125" s="74">
        <f>IF(OR('Cleanup TMS'!BU125=0,'Cleanup TMS'!BU125=""),"-",'Cleanup TMS'!BU125)</f>
        <v>0.51</v>
      </c>
      <c r="AF125" s="74" t="str">
        <f>IF(OR('Cleanup TMS'!BV125=0,'Cleanup TMS'!BV125=""),"-",'Cleanup TMS'!BV125)</f>
        <v>C</v>
      </c>
      <c r="AG125" s="73">
        <f>'Cleanup TMS'!CF125</f>
        <v>1110</v>
      </c>
      <c r="AH125" s="73">
        <f t="shared" si="8"/>
        <v>484</v>
      </c>
      <c r="AI125" s="73">
        <f t="shared" si="9"/>
        <v>573</v>
      </c>
      <c r="AJ125" s="71">
        <f>IF(OR('Cleanup TMS'!CI125=0,'Cleanup TMS'!CI125=""),"-",'Cleanup TMS'!CI125)</f>
        <v>0.52</v>
      </c>
      <c r="AK125" s="75" t="str">
        <f>IF(OR('Cleanup TMS'!CJ125=0,'Cleanup TMS'!CJ125=""),"-",'Cleanup TMS'!CJ125)</f>
        <v>C</v>
      </c>
    </row>
    <row r="126" spans="1:37" ht="18.75" customHeight="1">
      <c r="A126" s="69">
        <f>'Cleanup TMS'!A126</f>
        <v>3553170</v>
      </c>
      <c r="B126" s="70">
        <f>'Cleanup TMS'!B126</f>
        <v>75</v>
      </c>
      <c r="C126" s="70" t="str">
        <f>IF('Cleanup TMS'!E126="","",'Cleanup TMS'!E126)</f>
        <v>187001</v>
      </c>
      <c r="D126" s="70" t="str">
        <f>'Cleanup TMS'!F126</f>
        <v>SUMTER</v>
      </c>
      <c r="E126" s="70">
        <f>'Cleanup TMS'!G126</f>
        <v>55</v>
      </c>
      <c r="F126" s="71">
        <f>ROUND('Cleanup TMS'!H126,2)</f>
        <v>1.75</v>
      </c>
      <c r="G126" s="72" t="str">
        <f>'Cleanup TMS'!I126</f>
        <v>CR 48</v>
      </c>
      <c r="H126" s="72" t="str">
        <f>'Cleanup TMS'!J126</f>
        <v>CR 557</v>
      </c>
      <c r="I126" s="72" t="str">
        <f>'Cleanup TMS'!K126</f>
        <v>CR 747</v>
      </c>
      <c r="J126" s="70">
        <f>'Cleanup TMS'!L126</f>
        <v>2</v>
      </c>
      <c r="K126" s="70">
        <v>2</v>
      </c>
      <c r="L126" s="70" t="s">
        <v>647</v>
      </c>
      <c r="M126" s="70" t="s">
        <v>648</v>
      </c>
      <c r="N126" s="152" t="s">
        <v>652</v>
      </c>
      <c r="O126" s="152" t="s">
        <v>655</v>
      </c>
      <c r="P126" s="70" t="str">
        <f>'Cleanup TMS'!V126</f>
        <v>COUNTY</v>
      </c>
      <c r="Q126" s="70" t="str">
        <f>'Cleanup TMS'!W126</f>
        <v>BUSHNELL</v>
      </c>
      <c r="R126" s="70" t="s">
        <v>5</v>
      </c>
      <c r="S126" s="73">
        <f>IF('Cleanup TMS'!AO126=0,"-",'Cleanup TMS'!AO126)</f>
        <v>21300</v>
      </c>
      <c r="T126" s="73">
        <f>'Cleanup TMS'!AP126</f>
        <v>8341</v>
      </c>
      <c r="U126" s="71">
        <f>IF(OR('Cleanup TMS'!AQ126=0,'Cleanup TMS'!AQ126=""),"-",'Cleanup TMS'!AQ126)</f>
        <v>0.39</v>
      </c>
      <c r="V126" s="71" t="str">
        <f>IF(OR('Cleanup TMS'!AR126=0,'Cleanup TMS'!AR126=""),"-",'Cleanup TMS'!AR126)</f>
        <v>B</v>
      </c>
      <c r="W126" s="73">
        <f>IF('Cleanup TMS'!BB126=0,"-",'Cleanup TMS'!BB126)</f>
        <v>1110</v>
      </c>
      <c r="X126" s="73">
        <f>'Cleanup TMS'!BC126</f>
        <v>339</v>
      </c>
      <c r="Y126" s="73">
        <f>'Cleanup TMS'!BD126</f>
        <v>452</v>
      </c>
      <c r="Z126" s="74">
        <f>IF(OR('Cleanup TMS'!BE126=0,'Cleanup TMS'!BE126=""),"-",'Cleanup TMS'!BE126)</f>
        <v>0.41</v>
      </c>
      <c r="AA126" s="74" t="str">
        <f>IF(OR('Cleanup TMS'!BF126=0,'Cleanup TMS'!BF126=""),"-",'Cleanup TMS'!BF126)</f>
        <v>B</v>
      </c>
      <c r="AB126" s="148">
        <f>IF(OR('Cleanup TMS'!BI126="",'Cleanup TMS'!BI126=0),"-",'Cleanup TMS'!BI126)</f>
        <v>0.04</v>
      </c>
      <c r="AC126" s="73">
        <f>'Cleanup TMS'!BS126</f>
        <v>21300</v>
      </c>
      <c r="AD126" s="73">
        <f t="shared" si="7"/>
        <v>10148</v>
      </c>
      <c r="AE126" s="74">
        <f>IF(OR('Cleanup TMS'!BU126=0,'Cleanup TMS'!BU126=""),"-",'Cleanup TMS'!BU126)</f>
        <v>0.48</v>
      </c>
      <c r="AF126" s="74" t="str">
        <f>IF(OR('Cleanup TMS'!BV126=0,'Cleanup TMS'!BV126=""),"-",'Cleanup TMS'!BV126)</f>
        <v>B</v>
      </c>
      <c r="AG126" s="73">
        <f>'Cleanup TMS'!CF126</f>
        <v>1110</v>
      </c>
      <c r="AH126" s="73">
        <f t="shared" si="8"/>
        <v>412</v>
      </c>
      <c r="AI126" s="73">
        <f t="shared" si="9"/>
        <v>550</v>
      </c>
      <c r="AJ126" s="71">
        <f>IF(OR('Cleanup TMS'!CI126=0,'Cleanup TMS'!CI126=""),"-",'Cleanup TMS'!CI126)</f>
        <v>0.5</v>
      </c>
      <c r="AK126" s="75" t="str">
        <f>IF(OR('Cleanup TMS'!CJ126=0,'Cleanup TMS'!CJ126=""),"-",'Cleanup TMS'!CJ126)</f>
        <v>C</v>
      </c>
    </row>
    <row r="127" spans="1:37" ht="18.75" customHeight="1">
      <c r="A127" s="69">
        <f>'Cleanup TMS'!A127</f>
        <v>3553180</v>
      </c>
      <c r="B127" s="70">
        <f>'Cleanup TMS'!B127</f>
        <v>73</v>
      </c>
      <c r="C127" s="70" t="str">
        <f>IF('Cleanup TMS'!E127="","",'Cleanup TMS'!E127)</f>
        <v>187001</v>
      </c>
      <c r="D127" s="70" t="str">
        <f>'Cleanup TMS'!F127</f>
        <v>SUMTER</v>
      </c>
      <c r="E127" s="70">
        <f>'Cleanup TMS'!G127</f>
        <v>45</v>
      </c>
      <c r="F127" s="71">
        <f>ROUND('Cleanup TMS'!H127,2)</f>
        <v>1.26</v>
      </c>
      <c r="G127" s="72" t="str">
        <f>'Cleanup TMS'!I127</f>
        <v>CR 48</v>
      </c>
      <c r="H127" s="72" t="str">
        <f>'Cleanup TMS'!J127</f>
        <v>CR 747</v>
      </c>
      <c r="I127" s="72" t="str">
        <f>'Cleanup TMS'!K127</f>
        <v>SR 471</v>
      </c>
      <c r="J127" s="70">
        <f>'Cleanup TMS'!L127</f>
        <v>2</v>
      </c>
      <c r="K127" s="70">
        <v>2</v>
      </c>
      <c r="L127" s="70" t="s">
        <v>646</v>
      </c>
      <c r="M127" s="70" t="s">
        <v>648</v>
      </c>
      <c r="N127" s="152" t="s">
        <v>652</v>
      </c>
      <c r="O127" s="152" t="s">
        <v>547</v>
      </c>
      <c r="P127" s="70" t="str">
        <f>'Cleanup TMS'!V127</f>
        <v>COUNTY</v>
      </c>
      <c r="Q127" s="70" t="str">
        <f>'Cleanup TMS'!W127</f>
        <v>BUSHNELL</v>
      </c>
      <c r="R127" s="70" t="s">
        <v>5</v>
      </c>
      <c r="S127" s="73">
        <f>IF('Cleanup TMS'!AO127=0,"-",'Cleanup TMS'!AO127)</f>
        <v>24200</v>
      </c>
      <c r="T127" s="73">
        <f>'Cleanup TMS'!AP127</f>
        <v>7301</v>
      </c>
      <c r="U127" s="71">
        <f>IF(OR('Cleanup TMS'!AQ127=0,'Cleanup TMS'!AQ127=""),"-",'Cleanup TMS'!AQ127)</f>
        <v>0.3</v>
      </c>
      <c r="V127" s="71" t="str">
        <f>IF(OR('Cleanup TMS'!AR127=0,'Cleanup TMS'!AR127=""),"-",'Cleanup TMS'!AR127)</f>
        <v>B</v>
      </c>
      <c r="W127" s="73">
        <f>IF('Cleanup TMS'!BB127=0,"-",'Cleanup TMS'!BB127)</f>
        <v>1200</v>
      </c>
      <c r="X127" s="73">
        <f>'Cleanup TMS'!BC127</f>
        <v>308</v>
      </c>
      <c r="Y127" s="73">
        <f>'Cleanup TMS'!BD127</f>
        <v>346</v>
      </c>
      <c r="Z127" s="74">
        <f>IF(OR('Cleanup TMS'!BE127=0,'Cleanup TMS'!BE127=""),"-",'Cleanup TMS'!BE127)</f>
        <v>0.28999999999999998</v>
      </c>
      <c r="AA127" s="74" t="str">
        <f>IF(OR('Cleanup TMS'!BF127=0,'Cleanup TMS'!BF127=""),"-",'Cleanup TMS'!BF127)</f>
        <v>B</v>
      </c>
      <c r="AB127" s="148">
        <f>IF(OR('Cleanup TMS'!BI127="",'Cleanup TMS'!BI127=0),"-",'Cleanup TMS'!BI127)</f>
        <v>3.5000000000000003E-2</v>
      </c>
      <c r="AC127" s="73">
        <f>'Cleanup TMS'!BS127</f>
        <v>24200</v>
      </c>
      <c r="AD127" s="73">
        <f t="shared" si="7"/>
        <v>8671</v>
      </c>
      <c r="AE127" s="74">
        <f>IF(OR('Cleanup TMS'!BU127=0,'Cleanup TMS'!BU127=""),"-",'Cleanup TMS'!BU127)</f>
        <v>0.36</v>
      </c>
      <c r="AF127" s="74" t="str">
        <f>IF(OR('Cleanup TMS'!BV127=0,'Cleanup TMS'!BV127=""),"-",'Cleanup TMS'!BV127)</f>
        <v>B</v>
      </c>
      <c r="AG127" s="73">
        <f>'Cleanup TMS'!CF127</f>
        <v>1200</v>
      </c>
      <c r="AH127" s="73">
        <f t="shared" si="8"/>
        <v>366</v>
      </c>
      <c r="AI127" s="73">
        <f t="shared" si="9"/>
        <v>411</v>
      </c>
      <c r="AJ127" s="71">
        <f>IF(OR('Cleanup TMS'!CI127=0,'Cleanup TMS'!CI127=""),"-",'Cleanup TMS'!CI127)</f>
        <v>0.34</v>
      </c>
      <c r="AK127" s="75" t="str">
        <f>IF(OR('Cleanup TMS'!CJ127=0,'Cleanup TMS'!CJ127=""),"-",'Cleanup TMS'!CJ127)</f>
        <v>B</v>
      </c>
    </row>
    <row r="128" spans="1:37" ht="18.75" customHeight="1">
      <c r="A128" s="69">
        <f>'Cleanup TMS'!A128</f>
        <v>3553190</v>
      </c>
      <c r="B128" s="70">
        <f>'Cleanup TMS'!B128</f>
        <v>76</v>
      </c>
      <c r="C128" s="70" t="str">
        <f>IF('Cleanup TMS'!E128="","",'Cleanup TMS'!E128)</f>
        <v/>
      </c>
      <c r="D128" s="70" t="str">
        <f>'Cleanup TMS'!F128</f>
        <v>SUMTER</v>
      </c>
      <c r="E128" s="70">
        <f>'Cleanup TMS'!G128</f>
        <v>55</v>
      </c>
      <c r="F128" s="71">
        <f>ROUND('Cleanup TMS'!H128,2)</f>
        <v>1.45</v>
      </c>
      <c r="G128" s="72" t="str">
        <f>'Cleanup TMS'!I128</f>
        <v>CR 48</v>
      </c>
      <c r="H128" s="72" t="str">
        <f>'Cleanup TMS'!J128</f>
        <v>SR 471</v>
      </c>
      <c r="I128" s="72" t="str">
        <f>'Cleanup TMS'!K128</f>
        <v>CR 567</v>
      </c>
      <c r="J128" s="70">
        <f>'Cleanup TMS'!L128</f>
        <v>2</v>
      </c>
      <c r="K128" s="70">
        <v>2</v>
      </c>
      <c r="L128" s="70" t="s">
        <v>646</v>
      </c>
      <c r="M128" s="70" t="s">
        <v>648</v>
      </c>
      <c r="N128" s="152" t="s">
        <v>652</v>
      </c>
      <c r="O128" s="152" t="s">
        <v>547</v>
      </c>
      <c r="P128" s="70" t="str">
        <f>'Cleanup TMS'!V128</f>
        <v>COUNTY</v>
      </c>
      <c r="Q128" s="70" t="str">
        <f>'Cleanup TMS'!W128</f>
        <v>UNINCORPORATED SUMTER COUNTY</v>
      </c>
      <c r="R128" s="70" t="s">
        <v>5</v>
      </c>
      <c r="S128" s="73">
        <f>IF('Cleanup TMS'!AO128=0,"-",'Cleanup TMS'!AO128)</f>
        <v>24200</v>
      </c>
      <c r="T128" s="73">
        <f>'Cleanup TMS'!AP128</f>
        <v>7340</v>
      </c>
      <c r="U128" s="71">
        <f>IF(OR('Cleanup TMS'!AQ128=0,'Cleanup TMS'!AQ128=""),"-",'Cleanup TMS'!AQ128)</f>
        <v>0.3</v>
      </c>
      <c r="V128" s="71" t="str">
        <f>IF(OR('Cleanup TMS'!AR128=0,'Cleanup TMS'!AR128=""),"-",'Cleanup TMS'!AR128)</f>
        <v>B</v>
      </c>
      <c r="W128" s="73">
        <f>IF('Cleanup TMS'!BB128=0,"-",'Cleanup TMS'!BB128)</f>
        <v>1200</v>
      </c>
      <c r="X128" s="73">
        <f>'Cleanup TMS'!BC128</f>
        <v>310</v>
      </c>
      <c r="Y128" s="73">
        <f>'Cleanup TMS'!BD128</f>
        <v>336</v>
      </c>
      <c r="Z128" s="74">
        <f>IF(OR('Cleanup TMS'!BE128=0,'Cleanup TMS'!BE128=""),"-",'Cleanup TMS'!BE128)</f>
        <v>0.28000000000000003</v>
      </c>
      <c r="AA128" s="74" t="str">
        <f>IF(OR('Cleanup TMS'!BF128=0,'Cleanup TMS'!BF128=""),"-",'Cleanup TMS'!BF128)</f>
        <v>B</v>
      </c>
      <c r="AB128" s="148">
        <f>IF(OR('Cleanup TMS'!BI128="",'Cleanup TMS'!BI128=0),"-",'Cleanup TMS'!BI128)</f>
        <v>4.4999999999999998E-2</v>
      </c>
      <c r="AC128" s="73">
        <f>'Cleanup TMS'!BS128</f>
        <v>24200</v>
      </c>
      <c r="AD128" s="73">
        <f t="shared" si="7"/>
        <v>9147</v>
      </c>
      <c r="AE128" s="74">
        <f>IF(OR('Cleanup TMS'!BU128=0,'Cleanup TMS'!BU128=""),"-",'Cleanup TMS'!BU128)</f>
        <v>0.38</v>
      </c>
      <c r="AF128" s="74" t="str">
        <f>IF(OR('Cleanup TMS'!BV128=0,'Cleanup TMS'!BV128=""),"-",'Cleanup TMS'!BV128)</f>
        <v>B</v>
      </c>
      <c r="AG128" s="73">
        <f>'Cleanup TMS'!CF128</f>
        <v>1200</v>
      </c>
      <c r="AH128" s="73">
        <f t="shared" si="8"/>
        <v>386</v>
      </c>
      <c r="AI128" s="73">
        <f t="shared" si="9"/>
        <v>419</v>
      </c>
      <c r="AJ128" s="71">
        <f>IF(OR('Cleanup TMS'!CI128=0,'Cleanup TMS'!CI128=""),"-",'Cleanup TMS'!CI128)</f>
        <v>0.35</v>
      </c>
      <c r="AK128" s="75" t="str">
        <f>IF(OR('Cleanup TMS'!CJ128=0,'Cleanup TMS'!CJ128=""),"-",'Cleanup TMS'!CJ128)</f>
        <v>B</v>
      </c>
    </row>
    <row r="129" spans="1:37" ht="18.75" customHeight="1">
      <c r="A129" s="69">
        <f>'Cleanup TMS'!A129</f>
        <v>3553200</v>
      </c>
      <c r="B129" s="70">
        <f>'Cleanup TMS'!B129</f>
        <v>77</v>
      </c>
      <c r="C129" s="70" t="str">
        <f>IF('Cleanup TMS'!E129="","",'Cleanup TMS'!E129)</f>
        <v/>
      </c>
      <c r="D129" s="70" t="str">
        <f>'Cleanup TMS'!F129</f>
        <v>SUMTER</v>
      </c>
      <c r="E129" s="70">
        <f>'Cleanup TMS'!G129</f>
        <v>55</v>
      </c>
      <c r="F129" s="71">
        <f>ROUND('Cleanup TMS'!H129,2)</f>
        <v>1.82</v>
      </c>
      <c r="G129" s="72" t="str">
        <f>'Cleanup TMS'!I129</f>
        <v>CR 48</v>
      </c>
      <c r="H129" s="72" t="str">
        <f>'Cleanup TMS'!J129</f>
        <v>CR 567</v>
      </c>
      <c r="I129" s="72" t="str">
        <f>'Cleanup TMS'!K129</f>
        <v>CR 569 (NORTH AVE)</v>
      </c>
      <c r="J129" s="70">
        <f>'Cleanup TMS'!L129</f>
        <v>2</v>
      </c>
      <c r="K129" s="70">
        <v>2</v>
      </c>
      <c r="L129" s="70" t="s">
        <v>647</v>
      </c>
      <c r="M129" s="70" t="s">
        <v>648</v>
      </c>
      <c r="N129" s="152" t="s">
        <v>652</v>
      </c>
      <c r="O129" s="152" t="s">
        <v>655</v>
      </c>
      <c r="P129" s="70" t="str">
        <f>'Cleanup TMS'!V129</f>
        <v>COUNTY</v>
      </c>
      <c r="Q129" s="70" t="str">
        <f>'Cleanup TMS'!W129</f>
        <v>CENTER HILL</v>
      </c>
      <c r="R129" s="70" t="s">
        <v>5</v>
      </c>
      <c r="S129" s="73">
        <f>IF('Cleanup TMS'!AO129=0,"-",'Cleanup TMS'!AO129)</f>
        <v>21300</v>
      </c>
      <c r="T129" s="73">
        <f>'Cleanup TMS'!AP129</f>
        <v>8608</v>
      </c>
      <c r="U129" s="71">
        <f>IF(OR('Cleanup TMS'!AQ129=0,'Cleanup TMS'!AQ129=""),"-",'Cleanup TMS'!AQ129)</f>
        <v>0.4</v>
      </c>
      <c r="V129" s="71" t="str">
        <f>IF(OR('Cleanup TMS'!AR129=0,'Cleanup TMS'!AR129=""),"-",'Cleanup TMS'!AR129)</f>
        <v>B</v>
      </c>
      <c r="W129" s="73">
        <f>IF('Cleanup TMS'!BB129=0,"-",'Cleanup TMS'!BB129)</f>
        <v>1110</v>
      </c>
      <c r="X129" s="73">
        <f>'Cleanup TMS'!BC129</f>
        <v>350</v>
      </c>
      <c r="Y129" s="73">
        <f>'Cleanup TMS'!BD129</f>
        <v>381</v>
      </c>
      <c r="Z129" s="74">
        <f>IF(OR('Cleanup TMS'!BE129=0,'Cleanup TMS'!BE129=""),"-",'Cleanup TMS'!BE129)</f>
        <v>0.34</v>
      </c>
      <c r="AA129" s="74" t="str">
        <f>IF(OR('Cleanup TMS'!BF129=0,'Cleanup TMS'!BF129=""),"-",'Cleanup TMS'!BF129)</f>
        <v>B</v>
      </c>
      <c r="AB129" s="148">
        <f>IF(OR('Cleanup TMS'!BI129="",'Cleanup TMS'!BI129=0),"-",'Cleanup TMS'!BI129)</f>
        <v>4.2500000000000003E-2</v>
      </c>
      <c r="AC129" s="73">
        <f>'Cleanup TMS'!BS129</f>
        <v>21300</v>
      </c>
      <c r="AD129" s="73">
        <f t="shared" si="7"/>
        <v>10599</v>
      </c>
      <c r="AE129" s="74">
        <f>IF(OR('Cleanup TMS'!BU129=0,'Cleanup TMS'!BU129=""),"-",'Cleanup TMS'!BU129)</f>
        <v>0.5</v>
      </c>
      <c r="AF129" s="74" t="str">
        <f>IF(OR('Cleanup TMS'!BV129=0,'Cleanup TMS'!BV129=""),"-",'Cleanup TMS'!BV129)</f>
        <v>C</v>
      </c>
      <c r="AG129" s="73">
        <f>'Cleanup TMS'!CF129</f>
        <v>1110</v>
      </c>
      <c r="AH129" s="73">
        <f t="shared" si="8"/>
        <v>431</v>
      </c>
      <c r="AI129" s="73">
        <f t="shared" si="9"/>
        <v>469</v>
      </c>
      <c r="AJ129" s="71">
        <f>IF(OR('Cleanup TMS'!CI129=0,'Cleanup TMS'!CI129=""),"-",'Cleanup TMS'!CI129)</f>
        <v>0.42</v>
      </c>
      <c r="AK129" s="75" t="str">
        <f>IF(OR('Cleanup TMS'!CJ129=0,'Cleanup TMS'!CJ129=""),"-",'Cleanup TMS'!CJ129)</f>
        <v>B</v>
      </c>
    </row>
    <row r="130" spans="1:37" ht="18.75" customHeight="1">
      <c r="A130" s="69">
        <f>'Cleanup TMS'!A130</f>
        <v>3553210</v>
      </c>
      <c r="B130" s="70">
        <f>'Cleanup TMS'!B130</f>
        <v>77</v>
      </c>
      <c r="C130" s="70" t="str">
        <f>IF('Cleanup TMS'!E130="","",'Cleanup TMS'!E130)</f>
        <v/>
      </c>
      <c r="D130" s="70" t="str">
        <f>'Cleanup TMS'!F130</f>
        <v>ADJACENT</v>
      </c>
      <c r="E130" s="70">
        <f>'Cleanup TMS'!G130</f>
        <v>55</v>
      </c>
      <c r="F130" s="71">
        <f>ROUND('Cleanup TMS'!H130,2)</f>
        <v>1.82</v>
      </c>
      <c r="G130" s="72" t="str">
        <f>'Cleanup TMS'!I130</f>
        <v>CR 48</v>
      </c>
      <c r="H130" s="72" t="str">
        <f>'Cleanup TMS'!J130</f>
        <v>CR 569 (NORTH AVE)</v>
      </c>
      <c r="I130" s="72" t="str">
        <f>'Cleanup TMS'!K130</f>
        <v>CR 478 (VIRGINIA AVE)</v>
      </c>
      <c r="J130" s="70">
        <f>'Cleanup TMS'!L130</f>
        <v>2</v>
      </c>
      <c r="K130" s="70">
        <v>2</v>
      </c>
      <c r="L130" s="70" t="s">
        <v>647</v>
      </c>
      <c r="M130" s="70" t="s">
        <v>648</v>
      </c>
      <c r="N130" s="152" t="s">
        <v>652</v>
      </c>
      <c r="O130" s="152" t="s">
        <v>655</v>
      </c>
      <c r="P130" s="70" t="str">
        <f>'Cleanup TMS'!V130</f>
        <v>COUNTY</v>
      </c>
      <c r="Q130" s="70" t="str">
        <f>'Cleanup TMS'!W130</f>
        <v>CENTER HILL</v>
      </c>
      <c r="R130" s="70" t="s">
        <v>5</v>
      </c>
      <c r="S130" s="73">
        <f>IF('Cleanup TMS'!AO130=0,"-",'Cleanup TMS'!AO130)</f>
        <v>21300</v>
      </c>
      <c r="T130" s="73">
        <f>'Cleanup TMS'!AP130</f>
        <v>8608</v>
      </c>
      <c r="U130" s="71">
        <f>IF(OR('Cleanup TMS'!AQ130=0,'Cleanup TMS'!AQ130=""),"-",'Cleanup TMS'!AQ130)</f>
        <v>0.4</v>
      </c>
      <c r="V130" s="71" t="str">
        <f>IF(OR('Cleanup TMS'!AR130=0,'Cleanup TMS'!AR130=""),"-",'Cleanup TMS'!AR130)</f>
        <v>B</v>
      </c>
      <c r="W130" s="73">
        <f>IF('Cleanup TMS'!BB130=0,"-",'Cleanup TMS'!BB130)</f>
        <v>1110</v>
      </c>
      <c r="X130" s="73">
        <f>'Cleanup TMS'!BC130</f>
        <v>350</v>
      </c>
      <c r="Y130" s="73">
        <f>'Cleanup TMS'!BD130</f>
        <v>381</v>
      </c>
      <c r="Z130" s="74">
        <f>IF(OR('Cleanup TMS'!BE130=0,'Cleanup TMS'!BE130=""),"-",'Cleanup TMS'!BE130)</f>
        <v>0.34</v>
      </c>
      <c r="AA130" s="74" t="str">
        <f>IF(OR('Cleanup TMS'!BF130=0,'Cleanup TMS'!BF130=""),"-",'Cleanup TMS'!BF130)</f>
        <v>B</v>
      </c>
      <c r="AB130" s="148">
        <f>IF(OR('Cleanup TMS'!BI130="",'Cleanup TMS'!BI130=0),"-",'Cleanup TMS'!BI130)</f>
        <v>4.2500000000000003E-2</v>
      </c>
      <c r="AC130" s="73">
        <f>'Cleanup TMS'!BS130</f>
        <v>21300</v>
      </c>
      <c r="AD130" s="73">
        <f t="shared" si="7"/>
        <v>10599</v>
      </c>
      <c r="AE130" s="74">
        <f>IF(OR('Cleanup TMS'!BU130=0,'Cleanup TMS'!BU130=""),"-",'Cleanup TMS'!BU130)</f>
        <v>0.5</v>
      </c>
      <c r="AF130" s="74" t="str">
        <f>IF(OR('Cleanup TMS'!BV130=0,'Cleanup TMS'!BV130=""),"-",'Cleanup TMS'!BV130)</f>
        <v>C</v>
      </c>
      <c r="AG130" s="73">
        <f>'Cleanup TMS'!CF130</f>
        <v>1110</v>
      </c>
      <c r="AH130" s="73">
        <f t="shared" si="8"/>
        <v>431</v>
      </c>
      <c r="AI130" s="73">
        <f t="shared" si="9"/>
        <v>469</v>
      </c>
      <c r="AJ130" s="71">
        <f>IF(OR('Cleanup TMS'!CI130=0,'Cleanup TMS'!CI130=""),"-",'Cleanup TMS'!CI130)</f>
        <v>0.42</v>
      </c>
      <c r="AK130" s="75" t="str">
        <f>IF(OR('Cleanup TMS'!CJ130=0,'Cleanup TMS'!CJ130=""),"-",'Cleanup TMS'!CJ130)</f>
        <v>B</v>
      </c>
    </row>
    <row r="131" spans="1:37" ht="18.75" customHeight="1">
      <c r="A131" s="69">
        <f>'Cleanup TMS'!A131</f>
        <v>3554120</v>
      </c>
      <c r="B131" s="70" t="str">
        <f>'Cleanup TMS'!B131</f>
        <v>180016: 180009</v>
      </c>
      <c r="C131" s="70" t="str">
        <f>IF('Cleanup TMS'!E131="","",'Cleanup TMS'!E131)</f>
        <v>180016: 180009</v>
      </c>
      <c r="D131" s="70" t="str">
        <f>'Cleanup TMS'!F131</f>
        <v>FDOT</v>
      </c>
      <c r="E131" s="70">
        <f>'Cleanup TMS'!G131</f>
        <v>40</v>
      </c>
      <c r="F131" s="71">
        <f>ROUND('Cleanup TMS'!H131,2)</f>
        <v>1</v>
      </c>
      <c r="G131" s="72" t="str">
        <f>'Cleanup TMS'!I131</f>
        <v>SR 48 (CR 48 W)</v>
      </c>
      <c r="H131" s="72" t="str">
        <f>'Cleanup TMS'!J131</f>
        <v>CR 609</v>
      </c>
      <c r="I131" s="72" t="str">
        <f>'Cleanup TMS'!K131</f>
        <v>CR 311 (N WEST ST)</v>
      </c>
      <c r="J131" s="70">
        <f>'Cleanup TMS'!L131</f>
        <v>4</v>
      </c>
      <c r="K131" s="70">
        <v>4</v>
      </c>
      <c r="L131" s="70" t="s">
        <v>647</v>
      </c>
      <c r="M131" s="70" t="s">
        <v>649</v>
      </c>
      <c r="N131" s="152" t="s">
        <v>651</v>
      </c>
      <c r="O131" s="152" t="s">
        <v>547</v>
      </c>
      <c r="P131" s="70" t="str">
        <f>'Cleanup TMS'!V131</f>
        <v>STATE</v>
      </c>
      <c r="Q131" s="70" t="str">
        <f>'Cleanup TMS'!W131</f>
        <v>BUSHNELL</v>
      </c>
      <c r="R131" s="70" t="s">
        <v>5</v>
      </c>
      <c r="S131" s="73">
        <f>IF('Cleanup TMS'!AO131=0,"-",'Cleanup TMS'!AO131)</f>
        <v>30400</v>
      </c>
      <c r="T131" s="73">
        <f>'Cleanup TMS'!AP131</f>
        <v>12055</v>
      </c>
      <c r="U131" s="71">
        <f>IF(OR('Cleanup TMS'!AQ131=0,'Cleanup TMS'!AQ131=""),"-",'Cleanup TMS'!AQ131)</f>
        <v>0.4</v>
      </c>
      <c r="V131" s="71" t="str">
        <f>IF(OR('Cleanup TMS'!AR131=0,'Cleanup TMS'!AR131=""),"-",'Cleanup TMS'!AR131)</f>
        <v>C</v>
      </c>
      <c r="W131" s="73">
        <f>IF('Cleanup TMS'!BB131=0,"-",'Cleanup TMS'!BB131)</f>
        <v>1580</v>
      </c>
      <c r="X131" s="73">
        <f>'Cleanup TMS'!BC131</f>
        <v>594</v>
      </c>
      <c r="Y131" s="73">
        <f>'Cleanup TMS'!BD131</f>
        <v>527</v>
      </c>
      <c r="Z131" s="74">
        <f>IF(OR('Cleanup TMS'!BE131=0,'Cleanup TMS'!BE131=""),"-",'Cleanup TMS'!BE131)</f>
        <v>0.38</v>
      </c>
      <c r="AA131" s="74" t="str">
        <f>IF(OR('Cleanup TMS'!BF131=0,'Cleanup TMS'!BF131=""),"-",'Cleanup TMS'!BF131)</f>
        <v>C</v>
      </c>
      <c r="AB131" s="148">
        <f>IF(OR('Cleanup TMS'!BI131="",'Cleanup TMS'!BI131=0),"-",'Cleanup TMS'!BI131)</f>
        <v>1.7500000000000002E-2</v>
      </c>
      <c r="AC131" s="73">
        <f>'Cleanup TMS'!BS131</f>
        <v>30400</v>
      </c>
      <c r="AD131" s="73">
        <f t="shared" si="7"/>
        <v>13147</v>
      </c>
      <c r="AE131" s="74">
        <f>IF(OR('Cleanup TMS'!BU131=0,'Cleanup TMS'!BU131=""),"-",'Cleanup TMS'!BU131)</f>
        <v>0.43</v>
      </c>
      <c r="AF131" s="74" t="str">
        <f>IF(OR('Cleanup TMS'!BV131=0,'Cleanup TMS'!BV131=""),"-",'Cleanup TMS'!BV131)</f>
        <v>C</v>
      </c>
      <c r="AG131" s="73">
        <f>'Cleanup TMS'!CF131</f>
        <v>1580</v>
      </c>
      <c r="AH131" s="73">
        <f t="shared" si="8"/>
        <v>648</v>
      </c>
      <c r="AI131" s="73">
        <f t="shared" si="9"/>
        <v>575</v>
      </c>
      <c r="AJ131" s="71">
        <f>IF(OR('Cleanup TMS'!CI131=0,'Cleanup TMS'!CI131=""),"-",'Cleanup TMS'!CI131)</f>
        <v>0.41</v>
      </c>
      <c r="AK131" s="75" t="str">
        <f>IF(OR('Cleanup TMS'!CJ131=0,'Cleanup TMS'!CJ131=""),"-",'Cleanup TMS'!CJ131)</f>
        <v>C</v>
      </c>
    </row>
    <row r="132" spans="1:37" ht="18.75" customHeight="1">
      <c r="A132" s="69">
        <f>'Cleanup TMS'!A132</f>
        <v>3554130</v>
      </c>
      <c r="B132" s="70">
        <f>'Cleanup TMS'!B132</f>
        <v>174</v>
      </c>
      <c r="C132" s="70">
        <f>IF('Cleanup TMS'!E132="","",'Cleanup TMS'!E132)</f>
        <v>180009</v>
      </c>
      <c r="D132" s="70" t="str">
        <f>'Cleanup TMS'!F132</f>
        <v>SUMTER</v>
      </c>
      <c r="E132" s="70">
        <f>'Cleanup TMS'!G132</f>
        <v>40</v>
      </c>
      <c r="F132" s="71">
        <f>ROUND('Cleanup TMS'!H132,2)</f>
        <v>0.52</v>
      </c>
      <c r="G132" s="72" t="str">
        <f>'Cleanup TMS'!I132</f>
        <v>SR 48 (CR 48 W)</v>
      </c>
      <c r="H132" s="72" t="str">
        <f>'Cleanup TMS'!J132</f>
        <v>CR 311 (N WEST ST)</v>
      </c>
      <c r="I132" s="72" t="str">
        <f>'Cleanup TMS'!K132</f>
        <v>CR 475 S (MAIN ST)</v>
      </c>
      <c r="J132" s="70">
        <f>'Cleanup TMS'!L132</f>
        <v>4</v>
      </c>
      <c r="K132" s="70">
        <v>4</v>
      </c>
      <c r="L132" s="70" t="s">
        <v>647</v>
      </c>
      <c r="M132" s="70" t="s">
        <v>649</v>
      </c>
      <c r="N132" s="152" t="s">
        <v>651</v>
      </c>
      <c r="O132" s="152" t="s">
        <v>547</v>
      </c>
      <c r="P132" s="70" t="str">
        <f>'Cleanup TMS'!V132</f>
        <v>STATE</v>
      </c>
      <c r="Q132" s="70" t="str">
        <f>'Cleanup TMS'!W132</f>
        <v>BUSHNELL</v>
      </c>
      <c r="R132" s="70" t="s">
        <v>5</v>
      </c>
      <c r="S132" s="73">
        <f>IF('Cleanup TMS'!AO132=0,"-",'Cleanup TMS'!AO132)</f>
        <v>30400</v>
      </c>
      <c r="T132" s="73">
        <f>'Cleanup TMS'!AP132</f>
        <v>13215</v>
      </c>
      <c r="U132" s="71">
        <f>IF(OR('Cleanup TMS'!AQ132=0,'Cleanup TMS'!AQ132=""),"-",'Cleanup TMS'!AQ132)</f>
        <v>0.43</v>
      </c>
      <c r="V132" s="71" t="str">
        <f>IF(OR('Cleanup TMS'!AR132=0,'Cleanup TMS'!AR132=""),"-",'Cleanup TMS'!AR132)</f>
        <v>C</v>
      </c>
      <c r="W132" s="73">
        <f>IF('Cleanup TMS'!BB132=0,"-",'Cleanup TMS'!BB132)</f>
        <v>1580</v>
      </c>
      <c r="X132" s="73">
        <f>'Cleanup TMS'!BC132</f>
        <v>578</v>
      </c>
      <c r="Y132" s="73">
        <f>'Cleanup TMS'!BD132</f>
        <v>554</v>
      </c>
      <c r="Z132" s="74">
        <f>IF(OR('Cleanup TMS'!BE132=0,'Cleanup TMS'!BE132=""),"-",'Cleanup TMS'!BE132)</f>
        <v>0.37</v>
      </c>
      <c r="AA132" s="74" t="str">
        <f>IF(OR('Cleanup TMS'!BF132=0,'Cleanup TMS'!BF132=""),"-",'Cleanup TMS'!BF132)</f>
        <v>C</v>
      </c>
      <c r="AB132" s="148">
        <f>IF(OR('Cleanup TMS'!BI132="",'Cleanup TMS'!BI132=0),"-",'Cleanup TMS'!BI132)</f>
        <v>0.01</v>
      </c>
      <c r="AC132" s="73">
        <f>'Cleanup TMS'!BS132</f>
        <v>30400</v>
      </c>
      <c r="AD132" s="73">
        <f t="shared" si="7"/>
        <v>13889</v>
      </c>
      <c r="AE132" s="74">
        <f>IF(OR('Cleanup TMS'!BU132=0,'Cleanup TMS'!BU132=""),"-",'Cleanup TMS'!BU132)</f>
        <v>0.46</v>
      </c>
      <c r="AF132" s="74" t="str">
        <f>IF(OR('Cleanup TMS'!BV132=0,'Cleanup TMS'!BV132=""),"-",'Cleanup TMS'!BV132)</f>
        <v>C</v>
      </c>
      <c r="AG132" s="73">
        <f>'Cleanup TMS'!CF132</f>
        <v>1580</v>
      </c>
      <c r="AH132" s="73">
        <f t="shared" si="8"/>
        <v>607</v>
      </c>
      <c r="AI132" s="73">
        <f t="shared" si="9"/>
        <v>582</v>
      </c>
      <c r="AJ132" s="71">
        <f>IF(OR('Cleanup TMS'!CI132=0,'Cleanup TMS'!CI132=""),"-",'Cleanup TMS'!CI132)</f>
        <v>0.38</v>
      </c>
      <c r="AK132" s="75" t="str">
        <f>IF(OR('Cleanup TMS'!CJ132=0,'Cleanup TMS'!CJ132=""),"-",'Cleanup TMS'!CJ132)</f>
        <v>C</v>
      </c>
    </row>
    <row r="133" spans="1:37" ht="18.75" customHeight="1">
      <c r="A133" s="69">
        <f>'Cleanup TMS'!A133</f>
        <v>3554140</v>
      </c>
      <c r="B133" s="70">
        <f>'Cleanup TMS'!B133</f>
        <v>175</v>
      </c>
      <c r="C133" s="70">
        <f>IF('Cleanup TMS'!E133="","",'Cleanup TMS'!E133)</f>
        <v>180207</v>
      </c>
      <c r="D133" s="70" t="str">
        <f>'Cleanup TMS'!F133</f>
        <v>FDOT</v>
      </c>
      <c r="E133" s="70">
        <f>'Cleanup TMS'!G133</f>
        <v>40</v>
      </c>
      <c r="F133" s="71">
        <f>ROUND('Cleanup TMS'!H133,2)</f>
        <v>0.25</v>
      </c>
      <c r="G133" s="72" t="str">
        <f>'Cleanup TMS'!I133</f>
        <v>SR 48 (MAIN ST N)</v>
      </c>
      <c r="H133" s="72" t="str">
        <f>'Cleanup TMS'!J133</f>
        <v>US 301/SR 35</v>
      </c>
      <c r="I133" s="72" t="str">
        <f>'Cleanup TMS'!K133</f>
        <v>SR 48</v>
      </c>
      <c r="J133" s="70">
        <f>'Cleanup TMS'!L133</f>
        <v>4</v>
      </c>
      <c r="K133" s="70">
        <v>4</v>
      </c>
      <c r="L133" s="70" t="s">
        <v>646</v>
      </c>
      <c r="M133" s="70" t="s">
        <v>648</v>
      </c>
      <c r="N133" s="152" t="s">
        <v>651</v>
      </c>
      <c r="O133" s="152" t="s">
        <v>547</v>
      </c>
      <c r="P133" s="70" t="str">
        <f>'Cleanup TMS'!V133</f>
        <v>STATE</v>
      </c>
      <c r="Q133" s="70" t="str">
        <f>'Cleanup TMS'!W133</f>
        <v>BUSHNELL</v>
      </c>
      <c r="R133" s="70" t="s">
        <v>5</v>
      </c>
      <c r="S133" s="73">
        <f>IF('Cleanup TMS'!AO133=0,"-",'Cleanup TMS'!AO133)</f>
        <v>39800</v>
      </c>
      <c r="T133" s="73">
        <f>'Cleanup TMS'!AP133</f>
        <v>12551</v>
      </c>
      <c r="U133" s="71">
        <f>IF(OR('Cleanup TMS'!AQ133=0,'Cleanup TMS'!AQ133=""),"-",'Cleanup TMS'!AQ133)</f>
        <v>0.32</v>
      </c>
      <c r="V133" s="71" t="str">
        <f>IF(OR('Cleanup TMS'!AR133=0,'Cleanup TMS'!AR133=""),"-",'Cleanup TMS'!AR133)</f>
        <v>C</v>
      </c>
      <c r="W133" s="73">
        <f>IF('Cleanup TMS'!BB133=0,"-",'Cleanup TMS'!BB133)</f>
        <v>2000</v>
      </c>
      <c r="X133" s="73">
        <f>'Cleanup TMS'!BC133</f>
        <v>450</v>
      </c>
      <c r="Y133" s="73">
        <f>'Cleanup TMS'!BD133</f>
        <v>627</v>
      </c>
      <c r="Z133" s="74">
        <f>IF(OR('Cleanup TMS'!BE133=0,'Cleanup TMS'!BE133=""),"-",'Cleanup TMS'!BE133)</f>
        <v>0.31</v>
      </c>
      <c r="AA133" s="74" t="str">
        <f>IF(OR('Cleanup TMS'!BF133=0,'Cleanup TMS'!BF133=""),"-",'Cleanup TMS'!BF133)</f>
        <v>C</v>
      </c>
      <c r="AB133" s="148">
        <f>IF(OR('Cleanup TMS'!BI133="",'Cleanup TMS'!BI133=0),"-",'Cleanup TMS'!BI133)</f>
        <v>5.7500000000000002E-2</v>
      </c>
      <c r="AC133" s="73">
        <f>'Cleanup TMS'!BS133</f>
        <v>39800</v>
      </c>
      <c r="AD133" s="73">
        <f t="shared" ref="AD133:AD196" si="10">IF(T133="-","-",ROUND(T133*(1+AB133)^5,0))</f>
        <v>16599</v>
      </c>
      <c r="AE133" s="74">
        <f>IF(OR('Cleanup TMS'!BU133=0,'Cleanup TMS'!BU133=""),"-",'Cleanup TMS'!BU133)</f>
        <v>0.42</v>
      </c>
      <c r="AF133" s="74" t="str">
        <f>IF(OR('Cleanup TMS'!BV133=0,'Cleanup TMS'!BV133=""),"-",'Cleanup TMS'!BV133)</f>
        <v>C</v>
      </c>
      <c r="AG133" s="73">
        <f>'Cleanup TMS'!CF133</f>
        <v>2000</v>
      </c>
      <c r="AH133" s="73">
        <f t="shared" ref="AH133:AH196" si="11">IF(X133="-","-",ROUND(X133*(1+AB133)^5,0))</f>
        <v>595</v>
      </c>
      <c r="AI133" s="73">
        <f t="shared" ref="AI133:AI196" si="12">IF(Y133="-","-",ROUND(Y133*(1+AB133)^5,0))</f>
        <v>829</v>
      </c>
      <c r="AJ133" s="71">
        <f>IF(OR('Cleanup TMS'!CI133=0,'Cleanup TMS'!CI133=""),"-",'Cleanup TMS'!CI133)</f>
        <v>0.41</v>
      </c>
      <c r="AK133" s="75" t="str">
        <f>IF(OR('Cleanup TMS'!CJ133=0,'Cleanup TMS'!CJ133=""),"-",'Cleanup TMS'!CJ133)</f>
        <v>C</v>
      </c>
    </row>
    <row r="134" spans="1:37" ht="18.75" customHeight="1">
      <c r="A134" s="69">
        <f>'Cleanup TMS'!A134</f>
        <v>3555100</v>
      </c>
      <c r="B134" s="70">
        <f>'Cleanup TMS'!B134</f>
        <v>80</v>
      </c>
      <c r="C134" s="70" t="str">
        <f>IF('Cleanup TMS'!E134="","",'Cleanup TMS'!E134)</f>
        <v/>
      </c>
      <c r="D134" s="70" t="str">
        <f>'Cleanup TMS'!F134</f>
        <v>SUMTER</v>
      </c>
      <c r="E134" s="70">
        <f>'Cleanup TMS'!G134</f>
        <v>45</v>
      </c>
      <c r="F134" s="71">
        <f>ROUND('Cleanup TMS'!H134,2)</f>
        <v>0.54</v>
      </c>
      <c r="G134" s="72" t="str">
        <f>'Cleanup TMS'!I134</f>
        <v xml:space="preserve">CR 48 </v>
      </c>
      <c r="H134" s="72" t="str">
        <f>'Cleanup TMS'!J134</f>
        <v>CITRUS COUNTY BOUNDARY</v>
      </c>
      <c r="I134" s="72" t="str">
        <f>'Cleanup TMS'!K134</f>
        <v>CR 575</v>
      </c>
      <c r="J134" s="70">
        <f>'Cleanup TMS'!L134</f>
        <v>2</v>
      </c>
      <c r="K134" s="70">
        <v>2</v>
      </c>
      <c r="L134" s="70" t="s">
        <v>647</v>
      </c>
      <c r="M134" s="70" t="s">
        <v>648</v>
      </c>
      <c r="N134" s="152" t="s">
        <v>652</v>
      </c>
      <c r="O134" s="152" t="s">
        <v>654</v>
      </c>
      <c r="P134" s="70" t="str">
        <f>'Cleanup TMS'!V134</f>
        <v>COUNTY</v>
      </c>
      <c r="Q134" s="70" t="str">
        <f>'Cleanup TMS'!W134</f>
        <v>UNINCORPORATED SUMTER COUNTY</v>
      </c>
      <c r="R134" s="70" t="s">
        <v>4</v>
      </c>
      <c r="S134" s="73">
        <f>IF('Cleanup TMS'!AO134=0,"-",'Cleanup TMS'!AO134)</f>
        <v>8600</v>
      </c>
      <c r="T134" s="73">
        <f>'Cleanup TMS'!AP134</f>
        <v>4814</v>
      </c>
      <c r="U134" s="71">
        <f>IF(OR('Cleanup TMS'!AQ134=0,'Cleanup TMS'!AQ134=""),"-",'Cleanup TMS'!AQ134)</f>
        <v>0.56000000000000005</v>
      </c>
      <c r="V134" s="71" t="str">
        <f>IF(OR('Cleanup TMS'!AR134=0,'Cleanup TMS'!AR134=""),"-",'Cleanup TMS'!AR134)</f>
        <v>C</v>
      </c>
      <c r="W134" s="73">
        <f>IF('Cleanup TMS'!BB134=0,"-",'Cleanup TMS'!BB134)</f>
        <v>450</v>
      </c>
      <c r="X134" s="73">
        <f>'Cleanup TMS'!BC134</f>
        <v>158</v>
      </c>
      <c r="Y134" s="73">
        <f>'Cleanup TMS'!BD134</f>
        <v>239</v>
      </c>
      <c r="Z134" s="74">
        <f>IF(OR('Cleanup TMS'!BE134=0,'Cleanup TMS'!BE134=""),"-",'Cleanup TMS'!BE134)</f>
        <v>0.53</v>
      </c>
      <c r="AA134" s="74" t="str">
        <f>IF(OR('Cleanup TMS'!BF134=0,'Cleanup TMS'!BF134=""),"-",'Cleanup TMS'!BF134)</f>
        <v>B</v>
      </c>
      <c r="AB134" s="148">
        <f>IF(OR('Cleanup TMS'!BI134="",'Cleanup TMS'!BI134=0),"-",'Cleanup TMS'!BI134)</f>
        <v>0.01</v>
      </c>
      <c r="AC134" s="73">
        <f>'Cleanup TMS'!BS134</f>
        <v>8600</v>
      </c>
      <c r="AD134" s="73">
        <f t="shared" si="10"/>
        <v>5060</v>
      </c>
      <c r="AE134" s="74">
        <f>IF(OR('Cleanup TMS'!BU134=0,'Cleanup TMS'!BU134=""),"-",'Cleanup TMS'!BU134)</f>
        <v>0.59</v>
      </c>
      <c r="AF134" s="74" t="str">
        <f>IF(OR('Cleanup TMS'!BV134=0,'Cleanup TMS'!BV134=""),"-",'Cleanup TMS'!BV134)</f>
        <v>C</v>
      </c>
      <c r="AG134" s="73">
        <f>'Cleanup TMS'!CF134</f>
        <v>450</v>
      </c>
      <c r="AH134" s="73">
        <f t="shared" si="11"/>
        <v>166</v>
      </c>
      <c r="AI134" s="73">
        <f t="shared" si="12"/>
        <v>251</v>
      </c>
      <c r="AJ134" s="71">
        <f>IF(OR('Cleanup TMS'!CI134=0,'Cleanup TMS'!CI134=""),"-",'Cleanup TMS'!CI134)</f>
        <v>0.56000000000000005</v>
      </c>
      <c r="AK134" s="75" t="str">
        <f>IF(OR('Cleanup TMS'!CJ134=0,'Cleanup TMS'!CJ134=""),"-",'Cleanup TMS'!CJ134)</f>
        <v>C</v>
      </c>
    </row>
    <row r="135" spans="1:37" ht="18.75" customHeight="1">
      <c r="A135" s="69">
        <f>'Cleanup TMS'!A135</f>
        <v>3555110</v>
      </c>
      <c r="B135" s="70">
        <f>'Cleanup TMS'!B135</f>
        <v>74</v>
      </c>
      <c r="C135" s="70" t="str">
        <f>IF('Cleanup TMS'!E135="","",'Cleanup TMS'!E135)</f>
        <v/>
      </c>
      <c r="D135" s="70" t="str">
        <f>'Cleanup TMS'!F135</f>
        <v>SUMTER</v>
      </c>
      <c r="E135" s="70">
        <f>'Cleanup TMS'!G135</f>
        <v>45</v>
      </c>
      <c r="F135" s="71">
        <f>ROUND('Cleanup TMS'!H135,2)</f>
        <v>5.16</v>
      </c>
      <c r="G135" s="72" t="str">
        <f>'Cleanup TMS'!I135</f>
        <v>CR 48</v>
      </c>
      <c r="H135" s="72" t="str">
        <f>'Cleanup TMS'!J135</f>
        <v>CR 575</v>
      </c>
      <c r="I135" s="72" t="str">
        <f>'Cleanup TMS'!K135</f>
        <v>CR 625</v>
      </c>
      <c r="J135" s="70">
        <f>'Cleanup TMS'!L135</f>
        <v>2</v>
      </c>
      <c r="K135" s="70">
        <v>2</v>
      </c>
      <c r="L135" s="70" t="s">
        <v>647</v>
      </c>
      <c r="M135" s="70" t="s">
        <v>648</v>
      </c>
      <c r="N135" s="152" t="s">
        <v>652</v>
      </c>
      <c r="O135" s="152" t="s">
        <v>654</v>
      </c>
      <c r="P135" s="70" t="str">
        <f>'Cleanup TMS'!V135</f>
        <v>COUNTY</v>
      </c>
      <c r="Q135" s="70" t="str">
        <f>'Cleanup TMS'!W135</f>
        <v>UNINCORPORATED SUMTER COUNTY</v>
      </c>
      <c r="R135" s="70" t="s">
        <v>4</v>
      </c>
      <c r="S135" s="73">
        <f>IF('Cleanup TMS'!AO135=0,"-",'Cleanup TMS'!AO135)</f>
        <v>8600</v>
      </c>
      <c r="T135" s="73">
        <f>'Cleanup TMS'!AP135</f>
        <v>5671</v>
      </c>
      <c r="U135" s="71">
        <f>IF(OR('Cleanup TMS'!AQ135=0,'Cleanup TMS'!AQ135=""),"-",'Cleanup TMS'!AQ135)</f>
        <v>0.66</v>
      </c>
      <c r="V135" s="71" t="str">
        <f>IF(OR('Cleanup TMS'!AR135=0,'Cleanup TMS'!AR135=""),"-",'Cleanup TMS'!AR135)</f>
        <v>C</v>
      </c>
      <c r="W135" s="73">
        <f>IF('Cleanup TMS'!BB135=0,"-",'Cleanup TMS'!BB135)</f>
        <v>450</v>
      </c>
      <c r="X135" s="73">
        <f>'Cleanup TMS'!BC135</f>
        <v>283</v>
      </c>
      <c r="Y135" s="73">
        <f>'Cleanup TMS'!BD135</f>
        <v>214</v>
      </c>
      <c r="Z135" s="74">
        <f>IF(OR('Cleanup TMS'!BE135=0,'Cleanup TMS'!BE135=""),"-",'Cleanup TMS'!BE135)</f>
        <v>0.63</v>
      </c>
      <c r="AA135" s="74" t="str">
        <f>IF(OR('Cleanup TMS'!BF135=0,'Cleanup TMS'!BF135=""),"-",'Cleanup TMS'!BF135)</f>
        <v>C</v>
      </c>
      <c r="AB135" s="148">
        <f>IF(OR('Cleanup TMS'!BI135="",'Cleanup TMS'!BI135=0),"-",'Cleanup TMS'!BI135)</f>
        <v>2.75E-2</v>
      </c>
      <c r="AC135" s="73">
        <f>'Cleanup TMS'!BS135</f>
        <v>8600</v>
      </c>
      <c r="AD135" s="73">
        <f t="shared" si="10"/>
        <v>6495</v>
      </c>
      <c r="AE135" s="74">
        <f>IF(OR('Cleanup TMS'!BU135=0,'Cleanup TMS'!BU135=""),"-",'Cleanup TMS'!BU135)</f>
        <v>0.76</v>
      </c>
      <c r="AF135" s="74" t="str">
        <f>IF(OR('Cleanup TMS'!BV135=0,'Cleanup TMS'!BV135=""),"-",'Cleanup TMS'!BV135)</f>
        <v>C</v>
      </c>
      <c r="AG135" s="73">
        <f>'Cleanup TMS'!CF135</f>
        <v>450</v>
      </c>
      <c r="AH135" s="73">
        <f t="shared" si="11"/>
        <v>324</v>
      </c>
      <c r="AI135" s="73">
        <f t="shared" si="12"/>
        <v>245</v>
      </c>
      <c r="AJ135" s="71">
        <f>IF(OR('Cleanup TMS'!CI135=0,'Cleanup TMS'!CI135=""),"-",'Cleanup TMS'!CI135)</f>
        <v>0.72</v>
      </c>
      <c r="AK135" s="75" t="str">
        <f>IF(OR('Cleanup TMS'!CJ135=0,'Cleanup TMS'!CJ135=""),"-",'Cleanup TMS'!CJ135)</f>
        <v>C</v>
      </c>
    </row>
    <row r="136" spans="1:37" ht="18.75" customHeight="1">
      <c r="A136" s="69">
        <f>'Cleanup TMS'!A136</f>
        <v>3555120</v>
      </c>
      <c r="B136" s="70">
        <f>'Cleanup TMS'!B136</f>
        <v>81</v>
      </c>
      <c r="C136" s="70" t="str">
        <f>IF('Cleanup TMS'!E136="","",'Cleanup TMS'!E136)</f>
        <v/>
      </c>
      <c r="D136" s="70" t="str">
        <f>'Cleanup TMS'!F136</f>
        <v>SUMTER</v>
      </c>
      <c r="E136" s="70">
        <f>'Cleanup TMS'!G136</f>
        <v>45</v>
      </c>
      <c r="F136" s="71">
        <f>ROUND('Cleanup TMS'!H136,2)</f>
        <v>1.77</v>
      </c>
      <c r="G136" s="72" t="str">
        <f>'Cleanup TMS'!I136</f>
        <v>CR 48</v>
      </c>
      <c r="H136" s="72" t="str">
        <f>'Cleanup TMS'!J136</f>
        <v>CR 625</v>
      </c>
      <c r="I136" s="72" t="str">
        <f>'Cleanup TMS'!K136</f>
        <v>CR 616</v>
      </c>
      <c r="J136" s="70">
        <f>'Cleanup TMS'!L136</f>
        <v>2</v>
      </c>
      <c r="K136" s="70">
        <v>2</v>
      </c>
      <c r="L136" s="70" t="s">
        <v>646</v>
      </c>
      <c r="M136" s="70" t="s">
        <v>648</v>
      </c>
      <c r="N136" s="152" t="s">
        <v>652</v>
      </c>
      <c r="O136" s="152" t="s">
        <v>547</v>
      </c>
      <c r="P136" s="70" t="str">
        <f>'Cleanup TMS'!V136</f>
        <v>COUNTY</v>
      </c>
      <c r="Q136" s="70" t="str">
        <f>'Cleanup TMS'!W136</f>
        <v>BUSHNELL</v>
      </c>
      <c r="R136" s="70" t="s">
        <v>5</v>
      </c>
      <c r="S136" s="73">
        <f>IF('Cleanup TMS'!AO136=0,"-",'Cleanup TMS'!AO136)</f>
        <v>24200</v>
      </c>
      <c r="T136" s="73">
        <f>'Cleanup TMS'!AP136</f>
        <v>6286</v>
      </c>
      <c r="U136" s="71">
        <f>IF(OR('Cleanup TMS'!AQ136=0,'Cleanup TMS'!AQ136=""),"-",'Cleanup TMS'!AQ136)</f>
        <v>0.26</v>
      </c>
      <c r="V136" s="71" t="str">
        <f>IF(OR('Cleanup TMS'!AR136=0,'Cleanup TMS'!AR136=""),"-",'Cleanup TMS'!AR136)</f>
        <v>B</v>
      </c>
      <c r="W136" s="73">
        <f>IF('Cleanup TMS'!BB136=0,"-",'Cleanup TMS'!BB136)</f>
        <v>1200</v>
      </c>
      <c r="X136" s="73">
        <f>'Cleanup TMS'!BC136</f>
        <v>231</v>
      </c>
      <c r="Y136" s="73">
        <f>'Cleanup TMS'!BD136</f>
        <v>320</v>
      </c>
      <c r="Z136" s="74">
        <f>IF(OR('Cleanup TMS'!BE136=0,'Cleanup TMS'!BE136=""),"-",'Cleanup TMS'!BE136)</f>
        <v>0.27</v>
      </c>
      <c r="AA136" s="74" t="str">
        <f>IF(OR('Cleanup TMS'!BF136=0,'Cleanup TMS'!BF136=""),"-",'Cleanup TMS'!BF136)</f>
        <v>B</v>
      </c>
      <c r="AB136" s="148">
        <f>IF(OR('Cleanup TMS'!BI136="",'Cleanup TMS'!BI136=0),"-",'Cleanup TMS'!BI136)</f>
        <v>2.5000000000000001E-2</v>
      </c>
      <c r="AC136" s="73">
        <f>'Cleanup TMS'!BS136</f>
        <v>24200</v>
      </c>
      <c r="AD136" s="73">
        <f t="shared" si="10"/>
        <v>7112</v>
      </c>
      <c r="AE136" s="74">
        <f>IF(OR('Cleanup TMS'!BU136=0,'Cleanup TMS'!BU136=""),"-",'Cleanup TMS'!BU136)</f>
        <v>0.28999999999999998</v>
      </c>
      <c r="AF136" s="74" t="str">
        <f>IF(OR('Cleanup TMS'!BV136=0,'Cleanup TMS'!BV136=""),"-",'Cleanup TMS'!BV136)</f>
        <v>B</v>
      </c>
      <c r="AG136" s="73">
        <f>'Cleanup TMS'!CF136</f>
        <v>1200</v>
      </c>
      <c r="AH136" s="73">
        <f t="shared" si="11"/>
        <v>261</v>
      </c>
      <c r="AI136" s="73">
        <f t="shared" si="12"/>
        <v>362</v>
      </c>
      <c r="AJ136" s="71">
        <f>IF(OR('Cleanup TMS'!CI136=0,'Cleanup TMS'!CI136=""),"-",'Cleanup TMS'!CI136)</f>
        <v>0.3</v>
      </c>
      <c r="AK136" s="75" t="str">
        <f>IF(OR('Cleanup TMS'!CJ136=0,'Cleanup TMS'!CJ136=""),"-",'Cleanup TMS'!CJ136)</f>
        <v>B</v>
      </c>
    </row>
    <row r="137" spans="1:37" ht="18.75" customHeight="1">
      <c r="A137" s="69">
        <f>'Cleanup TMS'!A137</f>
        <v>3555130</v>
      </c>
      <c r="B137" s="70" t="str">
        <f>'Cleanup TMS'!B137</f>
        <v>2020-105</v>
      </c>
      <c r="C137" s="70" t="str">
        <f>IF('Cleanup TMS'!E137="","",'Cleanup TMS'!E137)</f>
        <v/>
      </c>
      <c r="D137" s="70" t="str">
        <f>'Cleanup TMS'!F137</f>
        <v>SUMTER</v>
      </c>
      <c r="E137" s="70">
        <f>'Cleanup TMS'!G137</f>
        <v>45</v>
      </c>
      <c r="F137" s="71">
        <f>ROUND('Cleanup TMS'!H137,2)</f>
        <v>0.48</v>
      </c>
      <c r="G137" s="72" t="str">
        <f>'Cleanup TMS'!I137</f>
        <v>CR 48</v>
      </c>
      <c r="H137" s="72" t="str">
        <f>'Cleanup TMS'!J137</f>
        <v>CR 616</v>
      </c>
      <c r="I137" s="72" t="str">
        <f>'Cleanup TMS'!K137</f>
        <v>CR 313</v>
      </c>
      <c r="J137" s="70">
        <f>'Cleanup TMS'!L137</f>
        <v>4</v>
      </c>
      <c r="K137" s="70">
        <v>4</v>
      </c>
      <c r="L137" s="70" t="s">
        <v>646</v>
      </c>
      <c r="M137" s="70" t="s">
        <v>649</v>
      </c>
      <c r="N137" s="152" t="s">
        <v>651</v>
      </c>
      <c r="O137" s="152" t="s">
        <v>547</v>
      </c>
      <c r="P137" s="70" t="str">
        <f>'Cleanup TMS'!V137</f>
        <v>COUNTY</v>
      </c>
      <c r="Q137" s="70" t="str">
        <f>'Cleanup TMS'!W137</f>
        <v>BUSHNELL</v>
      </c>
      <c r="R137" s="70" t="s">
        <v>5</v>
      </c>
      <c r="S137" s="73">
        <f>IF('Cleanup TMS'!AO137=0,"-",'Cleanup TMS'!AO137)</f>
        <v>35820</v>
      </c>
      <c r="T137" s="73">
        <f>'Cleanup TMS'!AP137</f>
        <v>7397.5799999999581</v>
      </c>
      <c r="U137" s="71">
        <f>IF(OR('Cleanup TMS'!AQ137=0,'Cleanup TMS'!AQ137=""),"-",'Cleanup TMS'!AQ137)</f>
        <v>0.21</v>
      </c>
      <c r="V137" s="71" t="str">
        <f>IF(OR('Cleanup TMS'!AR137=0,'Cleanup TMS'!AR137=""),"-",'Cleanup TMS'!AR137)</f>
        <v>C</v>
      </c>
      <c r="W137" s="73">
        <f>IF('Cleanup TMS'!BB137=0,"-",'Cleanup TMS'!BB137)</f>
        <v>1800</v>
      </c>
      <c r="X137" s="73">
        <f>'Cleanup TMS'!BC137</f>
        <v>349</v>
      </c>
      <c r="Y137" s="73">
        <f>'Cleanup TMS'!BD137</f>
        <v>346</v>
      </c>
      <c r="Z137" s="74">
        <f>IF(OR('Cleanup TMS'!BE137=0,'Cleanup TMS'!BE137=""),"-",'Cleanup TMS'!BE137)</f>
        <v>0.19</v>
      </c>
      <c r="AA137" s="74" t="str">
        <f>IF(OR('Cleanup TMS'!BF137=0,'Cleanup TMS'!BF137=""),"-",'Cleanup TMS'!BF137)</f>
        <v>C</v>
      </c>
      <c r="AB137" s="148">
        <f>IF(OR('Cleanup TMS'!BI137="",'Cleanup TMS'!BI137=0),"-",'Cleanup TMS'!BI137)</f>
        <v>0.01</v>
      </c>
      <c r="AC137" s="73">
        <f>'Cleanup TMS'!BS137</f>
        <v>35820</v>
      </c>
      <c r="AD137" s="73">
        <f t="shared" si="10"/>
        <v>7775</v>
      </c>
      <c r="AE137" s="74">
        <f>IF(OR('Cleanup TMS'!BU137=0,'Cleanup TMS'!BU137=""),"-",'Cleanup TMS'!BU137)</f>
        <v>0.22</v>
      </c>
      <c r="AF137" s="74" t="str">
        <f>IF(OR('Cleanup TMS'!BV137=0,'Cleanup TMS'!BV137=""),"-",'Cleanup TMS'!BV137)</f>
        <v>C</v>
      </c>
      <c r="AG137" s="73">
        <f>'Cleanup TMS'!CF137</f>
        <v>1800</v>
      </c>
      <c r="AH137" s="73">
        <f t="shared" si="11"/>
        <v>367</v>
      </c>
      <c r="AI137" s="73">
        <f t="shared" si="12"/>
        <v>364</v>
      </c>
      <c r="AJ137" s="71">
        <f>IF(OR('Cleanup TMS'!CI137=0,'Cleanup TMS'!CI137=""),"-",'Cleanup TMS'!CI137)</f>
        <v>0.2</v>
      </c>
      <c r="AK137" s="75" t="str">
        <f>IF(OR('Cleanup TMS'!CJ137=0,'Cleanup TMS'!CJ137=""),"-",'Cleanup TMS'!CJ137)</f>
        <v>C</v>
      </c>
    </row>
    <row r="138" spans="1:37" ht="18.75" customHeight="1">
      <c r="A138" s="69">
        <f>'Cleanup TMS'!A138</f>
        <v>3556100</v>
      </c>
      <c r="B138" s="70">
        <f>'Cleanup TMS'!B138</f>
        <v>78</v>
      </c>
      <c r="C138" s="70" t="str">
        <f>IF('Cleanup TMS'!E138="","",'Cleanup TMS'!E138)</f>
        <v/>
      </c>
      <c r="D138" s="70" t="str">
        <f>'Cleanup TMS'!F138</f>
        <v>SUMTER</v>
      </c>
      <c r="E138" s="70">
        <f>'Cleanup TMS'!G138</f>
        <v>35</v>
      </c>
      <c r="F138" s="71">
        <f>ROUND('Cleanup TMS'!H138,2)</f>
        <v>2.93</v>
      </c>
      <c r="G138" s="72" t="str">
        <f>'Cleanup TMS'!I138</f>
        <v>CR 48</v>
      </c>
      <c r="H138" s="72" t="str">
        <f>'Cleanup TMS'!J138</f>
        <v>CR 469</v>
      </c>
      <c r="I138" s="72" t="str">
        <f>'Cleanup TMS'!K138</f>
        <v>CR 558</v>
      </c>
      <c r="J138" s="70">
        <f>'Cleanup TMS'!L138</f>
        <v>2</v>
      </c>
      <c r="K138" s="70">
        <v>2</v>
      </c>
      <c r="L138" s="70" t="s">
        <v>646</v>
      </c>
      <c r="M138" s="70" t="s">
        <v>648</v>
      </c>
      <c r="N138" s="152" t="s">
        <v>652</v>
      </c>
      <c r="O138" s="152" t="s">
        <v>547</v>
      </c>
      <c r="P138" s="70" t="str">
        <f>'Cleanup TMS'!V138</f>
        <v>COUNTY</v>
      </c>
      <c r="Q138" s="70" t="str">
        <f>'Cleanup TMS'!W138</f>
        <v>CENTER HILL</v>
      </c>
      <c r="R138" s="70" t="s">
        <v>5</v>
      </c>
      <c r="S138" s="73">
        <f>IF('Cleanup TMS'!AO138=0,"-",'Cleanup TMS'!AO138)</f>
        <v>24200</v>
      </c>
      <c r="T138" s="73">
        <f>'Cleanup TMS'!AP138</f>
        <v>5600</v>
      </c>
      <c r="U138" s="71">
        <f>IF(OR('Cleanup TMS'!AQ138=0,'Cleanup TMS'!AQ138=""),"-",'Cleanup TMS'!AQ138)</f>
        <v>0.23</v>
      </c>
      <c r="V138" s="71" t="str">
        <f>IF(OR('Cleanup TMS'!AR138=0,'Cleanup TMS'!AR138=""),"-",'Cleanup TMS'!AR138)</f>
        <v>B</v>
      </c>
      <c r="W138" s="73">
        <f>IF('Cleanup TMS'!BB138=0,"-",'Cleanup TMS'!BB138)</f>
        <v>1200</v>
      </c>
      <c r="X138" s="73">
        <f>'Cleanup TMS'!BC138</f>
        <v>174</v>
      </c>
      <c r="Y138" s="73">
        <f>'Cleanup TMS'!BD138</f>
        <v>299</v>
      </c>
      <c r="Z138" s="74">
        <f>IF(OR('Cleanup TMS'!BE138=0,'Cleanup TMS'!BE138=""),"-",'Cleanup TMS'!BE138)</f>
        <v>0.25</v>
      </c>
      <c r="AA138" s="74" t="str">
        <f>IF(OR('Cleanup TMS'!BF138=0,'Cleanup TMS'!BF138=""),"-",'Cleanup TMS'!BF138)</f>
        <v>B</v>
      </c>
      <c r="AB138" s="148">
        <f>IF(OR('Cleanup TMS'!BI138="",'Cleanup TMS'!BI138=0),"-",'Cleanup TMS'!BI138)</f>
        <v>1.2500000000000001E-2</v>
      </c>
      <c r="AC138" s="73">
        <f>'Cleanup TMS'!BS138</f>
        <v>24200</v>
      </c>
      <c r="AD138" s="73">
        <f t="shared" si="10"/>
        <v>5959</v>
      </c>
      <c r="AE138" s="74">
        <f>IF(OR('Cleanup TMS'!BU138=0,'Cleanup TMS'!BU138=""),"-",'Cleanup TMS'!BU138)</f>
        <v>0.25</v>
      </c>
      <c r="AF138" s="74" t="str">
        <f>IF(OR('Cleanup TMS'!BV138=0,'Cleanup TMS'!BV138=""),"-",'Cleanup TMS'!BV138)</f>
        <v>B</v>
      </c>
      <c r="AG138" s="73">
        <f>'Cleanup TMS'!CF138</f>
        <v>1200</v>
      </c>
      <c r="AH138" s="73">
        <f t="shared" si="11"/>
        <v>185</v>
      </c>
      <c r="AI138" s="73">
        <f t="shared" si="12"/>
        <v>318</v>
      </c>
      <c r="AJ138" s="71">
        <f>IF(OR('Cleanup TMS'!CI138=0,'Cleanup TMS'!CI138=""),"-",'Cleanup TMS'!CI138)</f>
        <v>0.27</v>
      </c>
      <c r="AK138" s="75" t="str">
        <f>IF(OR('Cleanup TMS'!CJ138=0,'Cleanup TMS'!CJ138=""),"-",'Cleanup TMS'!CJ138)</f>
        <v>B</v>
      </c>
    </row>
    <row r="139" spans="1:37" ht="18.75" customHeight="1">
      <c r="A139" s="69">
        <f>'Cleanup TMS'!A139</f>
        <v>3556110</v>
      </c>
      <c r="B139" s="70">
        <f>'Cleanup TMS'!B139</f>
        <v>79</v>
      </c>
      <c r="C139" s="70" t="str">
        <f>IF('Cleanup TMS'!E139="","",'Cleanup TMS'!E139)</f>
        <v/>
      </c>
      <c r="D139" s="70" t="str">
        <f>'Cleanup TMS'!F139</f>
        <v>SUMTER</v>
      </c>
      <c r="E139" s="70">
        <f>'Cleanup TMS'!G139</f>
        <v>55</v>
      </c>
      <c r="F139" s="71">
        <f>ROUND('Cleanup TMS'!H139,2)</f>
        <v>0.2</v>
      </c>
      <c r="G139" s="72" t="str">
        <f>'Cleanup TMS'!I139</f>
        <v>CR 48</v>
      </c>
      <c r="H139" s="72" t="str">
        <f>'Cleanup TMS'!J139</f>
        <v>CR 558</v>
      </c>
      <c r="I139" s="72" t="str">
        <f>'Cleanup TMS'!K139</f>
        <v>LAKE COUNTY BOUNDARY</v>
      </c>
      <c r="J139" s="70">
        <f>'Cleanup TMS'!L139</f>
        <v>2</v>
      </c>
      <c r="K139" s="70">
        <v>2</v>
      </c>
      <c r="L139" s="70" t="s">
        <v>646</v>
      </c>
      <c r="M139" s="70" t="s">
        <v>648</v>
      </c>
      <c r="N139" s="152" t="s">
        <v>652</v>
      </c>
      <c r="O139" s="152" t="s">
        <v>547</v>
      </c>
      <c r="P139" s="70" t="str">
        <f>'Cleanup TMS'!V139</f>
        <v>COUNTY</v>
      </c>
      <c r="Q139" s="70" t="str">
        <f>'Cleanup TMS'!W139</f>
        <v>UNINCORPORATED SUMTER COUNTY</v>
      </c>
      <c r="R139" s="70" t="s">
        <v>5</v>
      </c>
      <c r="S139" s="73">
        <f>IF('Cleanup TMS'!AO139=0,"-",'Cleanup TMS'!AO139)</f>
        <v>24200</v>
      </c>
      <c r="T139" s="73">
        <f>'Cleanup TMS'!AP139</f>
        <v>4221</v>
      </c>
      <c r="U139" s="71">
        <f>IF(OR('Cleanup TMS'!AQ139=0,'Cleanup TMS'!AQ139=""),"-",'Cleanup TMS'!AQ139)</f>
        <v>0.17</v>
      </c>
      <c r="V139" s="71" t="str">
        <f>IF(OR('Cleanup TMS'!AR139=0,'Cleanup TMS'!AR139=""),"-",'Cleanup TMS'!AR139)</f>
        <v>B</v>
      </c>
      <c r="W139" s="73">
        <f>IF('Cleanup TMS'!BB139=0,"-",'Cleanup TMS'!BB139)</f>
        <v>1200</v>
      </c>
      <c r="X139" s="73">
        <f>'Cleanup TMS'!BC139</f>
        <v>118</v>
      </c>
      <c r="Y139" s="73">
        <f>'Cleanup TMS'!BD139</f>
        <v>231</v>
      </c>
      <c r="Z139" s="74">
        <f>IF(OR('Cleanup TMS'!BE139=0,'Cleanup TMS'!BE139=""),"-",'Cleanup TMS'!BE139)</f>
        <v>0.19</v>
      </c>
      <c r="AA139" s="74" t="str">
        <f>IF(OR('Cleanup TMS'!BF139=0,'Cleanup TMS'!BF139=""),"-",'Cleanup TMS'!BF139)</f>
        <v>B</v>
      </c>
      <c r="AB139" s="148">
        <f>IF(OR('Cleanup TMS'!BI139="",'Cleanup TMS'!BI139=0),"-",'Cleanup TMS'!BI139)</f>
        <v>0.02</v>
      </c>
      <c r="AC139" s="73">
        <f>'Cleanup TMS'!BS139</f>
        <v>24200</v>
      </c>
      <c r="AD139" s="73">
        <f t="shared" si="10"/>
        <v>4660</v>
      </c>
      <c r="AE139" s="74">
        <f>IF(OR('Cleanup TMS'!BU139=0,'Cleanup TMS'!BU139=""),"-",'Cleanup TMS'!BU139)</f>
        <v>0.19</v>
      </c>
      <c r="AF139" s="74" t="str">
        <f>IF(OR('Cleanup TMS'!BV139=0,'Cleanup TMS'!BV139=""),"-",'Cleanup TMS'!BV139)</f>
        <v>B</v>
      </c>
      <c r="AG139" s="73">
        <f>'Cleanup TMS'!CF139</f>
        <v>1200</v>
      </c>
      <c r="AH139" s="73">
        <f t="shared" si="11"/>
        <v>130</v>
      </c>
      <c r="AI139" s="73">
        <f t="shared" si="12"/>
        <v>255</v>
      </c>
      <c r="AJ139" s="71">
        <f>IF(OR('Cleanup TMS'!CI139=0,'Cleanup TMS'!CI139=""),"-",'Cleanup TMS'!CI139)</f>
        <v>0.21</v>
      </c>
      <c r="AK139" s="75" t="str">
        <f>IF(OR('Cleanup TMS'!CJ139=0,'Cleanup TMS'!CJ139=""),"-",'Cleanup TMS'!CJ139)</f>
        <v>B</v>
      </c>
    </row>
    <row r="140" spans="1:37" ht="18.75" customHeight="1">
      <c r="A140" s="69">
        <f>'Cleanup TMS'!A140</f>
        <v>3557110</v>
      </c>
      <c r="B140" s="70">
        <f>'Cleanup TMS'!B140</f>
        <v>36</v>
      </c>
      <c r="C140" s="70" t="str">
        <f>IF('Cleanup TMS'!E140="","",'Cleanup TMS'!E140)</f>
        <v/>
      </c>
      <c r="D140" s="70" t="str">
        <f>'Cleanup TMS'!F140</f>
        <v>SUMTER</v>
      </c>
      <c r="E140" s="70">
        <f>'Cleanup TMS'!G140</f>
        <v>45</v>
      </c>
      <c r="F140" s="71">
        <f>ROUND('Cleanup TMS'!H140,2)</f>
        <v>1.02</v>
      </c>
      <c r="G140" s="72" t="str">
        <f>'Cleanup TMS'!I140</f>
        <v>CR 468 (WARM SPRINGS AVE)</v>
      </c>
      <c r="H140" s="72" t="str">
        <f>'Cleanup TMS'!J140</f>
        <v>US 301/SR 35</v>
      </c>
      <c r="I140" s="72" t="str">
        <f>'Cleanup TMS'!K140</f>
        <v>CR 513</v>
      </c>
      <c r="J140" s="70">
        <f>'Cleanup TMS'!L140</f>
        <v>4</v>
      </c>
      <c r="K140" s="70">
        <v>4</v>
      </c>
      <c r="L140" s="70" t="s">
        <v>647</v>
      </c>
      <c r="M140" s="70" t="s">
        <v>649</v>
      </c>
      <c r="N140" s="152" t="s">
        <v>651</v>
      </c>
      <c r="O140" s="152" t="s">
        <v>547</v>
      </c>
      <c r="P140" s="70" t="str">
        <f>'Cleanup TMS'!V140</f>
        <v>COUNTY</v>
      </c>
      <c r="Q140" s="70" t="str">
        <f>'Cleanup TMS'!W140</f>
        <v>WILDWOOD</v>
      </c>
      <c r="R140" s="70" t="s">
        <v>5</v>
      </c>
      <c r="S140" s="73">
        <f>IF('Cleanup TMS'!AO140=0,"-",'Cleanup TMS'!AO140)</f>
        <v>27360</v>
      </c>
      <c r="T140" s="73">
        <f>'Cleanup TMS'!AP140</f>
        <v>11776</v>
      </c>
      <c r="U140" s="71">
        <f>IF(OR('Cleanup TMS'!AQ140=0,'Cleanup TMS'!AQ140=""),"-",'Cleanup TMS'!AQ140)</f>
        <v>0.43</v>
      </c>
      <c r="V140" s="71" t="str">
        <f>IF(OR('Cleanup TMS'!AR140=0,'Cleanup TMS'!AR140=""),"-",'Cleanup TMS'!AR140)</f>
        <v>C</v>
      </c>
      <c r="W140" s="73">
        <f>IF('Cleanup TMS'!BB140=0,"-",'Cleanup TMS'!BB140)</f>
        <v>1422</v>
      </c>
      <c r="X140" s="73">
        <f>'Cleanup TMS'!BC140</f>
        <v>477</v>
      </c>
      <c r="Y140" s="73">
        <f>'Cleanup TMS'!BD140</f>
        <v>568</v>
      </c>
      <c r="Z140" s="74">
        <f>IF(OR('Cleanup TMS'!BE140=0,'Cleanup TMS'!BE140=""),"-",'Cleanup TMS'!BE140)</f>
        <v>0.4</v>
      </c>
      <c r="AA140" s="74" t="str">
        <f>IF(OR('Cleanup TMS'!BF140=0,'Cleanup TMS'!BF140=""),"-",'Cleanup TMS'!BF140)</f>
        <v>C</v>
      </c>
      <c r="AB140" s="148">
        <f>IF(OR('Cleanup TMS'!BI140="",'Cleanup TMS'!BI140=0),"-",'Cleanup TMS'!BI140)</f>
        <v>5.7500000000000002E-2</v>
      </c>
      <c r="AC140" s="73">
        <f>'Cleanup TMS'!BS140</f>
        <v>27360</v>
      </c>
      <c r="AD140" s="73">
        <f t="shared" si="10"/>
        <v>15574</v>
      </c>
      <c r="AE140" s="74">
        <f>IF(OR('Cleanup TMS'!BU140=0,'Cleanup TMS'!BU140=""),"-",'Cleanup TMS'!BU140)</f>
        <v>0.56999999999999995</v>
      </c>
      <c r="AF140" s="74" t="str">
        <f>IF(OR('Cleanup TMS'!BV140=0,'Cleanup TMS'!BV140=""),"-",'Cleanup TMS'!BV140)</f>
        <v>C</v>
      </c>
      <c r="AG140" s="73">
        <f>'Cleanup TMS'!CF140</f>
        <v>1422</v>
      </c>
      <c r="AH140" s="73">
        <f t="shared" si="11"/>
        <v>631</v>
      </c>
      <c r="AI140" s="73">
        <f t="shared" si="12"/>
        <v>751</v>
      </c>
      <c r="AJ140" s="71">
        <f>IF(OR('Cleanup TMS'!CI140=0,'Cleanup TMS'!CI140=""),"-",'Cleanup TMS'!CI140)</f>
        <v>0.53</v>
      </c>
      <c r="AK140" s="75" t="str">
        <f>IF(OR('Cleanup TMS'!CJ140=0,'Cleanup TMS'!CJ140=""),"-",'Cleanup TMS'!CJ140)</f>
        <v>C</v>
      </c>
    </row>
    <row r="141" spans="1:37" ht="18.75" customHeight="1">
      <c r="A141" s="69">
        <f>'Cleanup TMS'!A141</f>
        <v>3557120</v>
      </c>
      <c r="B141" s="70" t="str">
        <f>'Cleanup TMS'!B141</f>
        <v>2020-52</v>
      </c>
      <c r="C141" s="70" t="str">
        <f>IF('Cleanup TMS'!E141="","",'Cleanup TMS'!E141)</f>
        <v/>
      </c>
      <c r="D141" s="70" t="str">
        <f>'Cleanup TMS'!F141</f>
        <v>SUMTER</v>
      </c>
      <c r="E141" s="70">
        <f>'Cleanup TMS'!G141</f>
        <v>55</v>
      </c>
      <c r="F141" s="71">
        <f>ROUND('Cleanup TMS'!H141,2)</f>
        <v>1.74</v>
      </c>
      <c r="G141" s="72" t="str">
        <f>'Cleanup TMS'!I141</f>
        <v>CR 468 (WARM SPRINGS AVE)</v>
      </c>
      <c r="H141" s="72" t="str">
        <f>'Cleanup TMS'!J141</f>
        <v>CR 513</v>
      </c>
      <c r="I141" s="72" t="str">
        <f>'Cleanup TMS'!K141</f>
        <v>CR 501</v>
      </c>
      <c r="J141" s="70">
        <f>'Cleanup TMS'!L141</f>
        <v>4</v>
      </c>
      <c r="K141" s="70">
        <v>4</v>
      </c>
      <c r="L141" s="70" t="s">
        <v>647</v>
      </c>
      <c r="M141" s="70" t="s">
        <v>649</v>
      </c>
      <c r="N141" s="152" t="s">
        <v>651</v>
      </c>
      <c r="O141" s="152" t="s">
        <v>547</v>
      </c>
      <c r="P141" s="70" t="str">
        <f>'Cleanup TMS'!V141</f>
        <v>COUNTY</v>
      </c>
      <c r="Q141" s="70" t="str">
        <f>'Cleanup TMS'!W141</f>
        <v>WILDWOOD</v>
      </c>
      <c r="R141" s="70" t="s">
        <v>5</v>
      </c>
      <c r="S141" s="73">
        <f>IF('Cleanup TMS'!AO141=0,"-",'Cleanup TMS'!AO141)</f>
        <v>27360</v>
      </c>
      <c r="T141" s="73">
        <f>'Cleanup TMS'!AP141</f>
        <v>15106.620000000112</v>
      </c>
      <c r="U141" s="71">
        <f>IF(OR('Cleanup TMS'!AQ141=0,'Cleanup TMS'!AQ141=""),"-",'Cleanup TMS'!AQ141)</f>
        <v>0.55000000000000004</v>
      </c>
      <c r="V141" s="71" t="str">
        <f>IF(OR('Cleanup TMS'!AR141=0,'Cleanup TMS'!AR141=""),"-",'Cleanup TMS'!AR141)</f>
        <v>C</v>
      </c>
      <c r="W141" s="73">
        <f>IF('Cleanup TMS'!BB141=0,"-",'Cleanup TMS'!BB141)</f>
        <v>1422</v>
      </c>
      <c r="X141" s="73">
        <f>'Cleanup TMS'!BC141</f>
        <v>378</v>
      </c>
      <c r="Y141" s="73">
        <f>'Cleanup TMS'!BD141</f>
        <v>548</v>
      </c>
      <c r="Z141" s="74">
        <f>IF(OR('Cleanup TMS'!BE141=0,'Cleanup TMS'!BE141=""),"-",'Cleanup TMS'!BE141)</f>
        <v>0.39</v>
      </c>
      <c r="AA141" s="74" t="str">
        <f>IF(OR('Cleanup TMS'!BF141=0,'Cleanup TMS'!BF141=""),"-",'Cleanup TMS'!BF141)</f>
        <v>C</v>
      </c>
      <c r="AB141" s="148">
        <f>IF(OR('Cleanup TMS'!BI141="",'Cleanup TMS'!BI141=0),"-",'Cleanup TMS'!BI141)</f>
        <v>7.7499999999999999E-2</v>
      </c>
      <c r="AC141" s="73">
        <f>'Cleanup TMS'!BS141</f>
        <v>27360</v>
      </c>
      <c r="AD141" s="73">
        <f t="shared" si="10"/>
        <v>21941</v>
      </c>
      <c r="AE141" s="74">
        <f>IF(OR('Cleanup TMS'!BU141=0,'Cleanup TMS'!BU141=""),"-",'Cleanup TMS'!BU141)</f>
        <v>0.8</v>
      </c>
      <c r="AF141" s="74" t="str">
        <f>IF(OR('Cleanup TMS'!BV141=0,'Cleanup TMS'!BV141=""),"-",'Cleanup TMS'!BV141)</f>
        <v>C</v>
      </c>
      <c r="AG141" s="73">
        <f>'Cleanup TMS'!CF141</f>
        <v>1422</v>
      </c>
      <c r="AH141" s="73">
        <f t="shared" si="11"/>
        <v>549</v>
      </c>
      <c r="AI141" s="73">
        <f t="shared" si="12"/>
        <v>796</v>
      </c>
      <c r="AJ141" s="71">
        <f>IF(OR('Cleanup TMS'!CI141=0,'Cleanup TMS'!CI141=""),"-",'Cleanup TMS'!CI141)</f>
        <v>0.56000000000000005</v>
      </c>
      <c r="AK141" s="75" t="str">
        <f>IF(OR('Cleanup TMS'!CJ141=0,'Cleanup TMS'!CJ141=""),"-",'Cleanup TMS'!CJ141)</f>
        <v>C</v>
      </c>
    </row>
    <row r="142" spans="1:37" ht="18.75" customHeight="1">
      <c r="A142" s="69">
        <f>'Cleanup TMS'!A142</f>
        <v>3557130</v>
      </c>
      <c r="B142" s="70">
        <f>'Cleanup TMS'!B142</f>
        <v>35</v>
      </c>
      <c r="C142" s="70" t="str">
        <f>IF('Cleanup TMS'!E142="","",'Cleanup TMS'!E142)</f>
        <v/>
      </c>
      <c r="D142" s="70" t="str">
        <f>'Cleanup TMS'!F142</f>
        <v>SUMTER</v>
      </c>
      <c r="E142" s="70">
        <f>'Cleanup TMS'!G142</f>
        <v>55</v>
      </c>
      <c r="F142" s="71">
        <f>ROUND('Cleanup TMS'!H142,2)</f>
        <v>2</v>
      </c>
      <c r="G142" s="72" t="str">
        <f>'Cleanup TMS'!I142</f>
        <v xml:space="preserve">CR 468 </v>
      </c>
      <c r="H142" s="72" t="str">
        <f>'Cleanup TMS'!J142</f>
        <v>CR 501</v>
      </c>
      <c r="I142" s="72" t="str">
        <f>'Cleanup TMS'!K142</f>
        <v>SANDALWOOD DR</v>
      </c>
      <c r="J142" s="70">
        <f>'Cleanup TMS'!L142</f>
        <v>4</v>
      </c>
      <c r="K142" s="70">
        <v>4</v>
      </c>
      <c r="L142" s="70" t="s">
        <v>647</v>
      </c>
      <c r="M142" s="70" t="s">
        <v>649</v>
      </c>
      <c r="N142" s="152" t="s">
        <v>651</v>
      </c>
      <c r="O142" s="152" t="s">
        <v>547</v>
      </c>
      <c r="P142" s="70" t="str">
        <f>'Cleanup TMS'!V142</f>
        <v>COUNTY</v>
      </c>
      <c r="Q142" s="70" t="str">
        <f>'Cleanup TMS'!W142</f>
        <v>UNINCORPORATED SUMTER COUNTY</v>
      </c>
      <c r="R142" s="70" t="s">
        <v>5</v>
      </c>
      <c r="S142" s="73">
        <f>IF('Cleanup TMS'!AO142=0,"-",'Cleanup TMS'!AO142)</f>
        <v>28880</v>
      </c>
      <c r="T142" s="73">
        <f>'Cleanup TMS'!AP142</f>
        <v>24291</v>
      </c>
      <c r="U142" s="71">
        <f>IF(OR('Cleanup TMS'!AQ142=0,'Cleanup TMS'!AQ142=""),"-",'Cleanup TMS'!AQ142)</f>
        <v>0.84</v>
      </c>
      <c r="V142" s="71" t="str">
        <f>IF(OR('Cleanup TMS'!AR142=0,'Cleanup TMS'!AR142=""),"-",'Cleanup TMS'!AR142)</f>
        <v>C</v>
      </c>
      <c r="W142" s="73">
        <f>IF('Cleanup TMS'!BB142=0,"-",'Cleanup TMS'!BB142)</f>
        <v>1501</v>
      </c>
      <c r="X142" s="73">
        <f>'Cleanup TMS'!BC142</f>
        <v>1092</v>
      </c>
      <c r="Y142" s="73">
        <f>'Cleanup TMS'!BD142</f>
        <v>1078</v>
      </c>
      <c r="Z142" s="74">
        <f>IF(OR('Cleanup TMS'!BE142=0,'Cleanup TMS'!BE142=""),"-",'Cleanup TMS'!BE142)</f>
        <v>0.73</v>
      </c>
      <c r="AA142" s="74" t="str">
        <f>IF(OR('Cleanup TMS'!BF142=0,'Cleanup TMS'!BF142=""),"-",'Cleanup TMS'!BF142)</f>
        <v>C</v>
      </c>
      <c r="AB142" s="148">
        <f>IF(OR('Cleanup TMS'!BI142="",'Cleanup TMS'!BI142=0),"-",'Cleanup TMS'!BI142)</f>
        <v>0.02</v>
      </c>
      <c r="AC142" s="73">
        <f>'Cleanup TMS'!BS142</f>
        <v>28880</v>
      </c>
      <c r="AD142" s="73">
        <f t="shared" si="10"/>
        <v>26819</v>
      </c>
      <c r="AE142" s="74">
        <f>IF(OR('Cleanup TMS'!BU142=0,'Cleanup TMS'!BU142=""),"-",'Cleanup TMS'!BU142)</f>
        <v>0.93</v>
      </c>
      <c r="AF142" s="74" t="str">
        <f>IF(OR('Cleanup TMS'!BV142=0,'Cleanup TMS'!BV142=""),"-",'Cleanup TMS'!BV142)</f>
        <v>C</v>
      </c>
      <c r="AG142" s="73">
        <f>'Cleanup TMS'!CF142</f>
        <v>1501</v>
      </c>
      <c r="AH142" s="73">
        <f t="shared" si="11"/>
        <v>1206</v>
      </c>
      <c r="AI142" s="73">
        <f t="shared" si="12"/>
        <v>1190</v>
      </c>
      <c r="AJ142" s="71">
        <f>IF(OR('Cleanup TMS'!CI142=0,'Cleanup TMS'!CI142=""),"-",'Cleanup TMS'!CI142)</f>
        <v>0.8</v>
      </c>
      <c r="AK142" s="75" t="str">
        <f>IF(OR('Cleanup TMS'!CJ142=0,'Cleanup TMS'!CJ142=""),"-",'Cleanup TMS'!CJ142)</f>
        <v>C</v>
      </c>
    </row>
    <row r="143" spans="1:37" ht="18.75" customHeight="1">
      <c r="A143" s="69">
        <f>'Cleanup TMS'!A143</f>
        <v>3557140</v>
      </c>
      <c r="B143" s="70">
        <f>'Cleanup TMS'!B143</f>
        <v>34</v>
      </c>
      <c r="C143" s="70" t="str">
        <f>IF('Cleanup TMS'!E143="","",'Cleanup TMS'!E143)</f>
        <v/>
      </c>
      <c r="D143" s="70" t="str">
        <f>'Cleanup TMS'!F143</f>
        <v>SUMTER</v>
      </c>
      <c r="E143" s="70">
        <f>'Cleanup TMS'!G143</f>
        <v>45</v>
      </c>
      <c r="F143" s="71">
        <f>ROUND('Cleanup TMS'!H143,2)</f>
        <v>0.9</v>
      </c>
      <c r="G143" s="72" t="str">
        <f>'Cleanup TMS'!I143</f>
        <v>CR 468 (WARM SPRINGS AVE)</v>
      </c>
      <c r="H143" s="72" t="str">
        <f>'Cleanup TMS'!J143</f>
        <v>SANDALWOOD DR</v>
      </c>
      <c r="I143" s="72" t="str">
        <f>'Cleanup TMS'!K143</f>
        <v>SR 44</v>
      </c>
      <c r="J143" s="70">
        <f>'Cleanup TMS'!L143</f>
        <v>4</v>
      </c>
      <c r="K143" s="70">
        <v>4</v>
      </c>
      <c r="L143" s="70" t="s">
        <v>646</v>
      </c>
      <c r="M143" s="70" t="s">
        <v>649</v>
      </c>
      <c r="N143" s="152" t="s">
        <v>651</v>
      </c>
      <c r="O143" s="152" t="s">
        <v>547</v>
      </c>
      <c r="P143" s="70" t="str">
        <f>'Cleanup TMS'!V143</f>
        <v>COUNTY</v>
      </c>
      <c r="Q143" s="70" t="str">
        <f>'Cleanup TMS'!W143</f>
        <v>WILDWOOD</v>
      </c>
      <c r="R143" s="70" t="s">
        <v>5</v>
      </c>
      <c r="S143" s="73">
        <f>IF('Cleanup TMS'!AO143=0,"-",'Cleanup TMS'!AO143)</f>
        <v>37810</v>
      </c>
      <c r="T143" s="73">
        <f>'Cleanup TMS'!AP143</f>
        <v>24892</v>
      </c>
      <c r="U143" s="71">
        <f>IF(OR('Cleanup TMS'!AQ143=0,'Cleanup TMS'!AQ143=""),"-",'Cleanup TMS'!AQ143)</f>
        <v>0.66</v>
      </c>
      <c r="V143" s="71" t="str">
        <f>IF(OR('Cleanup TMS'!AR143=0,'Cleanup TMS'!AR143=""),"-",'Cleanup TMS'!AR143)</f>
        <v>C</v>
      </c>
      <c r="W143" s="73">
        <f>IF('Cleanup TMS'!BB143=0,"-",'Cleanup TMS'!BB143)</f>
        <v>1900</v>
      </c>
      <c r="X143" s="73">
        <f>'Cleanup TMS'!BC143</f>
        <v>1125</v>
      </c>
      <c r="Y143" s="73">
        <f>'Cleanup TMS'!BD143</f>
        <v>1003</v>
      </c>
      <c r="Z143" s="74">
        <f>IF(OR('Cleanup TMS'!BE143=0,'Cleanup TMS'!BE143=""),"-",'Cleanup TMS'!BE143)</f>
        <v>0.59</v>
      </c>
      <c r="AA143" s="74" t="str">
        <f>IF(OR('Cleanup TMS'!BF143=0,'Cleanup TMS'!BF143=""),"-",'Cleanup TMS'!BF143)</f>
        <v>C</v>
      </c>
      <c r="AB143" s="148">
        <f>IF(OR('Cleanup TMS'!BI143="",'Cleanup TMS'!BI143=0),"-",'Cleanup TMS'!BI143)</f>
        <v>7.0000000000000007E-2</v>
      </c>
      <c r="AC143" s="73">
        <f>'Cleanup TMS'!BS143</f>
        <v>37810</v>
      </c>
      <c r="AD143" s="73">
        <f t="shared" si="10"/>
        <v>34912</v>
      </c>
      <c r="AE143" s="74">
        <f>IF(OR('Cleanup TMS'!BU143=0,'Cleanup TMS'!BU143=""),"-",'Cleanup TMS'!BU143)</f>
        <v>0.92</v>
      </c>
      <c r="AF143" s="74" t="str">
        <f>IF(OR('Cleanup TMS'!BV143=0,'Cleanup TMS'!BV143=""),"-",'Cleanup TMS'!BV143)</f>
        <v>C</v>
      </c>
      <c r="AG143" s="73">
        <f>'Cleanup TMS'!CF143</f>
        <v>1900</v>
      </c>
      <c r="AH143" s="73">
        <f t="shared" si="11"/>
        <v>1578</v>
      </c>
      <c r="AI143" s="73">
        <f t="shared" si="12"/>
        <v>1407</v>
      </c>
      <c r="AJ143" s="71">
        <f>IF(OR('Cleanup TMS'!CI143=0,'Cleanup TMS'!CI143=""),"-",'Cleanup TMS'!CI143)</f>
        <v>0.83</v>
      </c>
      <c r="AK143" s="75" t="str">
        <f>IF(OR('Cleanup TMS'!CJ143=0,'Cleanup TMS'!CJ143=""),"-",'Cleanup TMS'!CJ143)</f>
        <v>C</v>
      </c>
    </row>
    <row r="144" spans="1:37" ht="18.75" customHeight="1">
      <c r="A144" s="69">
        <f>'Cleanup TMS'!A144</f>
        <v>3558110</v>
      </c>
      <c r="B144" s="70">
        <f>'Cleanup TMS'!B144</f>
        <v>180061</v>
      </c>
      <c r="C144" s="70">
        <f>IF('Cleanup TMS'!E144="","",'Cleanup TMS'!E144)</f>
        <v>180061</v>
      </c>
      <c r="D144" s="70" t="str">
        <f>'Cleanup TMS'!F144</f>
        <v>FDOT</v>
      </c>
      <c r="E144" s="70">
        <f>'Cleanup TMS'!G144</f>
        <v>35</v>
      </c>
      <c r="F144" s="71">
        <f>ROUND('Cleanup TMS'!H144,2)</f>
        <v>0.26</v>
      </c>
      <c r="G144" s="72" t="str">
        <f>'Cleanup TMS'!I144</f>
        <v>SR 471</v>
      </c>
      <c r="H144" s="72" t="str">
        <f>'Cleanup TMS'!J144</f>
        <v>CR 478 E (S)</v>
      </c>
      <c r="I144" s="72" t="str">
        <f>'Cleanup TMS'!K144</f>
        <v>CR 478 E (N)</v>
      </c>
      <c r="J144" s="70">
        <f>'Cleanup TMS'!L144</f>
        <v>2</v>
      </c>
      <c r="K144" s="70">
        <v>2</v>
      </c>
      <c r="L144" s="70" t="s">
        <v>646</v>
      </c>
      <c r="M144" s="70" t="s">
        <v>648</v>
      </c>
      <c r="N144" s="152" t="s">
        <v>652</v>
      </c>
      <c r="O144" s="152" t="s">
        <v>547</v>
      </c>
      <c r="P144" s="70" t="str">
        <f>'Cleanup TMS'!V144</f>
        <v>STATE</v>
      </c>
      <c r="Q144" s="70" t="str">
        <f>'Cleanup TMS'!W144</f>
        <v>WEBSTER</v>
      </c>
      <c r="R144" s="70" t="s">
        <v>5</v>
      </c>
      <c r="S144" s="73">
        <f>IF('Cleanup TMS'!AO144=0,"-",'Cleanup TMS'!AO144)</f>
        <v>24200</v>
      </c>
      <c r="T144" s="73">
        <f>'Cleanup TMS'!AP144</f>
        <v>7631.428571428638</v>
      </c>
      <c r="U144" s="71">
        <f>IF(OR('Cleanup TMS'!AQ144=0,'Cleanup TMS'!AQ144=""),"-",'Cleanup TMS'!AQ144)</f>
        <v>0.32</v>
      </c>
      <c r="V144" s="71" t="str">
        <f>IF(OR('Cleanup TMS'!AR144=0,'Cleanup TMS'!AR144=""),"-",'Cleanup TMS'!AR144)</f>
        <v>B</v>
      </c>
      <c r="W144" s="73">
        <f>IF('Cleanup TMS'!BB144=0,"-",'Cleanup TMS'!BB144)</f>
        <v>1200</v>
      </c>
      <c r="X144" s="73">
        <f>'Cleanup TMS'!BC144</f>
        <v>384</v>
      </c>
      <c r="Y144" s="73">
        <f>'Cleanup TMS'!BD144</f>
        <v>341</v>
      </c>
      <c r="Z144" s="74">
        <f>IF(OR('Cleanup TMS'!BE144=0,'Cleanup TMS'!BE144=""),"-",'Cleanup TMS'!BE144)</f>
        <v>0.32</v>
      </c>
      <c r="AA144" s="74" t="str">
        <f>IF(OR('Cleanup TMS'!BF144=0,'Cleanup TMS'!BF144=""),"-",'Cleanup TMS'!BF144)</f>
        <v>B</v>
      </c>
      <c r="AB144" s="148">
        <f>IF(OR('Cleanup TMS'!BI144="",'Cleanup TMS'!BI144=0),"-",'Cleanup TMS'!BI144)</f>
        <v>0.01</v>
      </c>
      <c r="AC144" s="73">
        <f>'Cleanup TMS'!BS144</f>
        <v>24200</v>
      </c>
      <c r="AD144" s="73">
        <f t="shared" si="10"/>
        <v>8021</v>
      </c>
      <c r="AE144" s="74">
        <f>IF(OR('Cleanup TMS'!BU144=0,'Cleanup TMS'!BU144=""),"-",'Cleanup TMS'!BU144)</f>
        <v>0.33</v>
      </c>
      <c r="AF144" s="74" t="str">
        <f>IF(OR('Cleanup TMS'!BV144=0,'Cleanup TMS'!BV144=""),"-",'Cleanup TMS'!BV144)</f>
        <v>B</v>
      </c>
      <c r="AG144" s="73">
        <f>'Cleanup TMS'!CF144</f>
        <v>1200</v>
      </c>
      <c r="AH144" s="73">
        <f t="shared" si="11"/>
        <v>404</v>
      </c>
      <c r="AI144" s="73">
        <f t="shared" si="12"/>
        <v>358</v>
      </c>
      <c r="AJ144" s="71">
        <f>IF(OR('Cleanup TMS'!CI144=0,'Cleanup TMS'!CI144=""),"-",'Cleanup TMS'!CI144)</f>
        <v>0.34</v>
      </c>
      <c r="AK144" s="75" t="str">
        <f>IF(OR('Cleanup TMS'!CJ144=0,'Cleanup TMS'!CJ144=""),"-",'Cleanup TMS'!CJ144)</f>
        <v>B</v>
      </c>
    </row>
    <row r="145" spans="1:37" ht="18.75" customHeight="1">
      <c r="A145" s="69">
        <f>'Cleanup TMS'!A145</f>
        <v>3558120</v>
      </c>
      <c r="B145" s="70">
        <f>'Cleanup TMS'!B145</f>
        <v>181001</v>
      </c>
      <c r="C145" s="70">
        <f>IF('Cleanup TMS'!E145="","",'Cleanup TMS'!E145)</f>
        <v>181001</v>
      </c>
      <c r="D145" s="70" t="str">
        <f>'Cleanup TMS'!F145</f>
        <v>FDOT</v>
      </c>
      <c r="E145" s="70">
        <f>'Cleanup TMS'!G145</f>
        <v>35</v>
      </c>
      <c r="F145" s="71">
        <f>ROUND('Cleanup TMS'!H145,2)</f>
        <v>1.26</v>
      </c>
      <c r="G145" s="72" t="str">
        <f>'Cleanup TMS'!I145</f>
        <v>SR 471</v>
      </c>
      <c r="H145" s="72" t="str">
        <f>'Cleanup TMS'!J145</f>
        <v>CR 478 (N)</v>
      </c>
      <c r="I145" s="72" t="str">
        <f>'Cleanup TMS'!K145</f>
        <v>CR 722</v>
      </c>
      <c r="J145" s="70">
        <f>'Cleanup TMS'!L145</f>
        <v>2</v>
      </c>
      <c r="K145" s="70">
        <v>2</v>
      </c>
      <c r="L145" s="70" t="s">
        <v>646</v>
      </c>
      <c r="M145" s="70" t="s">
        <v>648</v>
      </c>
      <c r="N145" s="152" t="s">
        <v>652</v>
      </c>
      <c r="O145" s="152" t="s">
        <v>547</v>
      </c>
      <c r="P145" s="70" t="str">
        <f>'Cleanup TMS'!V145</f>
        <v>STATE</v>
      </c>
      <c r="Q145" s="70" t="str">
        <f>'Cleanup TMS'!W145</f>
        <v>WEBSTER</v>
      </c>
      <c r="R145" s="70" t="s">
        <v>5</v>
      </c>
      <c r="S145" s="73">
        <f>IF('Cleanup TMS'!AO145=0,"-",'Cleanup TMS'!AO145)</f>
        <v>24200</v>
      </c>
      <c r="T145" s="73">
        <f>'Cleanup TMS'!AP145</f>
        <v>7400</v>
      </c>
      <c r="U145" s="71">
        <f>IF(OR('Cleanup TMS'!AQ145=0,'Cleanup TMS'!AQ145=""),"-",'Cleanup TMS'!AQ145)</f>
        <v>0.31</v>
      </c>
      <c r="V145" s="71" t="str">
        <f>IF(OR('Cleanup TMS'!AR145=0,'Cleanup TMS'!AR145=""),"-",'Cleanup TMS'!AR145)</f>
        <v>B</v>
      </c>
      <c r="W145" s="73">
        <f>IF('Cleanup TMS'!BB145=0,"-",'Cleanup TMS'!BB145)</f>
        <v>1200</v>
      </c>
      <c r="X145" s="73">
        <f>'Cleanup TMS'!BC145</f>
        <v>373</v>
      </c>
      <c r="Y145" s="73">
        <f>'Cleanup TMS'!BD145</f>
        <v>330</v>
      </c>
      <c r="Z145" s="74">
        <f>IF(OR('Cleanup TMS'!BE145=0,'Cleanup TMS'!BE145=""),"-",'Cleanup TMS'!BE145)</f>
        <v>0.31</v>
      </c>
      <c r="AA145" s="74" t="str">
        <f>IF(OR('Cleanup TMS'!BF145=0,'Cleanup TMS'!BF145=""),"-",'Cleanup TMS'!BF145)</f>
        <v>B</v>
      </c>
      <c r="AB145" s="148">
        <f>IF(OR('Cleanup TMS'!BI145="",'Cleanup TMS'!BI145=0),"-",'Cleanup TMS'!BI145)</f>
        <v>0.01</v>
      </c>
      <c r="AC145" s="73">
        <f>'Cleanup TMS'!BS145</f>
        <v>24200</v>
      </c>
      <c r="AD145" s="73">
        <f t="shared" si="10"/>
        <v>7777</v>
      </c>
      <c r="AE145" s="74">
        <f>IF(OR('Cleanup TMS'!BU145=0,'Cleanup TMS'!BU145=""),"-",'Cleanup TMS'!BU145)</f>
        <v>0.32</v>
      </c>
      <c r="AF145" s="74" t="str">
        <f>IF(OR('Cleanup TMS'!BV145=0,'Cleanup TMS'!BV145=""),"-",'Cleanup TMS'!BV145)</f>
        <v>B</v>
      </c>
      <c r="AG145" s="73">
        <f>'Cleanup TMS'!CF145</f>
        <v>1200</v>
      </c>
      <c r="AH145" s="73">
        <f t="shared" si="11"/>
        <v>392</v>
      </c>
      <c r="AI145" s="73">
        <f t="shared" si="12"/>
        <v>347</v>
      </c>
      <c r="AJ145" s="71">
        <f>IF(OR('Cleanup TMS'!CI145=0,'Cleanup TMS'!CI145=""),"-",'Cleanup TMS'!CI145)</f>
        <v>0.33</v>
      </c>
      <c r="AK145" s="75" t="str">
        <f>IF(OR('Cleanup TMS'!CJ145=0,'Cleanup TMS'!CJ145=""),"-",'Cleanup TMS'!CJ145)</f>
        <v>B</v>
      </c>
    </row>
    <row r="146" spans="1:37" ht="18.75" customHeight="1">
      <c r="A146" s="69">
        <f>'Cleanup TMS'!A146</f>
        <v>3558140</v>
      </c>
      <c r="B146" s="70">
        <f>'Cleanup TMS'!B146</f>
        <v>181001</v>
      </c>
      <c r="C146" s="70">
        <f>IF('Cleanup TMS'!E146="","",'Cleanup TMS'!E146)</f>
        <v>181001</v>
      </c>
      <c r="D146" s="70" t="str">
        <f>'Cleanup TMS'!F146</f>
        <v>FDOT</v>
      </c>
      <c r="E146" s="70">
        <f>'Cleanup TMS'!G146</f>
        <v>55</v>
      </c>
      <c r="F146" s="71">
        <f>ROUND('Cleanup TMS'!H146,2)</f>
        <v>1.26</v>
      </c>
      <c r="G146" s="72" t="str">
        <f>'Cleanup TMS'!I146</f>
        <v>SR 471</v>
      </c>
      <c r="H146" s="72" t="str">
        <f>'Cleanup TMS'!J146</f>
        <v>CR 722</v>
      </c>
      <c r="I146" s="72" t="str">
        <f>'Cleanup TMS'!K146</f>
        <v>CR 48 E</v>
      </c>
      <c r="J146" s="70">
        <f>'Cleanup TMS'!L146</f>
        <v>2</v>
      </c>
      <c r="K146" s="70">
        <v>2</v>
      </c>
      <c r="L146" s="70" t="s">
        <v>646</v>
      </c>
      <c r="M146" s="70" t="s">
        <v>648</v>
      </c>
      <c r="N146" s="152" t="s">
        <v>652</v>
      </c>
      <c r="O146" s="152" t="s">
        <v>547</v>
      </c>
      <c r="P146" s="70" t="str">
        <f>'Cleanup TMS'!V146</f>
        <v>STATE</v>
      </c>
      <c r="Q146" s="70" t="str">
        <f>'Cleanup TMS'!W146</f>
        <v>UNINCORPORATED SUMTER COUNTY</v>
      </c>
      <c r="R146" s="70" t="s">
        <v>5</v>
      </c>
      <c r="S146" s="73">
        <f>IF('Cleanup TMS'!AO146=0,"-",'Cleanup TMS'!AO146)</f>
        <v>24200</v>
      </c>
      <c r="T146" s="73">
        <f>'Cleanup TMS'!AP146</f>
        <v>7400</v>
      </c>
      <c r="U146" s="71">
        <f>IF(OR('Cleanup TMS'!AQ146=0,'Cleanup TMS'!AQ146=""),"-",'Cleanup TMS'!AQ146)</f>
        <v>0.31</v>
      </c>
      <c r="V146" s="71" t="str">
        <f>IF(OR('Cleanup TMS'!AR146=0,'Cleanup TMS'!AR146=""),"-",'Cleanup TMS'!AR146)</f>
        <v>B</v>
      </c>
      <c r="W146" s="73">
        <f>IF('Cleanup TMS'!BB146=0,"-",'Cleanup TMS'!BB146)</f>
        <v>1200</v>
      </c>
      <c r="X146" s="73">
        <f>'Cleanup TMS'!BC146</f>
        <v>373</v>
      </c>
      <c r="Y146" s="73">
        <f>'Cleanup TMS'!BD146</f>
        <v>330</v>
      </c>
      <c r="Z146" s="74">
        <f>IF(OR('Cleanup TMS'!BE146=0,'Cleanup TMS'!BE146=""),"-",'Cleanup TMS'!BE146)</f>
        <v>0.31</v>
      </c>
      <c r="AA146" s="74" t="str">
        <f>IF(OR('Cleanup TMS'!BF146=0,'Cleanup TMS'!BF146=""),"-",'Cleanup TMS'!BF146)</f>
        <v>B</v>
      </c>
      <c r="AB146" s="148">
        <f>IF(OR('Cleanup TMS'!BI146="",'Cleanup TMS'!BI146=0),"-",'Cleanup TMS'!BI146)</f>
        <v>0.01</v>
      </c>
      <c r="AC146" s="73">
        <f>'Cleanup TMS'!BS146</f>
        <v>24200</v>
      </c>
      <c r="AD146" s="73">
        <f t="shared" si="10"/>
        <v>7777</v>
      </c>
      <c r="AE146" s="74">
        <f>IF(OR('Cleanup TMS'!BU146=0,'Cleanup TMS'!BU146=""),"-",'Cleanup TMS'!BU146)</f>
        <v>0.32</v>
      </c>
      <c r="AF146" s="74" t="str">
        <f>IF(OR('Cleanup TMS'!BV146=0,'Cleanup TMS'!BV146=""),"-",'Cleanup TMS'!BV146)</f>
        <v>B</v>
      </c>
      <c r="AG146" s="73">
        <f>'Cleanup TMS'!CF146</f>
        <v>1200</v>
      </c>
      <c r="AH146" s="73">
        <f t="shared" si="11"/>
        <v>392</v>
      </c>
      <c r="AI146" s="73">
        <f t="shared" si="12"/>
        <v>347</v>
      </c>
      <c r="AJ146" s="71">
        <f>IF(OR('Cleanup TMS'!CI146=0,'Cleanup TMS'!CI146=""),"-",'Cleanup TMS'!CI146)</f>
        <v>0.33</v>
      </c>
      <c r="AK146" s="75" t="str">
        <f>IF(OR('Cleanup TMS'!CJ146=0,'Cleanup TMS'!CJ146=""),"-",'Cleanup TMS'!CJ146)</f>
        <v>B</v>
      </c>
    </row>
    <row r="147" spans="1:37" ht="18.75" customHeight="1">
      <c r="A147" s="69">
        <f>'Cleanup TMS'!A147</f>
        <v>3558150</v>
      </c>
      <c r="B147" s="70">
        <f>'Cleanup TMS'!B147</f>
        <v>181003</v>
      </c>
      <c r="C147" s="70">
        <f>IF('Cleanup TMS'!E147="","",'Cleanup TMS'!E147)</f>
        <v>181003</v>
      </c>
      <c r="D147" s="70" t="str">
        <f>'Cleanup TMS'!F147</f>
        <v>FDOT</v>
      </c>
      <c r="E147" s="70">
        <f>'Cleanup TMS'!G147</f>
        <v>55</v>
      </c>
      <c r="F147" s="71">
        <f>ROUND('Cleanup TMS'!H147,2)</f>
        <v>1.01</v>
      </c>
      <c r="G147" s="72" t="str">
        <f>'Cleanup TMS'!I147</f>
        <v>SR 471</v>
      </c>
      <c r="H147" s="72" t="str">
        <f>'Cleanup TMS'!J147</f>
        <v>CR 48 E</v>
      </c>
      <c r="I147" s="72" t="str">
        <f>'Cleanup TMS'!K147</f>
        <v>CR 476</v>
      </c>
      <c r="J147" s="70">
        <f>'Cleanup TMS'!L147</f>
        <v>2</v>
      </c>
      <c r="K147" s="70">
        <v>2</v>
      </c>
      <c r="L147" s="70" t="s">
        <v>646</v>
      </c>
      <c r="M147" s="70" t="s">
        <v>648</v>
      </c>
      <c r="N147" s="152" t="s">
        <v>652</v>
      </c>
      <c r="O147" s="152" t="s">
        <v>547</v>
      </c>
      <c r="P147" s="70" t="str">
        <f>'Cleanup TMS'!V147</f>
        <v>STATE</v>
      </c>
      <c r="Q147" s="70" t="str">
        <f>'Cleanup TMS'!W147</f>
        <v>UNINCORPORATED SUMTER COUNTY</v>
      </c>
      <c r="R147" s="70" t="s">
        <v>5</v>
      </c>
      <c r="S147" s="73">
        <f>IF('Cleanup TMS'!AO147=0,"-",'Cleanup TMS'!AO147)</f>
        <v>24200</v>
      </c>
      <c r="T147" s="73">
        <f>'Cleanup TMS'!AP147</f>
        <v>7220</v>
      </c>
      <c r="U147" s="71">
        <f>IF(OR('Cleanup TMS'!AQ147=0,'Cleanup TMS'!AQ147=""),"-",'Cleanup TMS'!AQ147)</f>
        <v>0.3</v>
      </c>
      <c r="V147" s="71" t="str">
        <f>IF(OR('Cleanup TMS'!AR147=0,'Cleanup TMS'!AR147=""),"-",'Cleanup TMS'!AR147)</f>
        <v>B</v>
      </c>
      <c r="W147" s="73">
        <f>IF('Cleanup TMS'!BB147=0,"-",'Cleanup TMS'!BB147)</f>
        <v>1200</v>
      </c>
      <c r="X147" s="73">
        <f>'Cleanup TMS'!BC147</f>
        <v>255</v>
      </c>
      <c r="Y147" s="73">
        <f>'Cleanup TMS'!BD147</f>
        <v>340</v>
      </c>
      <c r="Z147" s="74">
        <f>IF(OR('Cleanup TMS'!BE147=0,'Cleanup TMS'!BE147=""),"-",'Cleanup TMS'!BE147)</f>
        <v>0.28000000000000003</v>
      </c>
      <c r="AA147" s="74" t="str">
        <f>IF(OR('Cleanup TMS'!BF147=0,'Cleanup TMS'!BF147=""),"-",'Cleanup TMS'!BF147)</f>
        <v>B</v>
      </c>
      <c r="AB147" s="148">
        <f>IF(OR('Cleanup TMS'!BI147="",'Cleanup TMS'!BI147=0),"-",'Cleanup TMS'!BI147)</f>
        <v>4.7500000000000001E-2</v>
      </c>
      <c r="AC147" s="73">
        <f>'Cleanup TMS'!BS147</f>
        <v>24200</v>
      </c>
      <c r="AD147" s="73">
        <f t="shared" si="10"/>
        <v>9106</v>
      </c>
      <c r="AE147" s="74">
        <f>IF(OR('Cleanup TMS'!BU147=0,'Cleanup TMS'!BU147=""),"-",'Cleanup TMS'!BU147)</f>
        <v>0.38</v>
      </c>
      <c r="AF147" s="74" t="str">
        <f>IF(OR('Cleanup TMS'!BV147=0,'Cleanup TMS'!BV147=""),"-",'Cleanup TMS'!BV147)</f>
        <v>B</v>
      </c>
      <c r="AG147" s="73">
        <f>'Cleanup TMS'!CF147</f>
        <v>1200</v>
      </c>
      <c r="AH147" s="73">
        <f t="shared" si="11"/>
        <v>322</v>
      </c>
      <c r="AI147" s="73">
        <f t="shared" si="12"/>
        <v>429</v>
      </c>
      <c r="AJ147" s="71">
        <f>IF(OR('Cleanup TMS'!CI147=0,'Cleanup TMS'!CI147=""),"-",'Cleanup TMS'!CI147)</f>
        <v>0.36</v>
      </c>
      <c r="AK147" s="75" t="str">
        <f>IF(OR('Cleanup TMS'!CJ147=0,'Cleanup TMS'!CJ147=""),"-",'Cleanup TMS'!CJ147)</f>
        <v>B</v>
      </c>
    </row>
    <row r="148" spans="1:37" ht="18.75" customHeight="1">
      <c r="A148" s="69">
        <f>'Cleanup TMS'!A148</f>
        <v>3558170</v>
      </c>
      <c r="B148" s="70">
        <f>'Cleanup TMS'!B148</f>
        <v>180020</v>
      </c>
      <c r="C148" s="70">
        <f>IF('Cleanup TMS'!E148="","",'Cleanup TMS'!E148)</f>
        <v>180020</v>
      </c>
      <c r="D148" s="70" t="str">
        <f>'Cleanup TMS'!F148</f>
        <v>FDOT</v>
      </c>
      <c r="E148" s="70">
        <f>'Cleanup TMS'!G148</f>
        <v>55</v>
      </c>
      <c r="F148" s="71">
        <f>ROUND('Cleanup TMS'!H148,2)</f>
        <v>2.27</v>
      </c>
      <c r="G148" s="72" t="str">
        <f>'Cleanup TMS'!I148</f>
        <v>SR 471</v>
      </c>
      <c r="H148" s="72" t="str">
        <f>'Cleanup TMS'!J148</f>
        <v>SR 50</v>
      </c>
      <c r="I148" s="72" t="str">
        <f>'Cleanup TMS'!K148</f>
        <v>CR 721</v>
      </c>
      <c r="J148" s="70">
        <f>'Cleanup TMS'!L148</f>
        <v>2</v>
      </c>
      <c r="K148" s="70">
        <v>2</v>
      </c>
      <c r="L148" s="70" t="s">
        <v>647</v>
      </c>
      <c r="M148" s="70" t="s">
        <v>648</v>
      </c>
      <c r="N148" s="152" t="s">
        <v>652</v>
      </c>
      <c r="O148" s="152" t="s">
        <v>654</v>
      </c>
      <c r="P148" s="70" t="str">
        <f>'Cleanup TMS'!V148</f>
        <v>STATE</v>
      </c>
      <c r="Q148" s="70" t="str">
        <f>'Cleanup TMS'!W148</f>
        <v>UNINCORPORATED SUMTER COUNTY</v>
      </c>
      <c r="R148" s="70" t="s">
        <v>4</v>
      </c>
      <c r="S148" s="73">
        <f>IF('Cleanup TMS'!AO148=0,"-",'Cleanup TMS'!AO148)</f>
        <v>8600</v>
      </c>
      <c r="T148" s="73">
        <f>'Cleanup TMS'!AP148</f>
        <v>6250</v>
      </c>
      <c r="U148" s="71">
        <f>IF(OR('Cleanup TMS'!AQ148=0,'Cleanup TMS'!AQ148=""),"-",'Cleanup TMS'!AQ148)</f>
        <v>0.73</v>
      </c>
      <c r="V148" s="71" t="str">
        <f>IF(OR('Cleanup TMS'!AR148=0,'Cleanup TMS'!AR148=""),"-",'Cleanup TMS'!AR148)</f>
        <v>C</v>
      </c>
      <c r="W148" s="73">
        <f>IF('Cleanup TMS'!BB148=0,"-",'Cleanup TMS'!BB148)</f>
        <v>450</v>
      </c>
      <c r="X148" s="73">
        <f>'Cleanup TMS'!BC148</f>
        <v>315</v>
      </c>
      <c r="Y148" s="73">
        <f>'Cleanup TMS'!BD148</f>
        <v>279</v>
      </c>
      <c r="Z148" s="74">
        <f>IF(OR('Cleanup TMS'!BE148=0,'Cleanup TMS'!BE148=""),"-",'Cleanup TMS'!BE148)</f>
        <v>0.7</v>
      </c>
      <c r="AA148" s="74" t="str">
        <f>IF(OR('Cleanup TMS'!BF148=0,'Cleanup TMS'!BF148=""),"-",'Cleanup TMS'!BF148)</f>
        <v>C</v>
      </c>
      <c r="AB148" s="148">
        <f>IF(OR('Cleanup TMS'!BI148="",'Cleanup TMS'!BI148=0),"-",'Cleanup TMS'!BI148)</f>
        <v>2.75E-2</v>
      </c>
      <c r="AC148" s="73">
        <f>'Cleanup TMS'!BS148</f>
        <v>8600</v>
      </c>
      <c r="AD148" s="73">
        <f t="shared" si="10"/>
        <v>7158</v>
      </c>
      <c r="AE148" s="74">
        <f>IF(OR('Cleanup TMS'!BU148=0,'Cleanup TMS'!BU148=""),"-",'Cleanup TMS'!BU148)</f>
        <v>0.83</v>
      </c>
      <c r="AF148" s="74" t="str">
        <f>IF(OR('Cleanup TMS'!BV148=0,'Cleanup TMS'!BV148=""),"-",'Cleanup TMS'!BV148)</f>
        <v>C</v>
      </c>
      <c r="AG148" s="73">
        <f>'Cleanup TMS'!CF148</f>
        <v>450</v>
      </c>
      <c r="AH148" s="73">
        <f t="shared" si="11"/>
        <v>361</v>
      </c>
      <c r="AI148" s="73">
        <f t="shared" si="12"/>
        <v>320</v>
      </c>
      <c r="AJ148" s="71">
        <f>IF(OR('Cleanup TMS'!CI148=0,'Cleanup TMS'!CI148=""),"-",'Cleanup TMS'!CI148)</f>
        <v>0.8</v>
      </c>
      <c r="AK148" s="75" t="str">
        <f>IF(OR('Cleanup TMS'!CJ148=0,'Cleanup TMS'!CJ148=""),"-",'Cleanup TMS'!CJ148)</f>
        <v>C</v>
      </c>
    </row>
    <row r="149" spans="1:37" ht="18.75" customHeight="1">
      <c r="A149" s="69">
        <f>'Cleanup TMS'!A149</f>
        <v>3558180</v>
      </c>
      <c r="B149" s="70">
        <f>'Cleanup TMS'!B149</f>
        <v>180061</v>
      </c>
      <c r="C149" s="70">
        <f>IF('Cleanup TMS'!E149="","",'Cleanup TMS'!E149)</f>
        <v>180061</v>
      </c>
      <c r="D149" s="70" t="str">
        <f>'Cleanup TMS'!F149</f>
        <v>FDOT</v>
      </c>
      <c r="E149" s="70">
        <f>'Cleanup TMS'!G149</f>
        <v>55</v>
      </c>
      <c r="F149" s="71">
        <f>ROUND('Cleanup TMS'!H149,2)</f>
        <v>1.01</v>
      </c>
      <c r="G149" s="72" t="str">
        <f>'Cleanup TMS'!I149</f>
        <v>SR 471</v>
      </c>
      <c r="H149" s="72" t="str">
        <f>'Cleanup TMS'!J149</f>
        <v>CR 721</v>
      </c>
      <c r="I149" s="72" t="str">
        <f>'Cleanup TMS'!K149</f>
        <v>CR 478A</v>
      </c>
      <c r="J149" s="70">
        <f>'Cleanup TMS'!L149</f>
        <v>2</v>
      </c>
      <c r="K149" s="70">
        <v>2</v>
      </c>
      <c r="L149" s="70" t="s">
        <v>646</v>
      </c>
      <c r="M149" s="70" t="s">
        <v>648</v>
      </c>
      <c r="N149" s="152" t="s">
        <v>652</v>
      </c>
      <c r="O149" s="152" t="s">
        <v>547</v>
      </c>
      <c r="P149" s="70" t="str">
        <f>'Cleanup TMS'!V149</f>
        <v>STATE</v>
      </c>
      <c r="Q149" s="70" t="str">
        <f>'Cleanup TMS'!W149</f>
        <v>UNINCORPORATED SUMTER COUNTY</v>
      </c>
      <c r="R149" s="70" t="s">
        <v>5</v>
      </c>
      <c r="S149" s="73">
        <f>IF('Cleanup TMS'!AO149=0,"-",'Cleanup TMS'!AO149)</f>
        <v>24200</v>
      </c>
      <c r="T149" s="73">
        <f>'Cleanup TMS'!AP149</f>
        <v>7631.428571428638</v>
      </c>
      <c r="U149" s="71">
        <f>IF(OR('Cleanup TMS'!AQ149=0,'Cleanup TMS'!AQ149=""),"-",'Cleanup TMS'!AQ149)</f>
        <v>0.32</v>
      </c>
      <c r="V149" s="71" t="str">
        <f>IF(OR('Cleanup TMS'!AR149=0,'Cleanup TMS'!AR149=""),"-",'Cleanup TMS'!AR149)</f>
        <v>B</v>
      </c>
      <c r="W149" s="73">
        <f>IF('Cleanup TMS'!BB149=0,"-",'Cleanup TMS'!BB149)</f>
        <v>1200</v>
      </c>
      <c r="X149" s="73">
        <f>'Cleanup TMS'!BC149</f>
        <v>384</v>
      </c>
      <c r="Y149" s="73">
        <f>'Cleanup TMS'!BD149</f>
        <v>341</v>
      </c>
      <c r="Z149" s="74">
        <f>IF(OR('Cleanup TMS'!BE149=0,'Cleanup TMS'!BE149=""),"-",'Cleanup TMS'!BE149)</f>
        <v>0.32</v>
      </c>
      <c r="AA149" s="74" t="str">
        <f>IF(OR('Cleanup TMS'!BF149=0,'Cleanup TMS'!BF149=""),"-",'Cleanup TMS'!BF149)</f>
        <v>B</v>
      </c>
      <c r="AB149" s="148">
        <f>IF(OR('Cleanup TMS'!BI149="",'Cleanup TMS'!BI149=0),"-",'Cleanup TMS'!BI149)</f>
        <v>0.01</v>
      </c>
      <c r="AC149" s="73">
        <f>'Cleanup TMS'!BS149</f>
        <v>24200</v>
      </c>
      <c r="AD149" s="73">
        <f t="shared" si="10"/>
        <v>8021</v>
      </c>
      <c r="AE149" s="74">
        <f>IF(OR('Cleanup TMS'!BU149=0,'Cleanup TMS'!BU149=""),"-",'Cleanup TMS'!BU149)</f>
        <v>0.33</v>
      </c>
      <c r="AF149" s="74" t="str">
        <f>IF(OR('Cleanup TMS'!BV149=0,'Cleanup TMS'!BV149=""),"-",'Cleanup TMS'!BV149)</f>
        <v>B</v>
      </c>
      <c r="AG149" s="73">
        <f>'Cleanup TMS'!CF149</f>
        <v>1200</v>
      </c>
      <c r="AH149" s="73">
        <f t="shared" si="11"/>
        <v>404</v>
      </c>
      <c r="AI149" s="73">
        <f t="shared" si="12"/>
        <v>358</v>
      </c>
      <c r="AJ149" s="71">
        <f>IF(OR('Cleanup TMS'!CI149=0,'Cleanup TMS'!CI149=""),"-",'Cleanup TMS'!CI149)</f>
        <v>0.34</v>
      </c>
      <c r="AK149" s="75" t="str">
        <f>IF(OR('Cleanup TMS'!CJ149=0,'Cleanup TMS'!CJ149=""),"-",'Cleanup TMS'!CJ149)</f>
        <v>B</v>
      </c>
    </row>
    <row r="150" spans="1:37" ht="18.75" customHeight="1">
      <c r="A150" s="69">
        <f>'Cleanup TMS'!A150</f>
        <v>3558190</v>
      </c>
      <c r="B150" s="70">
        <f>'Cleanup TMS'!B150</f>
        <v>180061</v>
      </c>
      <c r="C150" s="70">
        <f>IF('Cleanup TMS'!E150="","",'Cleanup TMS'!E150)</f>
        <v>180061</v>
      </c>
      <c r="D150" s="70" t="str">
        <f>'Cleanup TMS'!F150</f>
        <v>FDOT</v>
      </c>
      <c r="E150" s="70">
        <f>'Cleanup TMS'!G150</f>
        <v>35</v>
      </c>
      <c r="F150" s="71">
        <f>ROUND('Cleanup TMS'!H150,2)</f>
        <v>0.5</v>
      </c>
      <c r="G150" s="72" t="str">
        <f>'Cleanup TMS'!I150</f>
        <v>SR 471</v>
      </c>
      <c r="H150" s="72" t="str">
        <f>'Cleanup TMS'!J150</f>
        <v>CR 478A</v>
      </c>
      <c r="I150" s="72" t="str">
        <f>'Cleanup TMS'!K150</f>
        <v>CR 478 E (S)</v>
      </c>
      <c r="J150" s="70">
        <f>'Cleanup TMS'!L150</f>
        <v>2</v>
      </c>
      <c r="K150" s="70">
        <v>2</v>
      </c>
      <c r="L150" s="70" t="s">
        <v>646</v>
      </c>
      <c r="M150" s="70" t="s">
        <v>648</v>
      </c>
      <c r="N150" s="152" t="s">
        <v>652</v>
      </c>
      <c r="O150" s="152" t="s">
        <v>547</v>
      </c>
      <c r="P150" s="70" t="str">
        <f>'Cleanup TMS'!V150</f>
        <v>STATE</v>
      </c>
      <c r="Q150" s="70" t="str">
        <f>'Cleanup TMS'!W150</f>
        <v>WEBSTER</v>
      </c>
      <c r="R150" s="70" t="s">
        <v>5</v>
      </c>
      <c r="S150" s="73">
        <f>IF('Cleanup TMS'!AO150=0,"-",'Cleanup TMS'!AO150)</f>
        <v>24200</v>
      </c>
      <c r="T150" s="73">
        <f>'Cleanup TMS'!AP150</f>
        <v>7631.428571428638</v>
      </c>
      <c r="U150" s="71">
        <f>IF(OR('Cleanup TMS'!AQ150=0,'Cleanup TMS'!AQ150=""),"-",'Cleanup TMS'!AQ150)</f>
        <v>0.32</v>
      </c>
      <c r="V150" s="71" t="str">
        <f>IF(OR('Cleanup TMS'!AR150=0,'Cleanup TMS'!AR150=""),"-",'Cleanup TMS'!AR150)</f>
        <v>B</v>
      </c>
      <c r="W150" s="73">
        <f>IF('Cleanup TMS'!BB150=0,"-",'Cleanup TMS'!BB150)</f>
        <v>1200</v>
      </c>
      <c r="X150" s="73">
        <f>'Cleanup TMS'!BC150</f>
        <v>384</v>
      </c>
      <c r="Y150" s="73">
        <f>'Cleanup TMS'!BD150</f>
        <v>341</v>
      </c>
      <c r="Z150" s="74">
        <f>IF(OR('Cleanup TMS'!BE150=0,'Cleanup TMS'!BE150=""),"-",'Cleanup TMS'!BE150)</f>
        <v>0.32</v>
      </c>
      <c r="AA150" s="74" t="str">
        <f>IF(OR('Cleanup TMS'!BF150=0,'Cleanup TMS'!BF150=""),"-",'Cleanup TMS'!BF150)</f>
        <v>B</v>
      </c>
      <c r="AB150" s="148">
        <f>IF(OR('Cleanup TMS'!BI150="",'Cleanup TMS'!BI150=0),"-",'Cleanup TMS'!BI150)</f>
        <v>0.01</v>
      </c>
      <c r="AC150" s="73">
        <f>'Cleanup TMS'!BS150</f>
        <v>24200</v>
      </c>
      <c r="AD150" s="73">
        <f t="shared" si="10"/>
        <v>8021</v>
      </c>
      <c r="AE150" s="74">
        <f>IF(OR('Cleanup TMS'!BU150=0,'Cleanup TMS'!BU150=""),"-",'Cleanup TMS'!BU150)</f>
        <v>0.33</v>
      </c>
      <c r="AF150" s="74" t="str">
        <f>IF(OR('Cleanup TMS'!BV150=0,'Cleanup TMS'!BV150=""),"-",'Cleanup TMS'!BV150)</f>
        <v>B</v>
      </c>
      <c r="AG150" s="73">
        <f>'Cleanup TMS'!CF150</f>
        <v>1200</v>
      </c>
      <c r="AH150" s="73">
        <f t="shared" si="11"/>
        <v>404</v>
      </c>
      <c r="AI150" s="73">
        <f t="shared" si="12"/>
        <v>358</v>
      </c>
      <c r="AJ150" s="71">
        <f>IF(OR('Cleanup TMS'!CI150=0,'Cleanup TMS'!CI150=""),"-",'Cleanup TMS'!CI150)</f>
        <v>0.34</v>
      </c>
      <c r="AK150" s="75" t="str">
        <f>IF(OR('Cleanup TMS'!CJ150=0,'Cleanup TMS'!CJ150=""),"-",'Cleanup TMS'!CJ150)</f>
        <v>B</v>
      </c>
    </row>
    <row r="151" spans="1:37" ht="18.75" customHeight="1">
      <c r="A151" s="69">
        <f>'Cleanup TMS'!A151</f>
        <v>3559100</v>
      </c>
      <c r="B151" s="70">
        <f>'Cleanup TMS'!B151</f>
        <v>180204</v>
      </c>
      <c r="C151" s="70">
        <f>IF('Cleanup TMS'!E151="","",'Cleanup TMS'!E151)</f>
        <v>180204</v>
      </c>
      <c r="D151" s="70" t="str">
        <f>'Cleanup TMS'!F151</f>
        <v>FDOT</v>
      </c>
      <c r="E151" s="70">
        <f>'Cleanup TMS'!G151</f>
        <v>60</v>
      </c>
      <c r="F151" s="71">
        <f>ROUND('Cleanup TMS'!H151,2)</f>
        <v>2.4</v>
      </c>
      <c r="G151" s="72" t="str">
        <f>'Cleanup TMS'!I151</f>
        <v>SR 50</v>
      </c>
      <c r="H151" s="72" t="str">
        <f>'Cleanup TMS'!J151</f>
        <v>HERNANDO COUNTY BOUNDARY</v>
      </c>
      <c r="I151" s="72" t="str">
        <f>'Cleanup TMS'!K151</f>
        <v>CR 478A</v>
      </c>
      <c r="J151" s="70">
        <f>'Cleanup TMS'!L151</f>
        <v>2</v>
      </c>
      <c r="K151" s="70">
        <v>4</v>
      </c>
      <c r="L151" s="70" t="s">
        <v>647</v>
      </c>
      <c r="M151" s="70" t="s">
        <v>648</v>
      </c>
      <c r="N151" s="152" t="s">
        <v>652</v>
      </c>
      <c r="O151" s="152" t="s">
        <v>654</v>
      </c>
      <c r="P151" s="70" t="str">
        <f>'Cleanup TMS'!V151</f>
        <v>STATE</v>
      </c>
      <c r="Q151" s="70" t="str">
        <f>'Cleanup TMS'!W151</f>
        <v>UNINCORPORATED SUMTER COUNTY</v>
      </c>
      <c r="R151" s="70" t="s">
        <v>4</v>
      </c>
      <c r="S151" s="73">
        <f>IF('Cleanup TMS'!AO151=0,"-",'Cleanup TMS'!AO151)</f>
        <v>8600</v>
      </c>
      <c r="T151" s="73">
        <f>'Cleanup TMS'!AP151</f>
        <v>7020</v>
      </c>
      <c r="U151" s="71">
        <f>IF(OR('Cleanup TMS'!AQ151=0,'Cleanup TMS'!AQ151=""),"-",'Cleanup TMS'!AQ151)</f>
        <v>0.82</v>
      </c>
      <c r="V151" s="71" t="str">
        <f>IF(OR('Cleanup TMS'!AR151=0,'Cleanup TMS'!AR151=""),"-",'Cleanup TMS'!AR151)</f>
        <v>C</v>
      </c>
      <c r="W151" s="73">
        <f>IF('Cleanup TMS'!BB151=0,"-",'Cleanup TMS'!BB151)</f>
        <v>450</v>
      </c>
      <c r="X151" s="73">
        <f>'Cleanup TMS'!BC151</f>
        <v>274</v>
      </c>
      <c r="Y151" s="73">
        <f>'Cleanup TMS'!BD151</f>
        <v>290</v>
      </c>
      <c r="Z151" s="74">
        <f>IF(OR('Cleanup TMS'!BE151=0,'Cleanup TMS'!BE151=""),"-",'Cleanup TMS'!BE151)</f>
        <v>0.64</v>
      </c>
      <c r="AA151" s="74" t="str">
        <f>IF(OR('Cleanup TMS'!BF151=0,'Cleanup TMS'!BF151=""),"-",'Cleanup TMS'!BF151)</f>
        <v>C</v>
      </c>
      <c r="AB151" s="148">
        <f>IF(OR('Cleanup TMS'!BI151="",'Cleanup TMS'!BI151=0),"-",'Cleanup TMS'!BI151)</f>
        <v>0.01</v>
      </c>
      <c r="AC151" s="73">
        <f>'Cleanup TMS'!BS151</f>
        <v>44900</v>
      </c>
      <c r="AD151" s="73">
        <f t="shared" si="10"/>
        <v>7378</v>
      </c>
      <c r="AE151" s="74">
        <f>IF(OR('Cleanup TMS'!BU151=0,'Cleanup TMS'!BU151=""),"-",'Cleanup TMS'!BU151)</f>
        <v>0.16</v>
      </c>
      <c r="AF151" s="74" t="str">
        <f>IF(OR('Cleanup TMS'!BV151=0,'Cleanup TMS'!BV151=""),"-",'Cleanup TMS'!BV151)</f>
        <v>B</v>
      </c>
      <c r="AG151" s="73">
        <f>'Cleanup TMS'!CF151</f>
        <v>2350</v>
      </c>
      <c r="AH151" s="73">
        <f t="shared" si="11"/>
        <v>288</v>
      </c>
      <c r="AI151" s="73">
        <f t="shared" si="12"/>
        <v>305</v>
      </c>
      <c r="AJ151" s="71">
        <f>IF(OR('Cleanup TMS'!CI151=0,'Cleanup TMS'!CI151=""),"-",'Cleanup TMS'!CI151)</f>
        <v>0.13</v>
      </c>
      <c r="AK151" s="75" t="str">
        <f>IF(OR('Cleanup TMS'!CJ151=0,'Cleanup TMS'!CJ151=""),"-",'Cleanup TMS'!CJ151)</f>
        <v>B</v>
      </c>
    </row>
    <row r="152" spans="1:37" ht="18.75" customHeight="1">
      <c r="A152" s="69">
        <f>'Cleanup TMS'!A152</f>
        <v>3559110</v>
      </c>
      <c r="B152" s="70">
        <f>'Cleanup TMS'!B152</f>
        <v>180021</v>
      </c>
      <c r="C152" s="70">
        <f>IF('Cleanup TMS'!E152="","",'Cleanup TMS'!E152)</f>
        <v>180021</v>
      </c>
      <c r="D152" s="70" t="str">
        <f>'Cleanup TMS'!F152</f>
        <v>FDOT</v>
      </c>
      <c r="E152" s="70">
        <f>'Cleanup TMS'!G152</f>
        <v>60</v>
      </c>
      <c r="F152" s="71">
        <f>ROUND('Cleanup TMS'!H152,2)</f>
        <v>1.77</v>
      </c>
      <c r="G152" s="72" t="str">
        <f>'Cleanup TMS'!I152</f>
        <v>SR 50</v>
      </c>
      <c r="H152" s="72" t="str">
        <f>'Cleanup TMS'!J152</f>
        <v>CR 478A</v>
      </c>
      <c r="I152" s="72" t="str">
        <f>'Cleanup TMS'!K152</f>
        <v>SR 471</v>
      </c>
      <c r="J152" s="70">
        <f>'Cleanup TMS'!L152</f>
        <v>2</v>
      </c>
      <c r="K152" s="70">
        <v>2</v>
      </c>
      <c r="L152" s="70" t="s">
        <v>647</v>
      </c>
      <c r="M152" s="70" t="s">
        <v>648</v>
      </c>
      <c r="N152" s="152" t="s">
        <v>652</v>
      </c>
      <c r="O152" s="152" t="s">
        <v>654</v>
      </c>
      <c r="P152" s="70" t="str">
        <f>'Cleanup TMS'!V152</f>
        <v>STATE</v>
      </c>
      <c r="Q152" s="70" t="str">
        <f>'Cleanup TMS'!W152</f>
        <v>UNINCORPORATED SUMTER COUNTY</v>
      </c>
      <c r="R152" s="70" t="s">
        <v>4</v>
      </c>
      <c r="S152" s="73">
        <f>IF('Cleanup TMS'!AO152=0,"-",'Cleanup TMS'!AO152)</f>
        <v>8600</v>
      </c>
      <c r="T152" s="73">
        <f>'Cleanup TMS'!AP152</f>
        <v>6890</v>
      </c>
      <c r="U152" s="71">
        <f>IF(OR('Cleanup TMS'!AQ152=0,'Cleanup TMS'!AQ152=""),"-",'Cleanup TMS'!AQ152)</f>
        <v>0.8</v>
      </c>
      <c r="V152" s="71" t="str">
        <f>IF(OR('Cleanup TMS'!AR152=0,'Cleanup TMS'!AR152=""),"-",'Cleanup TMS'!AR152)</f>
        <v>C</v>
      </c>
      <c r="W152" s="73">
        <f>IF('Cleanup TMS'!BB152=0,"-",'Cleanup TMS'!BB152)</f>
        <v>450</v>
      </c>
      <c r="X152" s="73">
        <f>'Cleanup TMS'!BC152</f>
        <v>347</v>
      </c>
      <c r="Y152" s="73">
        <f>'Cleanup TMS'!BD152</f>
        <v>308</v>
      </c>
      <c r="Z152" s="74">
        <f>IF(OR('Cleanup TMS'!BE152=0,'Cleanup TMS'!BE152=""),"-",'Cleanup TMS'!BE152)</f>
        <v>0.77</v>
      </c>
      <c r="AA152" s="74" t="str">
        <f>IF(OR('Cleanup TMS'!BF152=0,'Cleanup TMS'!BF152=""),"-",'Cleanup TMS'!BF152)</f>
        <v>C</v>
      </c>
      <c r="AB152" s="148">
        <f>IF(OR('Cleanup TMS'!BI152="",'Cleanup TMS'!BI152=0),"-",'Cleanup TMS'!BI152)</f>
        <v>0.01</v>
      </c>
      <c r="AC152" s="73">
        <f>'Cleanup TMS'!BS152</f>
        <v>8600</v>
      </c>
      <c r="AD152" s="73">
        <f t="shared" si="10"/>
        <v>7241</v>
      </c>
      <c r="AE152" s="74">
        <f>IF(OR('Cleanup TMS'!BU152=0,'Cleanup TMS'!BU152=""),"-",'Cleanup TMS'!BU152)</f>
        <v>0.84</v>
      </c>
      <c r="AF152" s="74" t="str">
        <f>IF(OR('Cleanup TMS'!BV152=0,'Cleanup TMS'!BV152=""),"-",'Cleanup TMS'!BV152)</f>
        <v>C</v>
      </c>
      <c r="AG152" s="73">
        <f>'Cleanup TMS'!CF152</f>
        <v>450</v>
      </c>
      <c r="AH152" s="73">
        <f t="shared" si="11"/>
        <v>365</v>
      </c>
      <c r="AI152" s="73">
        <f t="shared" si="12"/>
        <v>324</v>
      </c>
      <c r="AJ152" s="71">
        <f>IF(OR('Cleanup TMS'!CI152=0,'Cleanup TMS'!CI152=""),"-",'Cleanup TMS'!CI152)</f>
        <v>0.81</v>
      </c>
      <c r="AK152" s="75" t="str">
        <f>IF(OR('Cleanup TMS'!CJ152=0,'Cleanup TMS'!CJ152=""),"-",'Cleanup TMS'!CJ152)</f>
        <v>C</v>
      </c>
    </row>
    <row r="153" spans="1:37" ht="18.75" customHeight="1">
      <c r="A153" s="69">
        <f>'Cleanup TMS'!A153</f>
        <v>3560110</v>
      </c>
      <c r="B153" s="70">
        <f>'Cleanup TMS'!B153</f>
        <v>180118</v>
      </c>
      <c r="C153" s="70">
        <f>IF('Cleanup TMS'!E153="","",'Cleanup TMS'!E153)</f>
        <v>180118</v>
      </c>
      <c r="D153" s="70" t="str">
        <f>'Cleanup TMS'!F153</f>
        <v>FDOT</v>
      </c>
      <c r="E153" s="70">
        <f>'Cleanup TMS'!G153</f>
        <v>55</v>
      </c>
      <c r="F153" s="71">
        <f>ROUND('Cleanup TMS'!H153,2)</f>
        <v>6.08</v>
      </c>
      <c r="G153" s="72" t="str">
        <f>'Cleanup TMS'!I153</f>
        <v>SR 50</v>
      </c>
      <c r="H153" s="72" t="str">
        <f>'Cleanup TMS'!J153</f>
        <v>SR 471</v>
      </c>
      <c r="I153" s="72" t="str">
        <f>'Cleanup TMS'!K153</f>
        <v>CR 469</v>
      </c>
      <c r="J153" s="70">
        <f>'Cleanup TMS'!L153</f>
        <v>2</v>
      </c>
      <c r="K153" s="70">
        <v>2</v>
      </c>
      <c r="L153" s="70" t="s">
        <v>647</v>
      </c>
      <c r="M153" s="70" t="s">
        <v>648</v>
      </c>
      <c r="N153" s="152" t="s">
        <v>652</v>
      </c>
      <c r="O153" s="152" t="s">
        <v>654</v>
      </c>
      <c r="P153" s="70" t="str">
        <f>'Cleanup TMS'!V153</f>
        <v>STATE</v>
      </c>
      <c r="Q153" s="70" t="str">
        <f>'Cleanup TMS'!W153</f>
        <v>UNINCORPORATED SUMTER COUNTY</v>
      </c>
      <c r="R153" s="70" t="s">
        <v>4</v>
      </c>
      <c r="S153" s="73">
        <f>IF('Cleanup TMS'!AO153=0,"-",'Cleanup TMS'!AO153)</f>
        <v>8600</v>
      </c>
      <c r="T153" s="73">
        <f>'Cleanup TMS'!AP153</f>
        <v>7990</v>
      </c>
      <c r="U153" s="71">
        <f>IF(OR('Cleanup TMS'!AQ153=0,'Cleanup TMS'!AQ153=""),"-",'Cleanup TMS'!AQ153)</f>
        <v>0.93</v>
      </c>
      <c r="V153" s="71" t="str">
        <f>IF(OR('Cleanup TMS'!AR153=0,'Cleanup TMS'!AR153=""),"-",'Cleanup TMS'!AR153)</f>
        <v>C</v>
      </c>
      <c r="W153" s="73">
        <f>IF('Cleanup TMS'!BB153=0,"-",'Cleanup TMS'!BB153)</f>
        <v>450</v>
      </c>
      <c r="X153" s="73">
        <f>'Cleanup TMS'!BC153</f>
        <v>287</v>
      </c>
      <c r="Y153" s="73">
        <f>'Cleanup TMS'!BD153</f>
        <v>369</v>
      </c>
      <c r="Z153" s="74">
        <f>IF(OR('Cleanup TMS'!BE153=0,'Cleanup TMS'!BE153=""),"-",'Cleanup TMS'!BE153)</f>
        <v>0.82</v>
      </c>
      <c r="AA153" s="74" t="str">
        <f>IF(OR('Cleanup TMS'!BF153=0,'Cleanup TMS'!BF153=""),"-",'Cleanup TMS'!BF153)</f>
        <v>C</v>
      </c>
      <c r="AB153" s="148">
        <f>IF(OR('Cleanup TMS'!BI153="",'Cleanup TMS'!BI153=0),"-",'Cleanup TMS'!BI153)</f>
        <v>0.01</v>
      </c>
      <c r="AC153" s="73">
        <f>'Cleanup TMS'!BS153</f>
        <v>8600</v>
      </c>
      <c r="AD153" s="73">
        <f t="shared" si="10"/>
        <v>8398</v>
      </c>
      <c r="AE153" s="74">
        <f>IF(OR('Cleanup TMS'!BU153=0,'Cleanup TMS'!BU153=""),"-",'Cleanup TMS'!BU153)</f>
        <v>0.98</v>
      </c>
      <c r="AF153" s="74" t="str">
        <f>IF(OR('Cleanup TMS'!BV153=0,'Cleanup TMS'!BV153=""),"-",'Cleanup TMS'!BV153)</f>
        <v>C</v>
      </c>
      <c r="AG153" s="73">
        <f>'Cleanup TMS'!CF153</f>
        <v>450</v>
      </c>
      <c r="AH153" s="73">
        <f t="shared" si="11"/>
        <v>302</v>
      </c>
      <c r="AI153" s="73">
        <f t="shared" si="12"/>
        <v>388</v>
      </c>
      <c r="AJ153" s="71">
        <f>IF(OR('Cleanup TMS'!CI153=0,'Cleanup TMS'!CI153=""),"-",'Cleanup TMS'!CI153)</f>
        <v>0.86</v>
      </c>
      <c r="AK153" s="75" t="str">
        <f>IF(OR('Cleanup TMS'!CJ153=0,'Cleanup TMS'!CJ153=""),"-",'Cleanup TMS'!CJ153)</f>
        <v>C</v>
      </c>
    </row>
    <row r="154" spans="1:37" ht="18.75" customHeight="1">
      <c r="A154" s="69">
        <f>'Cleanup TMS'!A154</f>
        <v>3560120</v>
      </c>
      <c r="B154" s="70">
        <f>'Cleanup TMS'!B154</f>
        <v>180017</v>
      </c>
      <c r="C154" s="70">
        <f>IF('Cleanup TMS'!E154="","",'Cleanup TMS'!E154)</f>
        <v>180017</v>
      </c>
      <c r="D154" s="70" t="str">
        <f>'Cleanup TMS'!F154</f>
        <v>FDOT</v>
      </c>
      <c r="E154" s="70">
        <f>'Cleanup TMS'!G154</f>
        <v>55</v>
      </c>
      <c r="F154" s="71">
        <f>ROUND('Cleanup TMS'!H154,2)</f>
        <v>0.35</v>
      </c>
      <c r="G154" s="72" t="str">
        <f>'Cleanup TMS'!I154</f>
        <v>SR 50</v>
      </c>
      <c r="H154" s="72" t="str">
        <f>'Cleanup TMS'!J154</f>
        <v>CR 469</v>
      </c>
      <c r="I154" s="72" t="str">
        <f>'Cleanup TMS'!K154</f>
        <v>LAKE COUNTY BOUNDARY</v>
      </c>
      <c r="J154" s="70">
        <f>'Cleanup TMS'!L154</f>
        <v>2</v>
      </c>
      <c r="K154" s="70">
        <v>2</v>
      </c>
      <c r="L154" s="70" t="s">
        <v>647</v>
      </c>
      <c r="M154" s="70" t="s">
        <v>648</v>
      </c>
      <c r="N154" s="152" t="s">
        <v>652</v>
      </c>
      <c r="O154" s="152" t="s">
        <v>654</v>
      </c>
      <c r="P154" s="70" t="str">
        <f>'Cleanup TMS'!V154</f>
        <v>STATE</v>
      </c>
      <c r="Q154" s="70" t="str">
        <f>'Cleanup TMS'!W154</f>
        <v>UNINCORPORATED SUMTER COUNTY</v>
      </c>
      <c r="R154" s="70" t="s">
        <v>4</v>
      </c>
      <c r="S154" s="73">
        <f>IF('Cleanup TMS'!AO154=0,"-",'Cleanup TMS'!AO154)</f>
        <v>8600</v>
      </c>
      <c r="T154" s="73">
        <f>'Cleanup TMS'!AP154</f>
        <v>10357.142857142899</v>
      </c>
      <c r="U154" s="71">
        <f>IF(OR('Cleanup TMS'!AQ154=0,'Cleanup TMS'!AQ154=""),"-",'Cleanup TMS'!AQ154)</f>
        <v>1.2</v>
      </c>
      <c r="V154" s="71" t="str">
        <f>IF(OR('Cleanup TMS'!AR154=0,'Cleanup TMS'!AR154=""),"-",'Cleanup TMS'!AR154)</f>
        <v>D</v>
      </c>
      <c r="W154" s="73">
        <f>IF('Cleanup TMS'!BB154=0,"-",'Cleanup TMS'!BB154)</f>
        <v>450</v>
      </c>
      <c r="X154" s="73">
        <f>'Cleanup TMS'!BC154</f>
        <v>521</v>
      </c>
      <c r="Y154" s="73">
        <f>'Cleanup TMS'!BD154</f>
        <v>462</v>
      </c>
      <c r="Z154" s="74">
        <f>IF(OR('Cleanup TMS'!BE154=0,'Cleanup TMS'!BE154=""),"-",'Cleanup TMS'!BE154)</f>
        <v>1.1599999999999999</v>
      </c>
      <c r="AA154" s="74" t="str">
        <f>IF(OR('Cleanup TMS'!BF154=0,'Cleanup TMS'!BF154=""),"-",'Cleanup TMS'!BF154)</f>
        <v>D</v>
      </c>
      <c r="AB154" s="148">
        <f>IF(OR('Cleanup TMS'!BI154="",'Cleanup TMS'!BI154=0),"-",'Cleanup TMS'!BI154)</f>
        <v>0.01</v>
      </c>
      <c r="AC154" s="73">
        <f>'Cleanup TMS'!BS154</f>
        <v>8600</v>
      </c>
      <c r="AD154" s="73">
        <f t="shared" si="10"/>
        <v>10885</v>
      </c>
      <c r="AE154" s="74">
        <f>IF(OR('Cleanup TMS'!BU154=0,'Cleanup TMS'!BU154=""),"-",'Cleanup TMS'!BU154)</f>
        <v>1.27</v>
      </c>
      <c r="AF154" s="74" t="str">
        <f>IF(OR('Cleanup TMS'!BV154=0,'Cleanup TMS'!BV154=""),"-",'Cleanup TMS'!BV154)</f>
        <v>D</v>
      </c>
      <c r="AG154" s="73">
        <f>'Cleanup TMS'!CF154</f>
        <v>450</v>
      </c>
      <c r="AH154" s="73">
        <f t="shared" si="11"/>
        <v>548</v>
      </c>
      <c r="AI154" s="73">
        <f t="shared" si="12"/>
        <v>486</v>
      </c>
      <c r="AJ154" s="71">
        <f>IF(OR('Cleanup TMS'!CI154=0,'Cleanup TMS'!CI154=""),"-",'Cleanup TMS'!CI154)</f>
        <v>1.22</v>
      </c>
      <c r="AK154" s="75" t="str">
        <f>IF(OR('Cleanup TMS'!CJ154=0,'Cleanup TMS'!CJ154=""),"-",'Cleanup TMS'!CJ154)</f>
        <v>D</v>
      </c>
    </row>
    <row r="155" spans="1:37" ht="18.75" customHeight="1">
      <c r="A155" s="69">
        <f>'Cleanup TMS'!A155</f>
        <v>4000100</v>
      </c>
      <c r="B155" s="70">
        <f>'Cleanup TMS'!B155</f>
        <v>92</v>
      </c>
      <c r="C155" s="70" t="str">
        <f>IF('Cleanup TMS'!E155="","",'Cleanup TMS'!E155)</f>
        <v/>
      </c>
      <c r="D155" s="70" t="str">
        <f>'Cleanup TMS'!F155</f>
        <v>SUMTER</v>
      </c>
      <c r="E155" s="70">
        <f>'Cleanup TMS'!G155</f>
        <v>35</v>
      </c>
      <c r="F155" s="71">
        <f>ROUND('Cleanup TMS'!H155,2)</f>
        <v>1.46</v>
      </c>
      <c r="G155" s="72" t="str">
        <f>'Cleanup TMS'!I155</f>
        <v>CR 102</v>
      </c>
      <c r="H155" s="72" t="str">
        <f>'Cleanup TMS'!J155</f>
        <v>US 301/SR 35</v>
      </c>
      <c r="I155" s="72" t="str">
        <f>'Cleanup TMS'!K155</f>
        <v>CR 101</v>
      </c>
      <c r="J155" s="70">
        <f>'Cleanup TMS'!L155</f>
        <v>2</v>
      </c>
      <c r="K155" s="70">
        <v>2</v>
      </c>
      <c r="L155" s="70" t="s">
        <v>646</v>
      </c>
      <c r="M155" s="70" t="s">
        <v>648</v>
      </c>
      <c r="N155" s="152" t="s">
        <v>652</v>
      </c>
      <c r="O155" s="152" t="s">
        <v>547</v>
      </c>
      <c r="P155" s="70" t="str">
        <f>'Cleanup TMS'!V155</f>
        <v>COUNTY</v>
      </c>
      <c r="Q155" s="70" t="str">
        <f>'Cleanup TMS'!W155</f>
        <v>UNINCORPORATED SUMTER COUNTY</v>
      </c>
      <c r="R155" s="70" t="s">
        <v>5</v>
      </c>
      <c r="S155" s="73">
        <f>IF('Cleanup TMS'!AO155=0,"-",'Cleanup TMS'!AO155)</f>
        <v>24200</v>
      </c>
      <c r="T155" s="73">
        <f>'Cleanup TMS'!AP155</f>
        <v>1256</v>
      </c>
      <c r="U155" s="71">
        <f>IF(OR('Cleanup TMS'!AQ155=0,'Cleanup TMS'!AQ155=""),"-",'Cleanup TMS'!AQ155)</f>
        <v>0.05</v>
      </c>
      <c r="V155" s="71" t="str">
        <f>IF(OR('Cleanup TMS'!AR155=0,'Cleanup TMS'!AR155=""),"-",'Cleanup TMS'!AR155)</f>
        <v>B</v>
      </c>
      <c r="W155" s="73">
        <f>IF('Cleanup TMS'!BB155=0,"-",'Cleanup TMS'!BB155)</f>
        <v>1200</v>
      </c>
      <c r="X155" s="73">
        <f>'Cleanup TMS'!BC155</f>
        <v>33</v>
      </c>
      <c r="Y155" s="73">
        <f>'Cleanup TMS'!BD155</f>
        <v>89</v>
      </c>
      <c r="Z155" s="74">
        <f>IF(OR('Cleanup TMS'!BE155=0,'Cleanup TMS'!BE155=""),"-",'Cleanup TMS'!BE155)</f>
        <v>7.0000000000000007E-2</v>
      </c>
      <c r="AA155" s="74" t="str">
        <f>IF(OR('Cleanup TMS'!BF155=0,'Cleanup TMS'!BF155=""),"-",'Cleanup TMS'!BF155)</f>
        <v>B</v>
      </c>
      <c r="AB155" s="148">
        <f>IF(OR('Cleanup TMS'!BI155="",'Cleanup TMS'!BI155=0),"-",'Cleanup TMS'!BI155)</f>
        <v>0.05</v>
      </c>
      <c r="AC155" s="73">
        <f>'Cleanup TMS'!BS155</f>
        <v>24200</v>
      </c>
      <c r="AD155" s="73">
        <f t="shared" si="10"/>
        <v>1603</v>
      </c>
      <c r="AE155" s="74">
        <f>IF(OR('Cleanup TMS'!BU155=0,'Cleanup TMS'!BU155=""),"-",'Cleanup TMS'!BU155)</f>
        <v>7.0000000000000007E-2</v>
      </c>
      <c r="AF155" s="74" t="str">
        <f>IF(OR('Cleanup TMS'!BV155=0,'Cleanup TMS'!BV155=""),"-",'Cleanup TMS'!BV155)</f>
        <v>B</v>
      </c>
      <c r="AG155" s="73">
        <f>'Cleanup TMS'!CF155</f>
        <v>1200</v>
      </c>
      <c r="AH155" s="73">
        <f t="shared" si="11"/>
        <v>42</v>
      </c>
      <c r="AI155" s="73">
        <f t="shared" si="12"/>
        <v>114</v>
      </c>
      <c r="AJ155" s="71">
        <f>IF(OR('Cleanup TMS'!CI155=0,'Cleanup TMS'!CI155=""),"-",'Cleanup TMS'!CI155)</f>
        <v>0.1</v>
      </c>
      <c r="AK155" s="75" t="str">
        <f>IF(OR('Cleanup TMS'!CJ155=0,'Cleanup TMS'!CJ155=""),"-",'Cleanup TMS'!CJ155)</f>
        <v>B</v>
      </c>
    </row>
    <row r="156" spans="1:37" ht="18.75" customHeight="1">
      <c r="A156" s="69">
        <f>'Cleanup TMS'!A156</f>
        <v>4002000</v>
      </c>
      <c r="B156" s="70">
        <f>'Cleanup TMS'!B156</f>
        <v>91</v>
      </c>
      <c r="C156" s="70" t="str">
        <f>IF('Cleanup TMS'!E156="","",'Cleanup TMS'!E156)</f>
        <v/>
      </c>
      <c r="D156" s="70" t="str">
        <f>'Cleanup TMS'!F156</f>
        <v>SUMTER</v>
      </c>
      <c r="E156" s="70">
        <f>'Cleanup TMS'!G156</f>
        <v>35</v>
      </c>
      <c r="F156" s="71">
        <f>ROUND('Cleanup TMS'!H156,2)</f>
        <v>1.97</v>
      </c>
      <c r="G156" s="72" t="str">
        <f>'Cleanup TMS'!I156</f>
        <v>CR 101</v>
      </c>
      <c r="H156" s="72" t="str">
        <f>'Cleanup TMS'!J156</f>
        <v>WOODRIDGE DR</v>
      </c>
      <c r="I156" s="72" t="str">
        <f>'Cleanup TMS'!K156</f>
        <v>CR 102</v>
      </c>
      <c r="J156" s="70">
        <f>'Cleanup TMS'!L156</f>
        <v>2</v>
      </c>
      <c r="K156" s="70">
        <v>2</v>
      </c>
      <c r="L156" s="70" t="s">
        <v>646</v>
      </c>
      <c r="M156" s="70" t="s">
        <v>648</v>
      </c>
      <c r="N156" s="152" t="s">
        <v>652</v>
      </c>
      <c r="O156" s="152" t="s">
        <v>547</v>
      </c>
      <c r="P156" s="70" t="str">
        <f>'Cleanup TMS'!V156</f>
        <v>COUNTY</v>
      </c>
      <c r="Q156" s="70" t="str">
        <f>'Cleanup TMS'!W156</f>
        <v>UNINCORPORATED SUMTER COUNTY</v>
      </c>
      <c r="R156" s="70" t="s">
        <v>5</v>
      </c>
      <c r="S156" s="73">
        <f>IF('Cleanup TMS'!AO156=0,"-",'Cleanup TMS'!AO156)</f>
        <v>24200</v>
      </c>
      <c r="T156" s="73">
        <f>'Cleanup TMS'!AP156</f>
        <v>4597</v>
      </c>
      <c r="U156" s="71">
        <f>IF(OR('Cleanup TMS'!AQ156=0,'Cleanup TMS'!AQ156=""),"-",'Cleanup TMS'!AQ156)</f>
        <v>0.19</v>
      </c>
      <c r="V156" s="71" t="str">
        <f>IF(OR('Cleanup TMS'!AR156=0,'Cleanup TMS'!AR156=""),"-",'Cleanup TMS'!AR156)</f>
        <v>B</v>
      </c>
      <c r="W156" s="73">
        <f>IF('Cleanup TMS'!BB156=0,"-",'Cleanup TMS'!BB156)</f>
        <v>1200</v>
      </c>
      <c r="X156" s="73">
        <f>'Cleanup TMS'!BC156</f>
        <v>316</v>
      </c>
      <c r="Y156" s="73">
        <f>'Cleanup TMS'!BD156</f>
        <v>146</v>
      </c>
      <c r="Z156" s="74">
        <f>IF(OR('Cleanup TMS'!BE156=0,'Cleanup TMS'!BE156=""),"-",'Cleanup TMS'!BE156)</f>
        <v>0.26</v>
      </c>
      <c r="AA156" s="74" t="str">
        <f>IF(OR('Cleanup TMS'!BF156=0,'Cleanup TMS'!BF156=""),"-",'Cleanup TMS'!BF156)</f>
        <v>B</v>
      </c>
      <c r="AB156" s="148">
        <f>IF(OR('Cleanup TMS'!BI156="",'Cleanup TMS'!BI156=0),"-",'Cleanup TMS'!BI156)</f>
        <v>4.2500000000000003E-2</v>
      </c>
      <c r="AC156" s="73">
        <f>'Cleanup TMS'!BS156</f>
        <v>24200</v>
      </c>
      <c r="AD156" s="73">
        <f t="shared" si="10"/>
        <v>5661</v>
      </c>
      <c r="AE156" s="74">
        <f>IF(OR('Cleanup TMS'!BU156=0,'Cleanup TMS'!BU156=""),"-",'Cleanup TMS'!BU156)</f>
        <v>0.23</v>
      </c>
      <c r="AF156" s="74" t="str">
        <f>IF(OR('Cleanup TMS'!BV156=0,'Cleanup TMS'!BV156=""),"-",'Cleanup TMS'!BV156)</f>
        <v>B</v>
      </c>
      <c r="AG156" s="73">
        <f>'Cleanup TMS'!CF156</f>
        <v>1200</v>
      </c>
      <c r="AH156" s="73">
        <f t="shared" si="11"/>
        <v>389</v>
      </c>
      <c r="AI156" s="73">
        <f t="shared" si="12"/>
        <v>180</v>
      </c>
      <c r="AJ156" s="71">
        <f>IF(OR('Cleanup TMS'!CI156=0,'Cleanup TMS'!CI156=""),"-",'Cleanup TMS'!CI156)</f>
        <v>0.32</v>
      </c>
      <c r="AK156" s="75" t="str">
        <f>IF(OR('Cleanup TMS'!CJ156=0,'Cleanup TMS'!CJ156=""),"-",'Cleanup TMS'!CJ156)</f>
        <v>B</v>
      </c>
    </row>
    <row r="157" spans="1:37" ht="18.75" customHeight="1">
      <c r="A157" s="69">
        <f>'Cleanup TMS'!A157</f>
        <v>4008000</v>
      </c>
      <c r="B157" s="70">
        <f>'Cleanup TMS'!B157</f>
        <v>107</v>
      </c>
      <c r="C157" s="70" t="str">
        <f>IF('Cleanup TMS'!E157="","",'Cleanup TMS'!E157)</f>
        <v>-</v>
      </c>
      <c r="D157" s="70" t="str">
        <f>'Cleanup TMS'!F157</f>
        <v>SUMTER</v>
      </c>
      <c r="E157" s="70">
        <f>'Cleanup TMS'!G157</f>
        <v>40</v>
      </c>
      <c r="F157" s="71">
        <f>ROUND('Cleanup TMS'!H157,2)</f>
        <v>1.75</v>
      </c>
      <c r="G157" s="72" t="str">
        <f>'Cleanup TMS'!I157</f>
        <v>CR 237</v>
      </c>
      <c r="H157" s="72" t="str">
        <f>'Cleanup TMS'!J157</f>
        <v>CR 222</v>
      </c>
      <c r="I157" s="72" t="str">
        <f>'Cleanup TMS'!K157</f>
        <v>CR 466</v>
      </c>
      <c r="J157" s="70">
        <f>'Cleanup TMS'!L157</f>
        <v>2</v>
      </c>
      <c r="K157" s="70">
        <v>2</v>
      </c>
      <c r="L157" s="70" t="s">
        <v>646</v>
      </c>
      <c r="M157" s="70" t="s">
        <v>648</v>
      </c>
      <c r="N157" s="152" t="s">
        <v>651</v>
      </c>
      <c r="O157" s="152" t="s">
        <v>547</v>
      </c>
      <c r="P157" s="70" t="str">
        <f>'Cleanup TMS'!V157</f>
        <v>COUNTY</v>
      </c>
      <c r="Q157" s="70" t="str">
        <f>'Cleanup TMS'!W157</f>
        <v>UNINCORPORATED SUMTER COUNTY</v>
      </c>
      <c r="R157" s="70" t="s">
        <v>5</v>
      </c>
      <c r="S157" s="73">
        <f>IF('Cleanup TMS'!AO157=0,"-",'Cleanup TMS'!AO157)</f>
        <v>12390</v>
      </c>
      <c r="T157" s="73">
        <f>'Cleanup TMS'!AP157</f>
        <v>560</v>
      </c>
      <c r="U157" s="71">
        <f>IF(OR('Cleanup TMS'!AQ157=0,'Cleanup TMS'!AQ157=""),"-",'Cleanup TMS'!AQ157)</f>
        <v>0.05</v>
      </c>
      <c r="V157" s="71" t="str">
        <f>IF(OR('Cleanup TMS'!AR157=0,'Cleanup TMS'!AR157=""),"-",'Cleanup TMS'!AR157)</f>
        <v>C</v>
      </c>
      <c r="W157" s="73">
        <f>IF('Cleanup TMS'!BB157=0,"-",'Cleanup TMS'!BB157)</f>
        <v>616</v>
      </c>
      <c r="X157" s="73">
        <f>'Cleanup TMS'!BC157</f>
        <v>43</v>
      </c>
      <c r="Y157" s="73">
        <f>'Cleanup TMS'!BD157</f>
        <v>25</v>
      </c>
      <c r="Z157" s="74">
        <f>IF(OR('Cleanup TMS'!BE157=0,'Cleanup TMS'!BE157=""),"-",'Cleanup TMS'!BE157)</f>
        <v>7.0000000000000007E-2</v>
      </c>
      <c r="AA157" s="74" t="str">
        <f>IF(OR('Cleanup TMS'!BF157=0,'Cleanup TMS'!BF157=""),"-",'Cleanup TMS'!BF157)</f>
        <v>C</v>
      </c>
      <c r="AB157" s="148">
        <f>IF(OR('Cleanup TMS'!BI157="",'Cleanup TMS'!BI157=0),"-",'Cleanup TMS'!BI157)</f>
        <v>0.05</v>
      </c>
      <c r="AC157" s="73">
        <f>'Cleanup TMS'!BS157</f>
        <v>12390</v>
      </c>
      <c r="AD157" s="73">
        <f t="shared" si="10"/>
        <v>715</v>
      </c>
      <c r="AE157" s="74">
        <f>IF(OR('Cleanup TMS'!BU157=0,'Cleanup TMS'!BU157=""),"-",'Cleanup TMS'!BU157)</f>
        <v>0.06</v>
      </c>
      <c r="AF157" s="74" t="str">
        <f>IF(OR('Cleanup TMS'!BV157=0,'Cleanup TMS'!BV157=""),"-",'Cleanup TMS'!BV157)</f>
        <v>C</v>
      </c>
      <c r="AG157" s="73">
        <f>'Cleanup TMS'!CF157</f>
        <v>616</v>
      </c>
      <c r="AH157" s="73">
        <f t="shared" si="11"/>
        <v>55</v>
      </c>
      <c r="AI157" s="73">
        <f t="shared" si="12"/>
        <v>32</v>
      </c>
      <c r="AJ157" s="71">
        <f>IF(OR('Cleanup TMS'!CI157=0,'Cleanup TMS'!CI157=""),"-",'Cleanup TMS'!CI157)</f>
        <v>0.09</v>
      </c>
      <c r="AK157" s="75" t="str">
        <f>IF(OR('Cleanup TMS'!CJ157=0,'Cleanup TMS'!CJ157=""),"-",'Cleanup TMS'!CJ157)</f>
        <v>C</v>
      </c>
    </row>
    <row r="158" spans="1:37" ht="18.75" customHeight="1">
      <c r="A158" s="69">
        <f>'Cleanup TMS'!A158</f>
        <v>4009000</v>
      </c>
      <c r="B158" s="70">
        <f>'Cleanup TMS'!B158</f>
        <v>109</v>
      </c>
      <c r="C158" s="70">
        <f>IF('Cleanup TMS'!E158="","",'Cleanup TMS'!E158)</f>
        <v>188030</v>
      </c>
      <c r="D158" s="70" t="str">
        <f>'Cleanup TMS'!F158</f>
        <v>FDOT</v>
      </c>
      <c r="E158" s="70">
        <f>'Cleanup TMS'!G158</f>
        <v>45</v>
      </c>
      <c r="F158" s="71">
        <f>ROUND('Cleanup TMS'!H158,2)</f>
        <v>0.26</v>
      </c>
      <c r="G158" s="72" t="str">
        <f>'Cleanup TMS'!I158</f>
        <v>MARSH BEND TRAIL / CR 501</v>
      </c>
      <c r="H158" s="72" t="str">
        <f>'Cleanup TMS'!J158</f>
        <v>CR 470E</v>
      </c>
      <c r="I158" s="72" t="str">
        <f>'Cleanup TMS'!K158</f>
        <v>CR 500</v>
      </c>
      <c r="J158" s="70">
        <f>'Cleanup TMS'!L158</f>
        <v>2</v>
      </c>
      <c r="K158" s="70">
        <v>2</v>
      </c>
      <c r="L158" s="70" t="s">
        <v>646</v>
      </c>
      <c r="M158" s="70" t="s">
        <v>648</v>
      </c>
      <c r="N158" s="152" t="s">
        <v>651</v>
      </c>
      <c r="O158" s="152" t="s">
        <v>547</v>
      </c>
      <c r="P158" s="70" t="str">
        <f>'Cleanup TMS'!V158</f>
        <v>COUNTY</v>
      </c>
      <c r="Q158" s="70" t="str">
        <f>'Cleanup TMS'!W158</f>
        <v>WILDWOOD</v>
      </c>
      <c r="R158" s="70" t="s">
        <v>5</v>
      </c>
      <c r="S158" s="73">
        <f>IF('Cleanup TMS'!AO158=0,"-",'Cleanup TMS'!AO158)</f>
        <v>12390</v>
      </c>
      <c r="T158" s="73">
        <f>'Cleanup TMS'!AP158</f>
        <v>6079</v>
      </c>
      <c r="U158" s="71">
        <f>IF(OR('Cleanup TMS'!AQ158=0,'Cleanup TMS'!AQ158=""),"-",'Cleanup TMS'!AQ158)</f>
        <v>0.49</v>
      </c>
      <c r="V158" s="71" t="str">
        <f>IF(OR('Cleanup TMS'!AR158=0,'Cleanup TMS'!AR158=""),"-",'Cleanup TMS'!AR158)</f>
        <v>C</v>
      </c>
      <c r="W158" s="73">
        <f>IF('Cleanup TMS'!BB158=0,"-",'Cleanup TMS'!BB158)</f>
        <v>616</v>
      </c>
      <c r="X158" s="73">
        <f>'Cleanup TMS'!BC158</f>
        <v>288</v>
      </c>
      <c r="Y158" s="73">
        <f>'Cleanup TMS'!BD158</f>
        <v>278</v>
      </c>
      <c r="Z158" s="74">
        <f>IF(OR('Cleanup TMS'!BE158=0,'Cleanup TMS'!BE158=""),"-",'Cleanup TMS'!BE158)</f>
        <v>0.47</v>
      </c>
      <c r="AA158" s="74" t="str">
        <f>IF(OR('Cleanup TMS'!BF158=0,'Cleanup TMS'!BF158=""),"-",'Cleanup TMS'!BF158)</f>
        <v>C</v>
      </c>
      <c r="AB158" s="148">
        <f>IF(OR('Cleanup TMS'!BI158="",'Cleanup TMS'!BI158=0),"-",'Cleanup TMS'!BI158)</f>
        <v>0.05</v>
      </c>
      <c r="AC158" s="73">
        <f>'Cleanup TMS'!BS158</f>
        <v>41930</v>
      </c>
      <c r="AD158" s="73">
        <f t="shared" si="10"/>
        <v>7759</v>
      </c>
      <c r="AE158" s="74">
        <f>IF(OR('Cleanup TMS'!BU158=0,'Cleanup TMS'!BU158=""),"-",'Cleanup TMS'!BU158)</f>
        <v>0.19</v>
      </c>
      <c r="AF158" s="74" t="str">
        <f>IF(OR('Cleanup TMS'!BV158=0,'Cleanup TMS'!BV158=""),"-",'Cleanup TMS'!BV158)</f>
        <v>C</v>
      </c>
      <c r="AG158" s="73">
        <f>'Cleanup TMS'!CF158</f>
        <v>2114</v>
      </c>
      <c r="AH158" s="73">
        <f t="shared" si="11"/>
        <v>368</v>
      </c>
      <c r="AI158" s="73">
        <f t="shared" si="12"/>
        <v>355</v>
      </c>
      <c r="AJ158" s="71">
        <f>IF(OR('Cleanup TMS'!CI158=0,'Cleanup TMS'!CI158=""),"-",'Cleanup TMS'!CI158)</f>
        <v>0.17</v>
      </c>
      <c r="AK158" s="75" t="str">
        <f>IF(OR('Cleanup TMS'!CJ158=0,'Cleanup TMS'!CJ158=""),"-",'Cleanup TMS'!CJ158)</f>
        <v>C</v>
      </c>
    </row>
    <row r="159" spans="1:37" ht="18.75" customHeight="1">
      <c r="A159" s="69">
        <f>'Cleanup TMS'!A159</f>
        <v>5000000</v>
      </c>
      <c r="B159" s="70">
        <f>'Cleanup TMS'!B159</f>
        <v>136</v>
      </c>
      <c r="C159" s="70" t="str">
        <f>IF('Cleanup TMS'!E159="","",'Cleanup TMS'!E159)</f>
        <v/>
      </c>
      <c r="D159" s="70" t="str">
        <f>'Cleanup TMS'!F159</f>
        <v>SUMTER</v>
      </c>
      <c r="E159" s="70">
        <f>'Cleanup TMS'!G159</f>
        <v>35</v>
      </c>
      <c r="F159" s="71">
        <f>ROUND('Cleanup TMS'!H159,2)</f>
        <v>0.51</v>
      </c>
      <c r="G159" s="72" t="str">
        <f>'Cleanup TMS'!I159</f>
        <v>BUENA VISTA BLVD</v>
      </c>
      <c r="H159" s="72" t="str">
        <f>'Cleanup TMS'!J159</f>
        <v>EL CAMINO REAL</v>
      </c>
      <c r="I159" s="72" t="str">
        <f>'Cleanup TMS'!K159</f>
        <v>MARION COUNTY BOUNDARY</v>
      </c>
      <c r="J159" s="70">
        <f>'Cleanup TMS'!L159</f>
        <v>4</v>
      </c>
      <c r="K159" s="70">
        <v>4</v>
      </c>
      <c r="L159" s="70" t="s">
        <v>646</v>
      </c>
      <c r="M159" s="70" t="s">
        <v>649</v>
      </c>
      <c r="N159" s="152" t="s">
        <v>651</v>
      </c>
      <c r="O159" s="152" t="s">
        <v>547</v>
      </c>
      <c r="P159" s="70" t="str">
        <f>'Cleanup TMS'!V159</f>
        <v>COUNTY</v>
      </c>
      <c r="Q159" s="70" t="str">
        <f>'Cleanup TMS'!W159</f>
        <v>UNINCORPORATED SUMTER COUNTY</v>
      </c>
      <c r="R159" s="70" t="s">
        <v>5</v>
      </c>
      <c r="S159" s="73">
        <f>IF('Cleanup TMS'!AO159=0,"-",'Cleanup TMS'!AO159)</f>
        <v>29160</v>
      </c>
      <c r="T159" s="73">
        <f>'Cleanup TMS'!AP159</f>
        <v>14555</v>
      </c>
      <c r="U159" s="71">
        <f>IF(OR('Cleanup TMS'!AQ159=0,'Cleanup TMS'!AQ159=""),"-",'Cleanup TMS'!AQ159)</f>
        <v>0.5</v>
      </c>
      <c r="V159" s="71" t="str">
        <f>IF(OR('Cleanup TMS'!AR159=0,'Cleanup TMS'!AR159=""),"-",'Cleanup TMS'!AR159)</f>
        <v>D</v>
      </c>
      <c r="W159" s="73">
        <f>IF('Cleanup TMS'!BB159=0,"-",'Cleanup TMS'!BB159)</f>
        <v>1467</v>
      </c>
      <c r="X159" s="73">
        <f>'Cleanup TMS'!BC159</f>
        <v>706</v>
      </c>
      <c r="Y159" s="73">
        <f>'Cleanup TMS'!BD159</f>
        <v>666</v>
      </c>
      <c r="Z159" s="74">
        <f>IF(OR('Cleanup TMS'!BE159=0,'Cleanup TMS'!BE159=""),"-",'Cleanup TMS'!BE159)</f>
        <v>0.48</v>
      </c>
      <c r="AA159" s="74" t="str">
        <f>IF(OR('Cleanup TMS'!BF159=0,'Cleanup TMS'!BF159=""),"-",'Cleanup TMS'!BF159)</f>
        <v>D</v>
      </c>
      <c r="AB159" s="148">
        <f>IF(OR('Cleanup TMS'!BI159="",'Cleanup TMS'!BI159=0),"-",'Cleanup TMS'!BI159)</f>
        <v>0.01</v>
      </c>
      <c r="AC159" s="73">
        <f>'Cleanup TMS'!BS159</f>
        <v>29160</v>
      </c>
      <c r="AD159" s="73">
        <f t="shared" si="10"/>
        <v>15297</v>
      </c>
      <c r="AE159" s="74">
        <f>IF(OR('Cleanup TMS'!BU159=0,'Cleanup TMS'!BU159=""),"-",'Cleanup TMS'!BU159)</f>
        <v>0.52</v>
      </c>
      <c r="AF159" s="74" t="str">
        <f>IF(OR('Cleanup TMS'!BV159=0,'Cleanup TMS'!BV159=""),"-",'Cleanup TMS'!BV159)</f>
        <v>D</v>
      </c>
      <c r="AG159" s="73">
        <f>'Cleanup TMS'!CF159</f>
        <v>1467</v>
      </c>
      <c r="AH159" s="73">
        <f t="shared" si="11"/>
        <v>742</v>
      </c>
      <c r="AI159" s="73">
        <f t="shared" si="12"/>
        <v>700</v>
      </c>
      <c r="AJ159" s="71">
        <f>IF(OR('Cleanup TMS'!CI159=0,'Cleanup TMS'!CI159=""),"-",'Cleanup TMS'!CI159)</f>
        <v>0.51</v>
      </c>
      <c r="AK159" s="75" t="str">
        <f>IF(OR('Cleanup TMS'!CJ159=0,'Cleanup TMS'!CJ159=""),"-",'Cleanup TMS'!CJ159)</f>
        <v>D</v>
      </c>
    </row>
    <row r="160" spans="1:37" ht="18.75" customHeight="1">
      <c r="A160" s="69">
        <f>'Cleanup TMS'!A160</f>
        <v>5000110</v>
      </c>
      <c r="B160" s="70">
        <f>'Cleanup TMS'!B160</f>
        <v>10</v>
      </c>
      <c r="C160" s="70" t="str">
        <f>IF('Cleanup TMS'!E160="","",'Cleanup TMS'!E160)</f>
        <v/>
      </c>
      <c r="D160" s="70" t="str">
        <f>'Cleanup TMS'!F160</f>
        <v>SUMTER</v>
      </c>
      <c r="E160" s="70">
        <f>'Cleanup TMS'!G160</f>
        <v>30</v>
      </c>
      <c r="F160" s="71">
        <f>ROUND('Cleanup TMS'!H160,2)</f>
        <v>0.28999999999999998</v>
      </c>
      <c r="G160" s="72" t="str">
        <f>'Cleanup TMS'!I160</f>
        <v>BUENOS AIRES BLVD</v>
      </c>
      <c r="H160" s="72" t="str">
        <f>'Cleanup TMS'!J160</f>
        <v>EL CAMINO REAL</v>
      </c>
      <c r="I160" s="72" t="str">
        <f>'Cleanup TMS'!K160</f>
        <v>US 27/US 441/SR 500</v>
      </c>
      <c r="J160" s="70">
        <f>'Cleanup TMS'!L160</f>
        <v>4</v>
      </c>
      <c r="K160" s="70">
        <v>4</v>
      </c>
      <c r="L160" s="70" t="s">
        <v>646</v>
      </c>
      <c r="M160" s="70" t="s">
        <v>648</v>
      </c>
      <c r="N160" s="152" t="s">
        <v>651</v>
      </c>
      <c r="O160" s="152" t="s">
        <v>547</v>
      </c>
      <c r="P160" s="70" t="str">
        <f>'Cleanup TMS'!V160</f>
        <v>COUNTY</v>
      </c>
      <c r="Q160" s="70" t="str">
        <f>'Cleanup TMS'!W160</f>
        <v>UNINCORPORATED SUMTER COUNTY</v>
      </c>
      <c r="R160" s="70" t="s">
        <v>5</v>
      </c>
      <c r="S160" s="73">
        <f>IF('Cleanup TMS'!AO160=0,"-",'Cleanup TMS'!AO160)</f>
        <v>29160</v>
      </c>
      <c r="T160" s="73">
        <f>'Cleanup TMS'!AP160</f>
        <v>9956</v>
      </c>
      <c r="U160" s="71">
        <f>IF(OR('Cleanup TMS'!AQ160=0,'Cleanup TMS'!AQ160=""),"-",'Cleanup TMS'!AQ160)</f>
        <v>0.34</v>
      </c>
      <c r="V160" s="71" t="str">
        <f>IF(OR('Cleanup TMS'!AR160=0,'Cleanup TMS'!AR160=""),"-",'Cleanup TMS'!AR160)</f>
        <v>C</v>
      </c>
      <c r="W160" s="73">
        <f>IF('Cleanup TMS'!BB160=0,"-",'Cleanup TMS'!BB160)</f>
        <v>1467</v>
      </c>
      <c r="X160" s="73">
        <f>'Cleanup TMS'!BC160</f>
        <v>429</v>
      </c>
      <c r="Y160" s="73">
        <f>'Cleanup TMS'!BD160</f>
        <v>548</v>
      </c>
      <c r="Z160" s="74">
        <f>IF(OR('Cleanup TMS'!BE160=0,'Cleanup TMS'!BE160=""),"-",'Cleanup TMS'!BE160)</f>
        <v>0.37</v>
      </c>
      <c r="AA160" s="74" t="str">
        <f>IF(OR('Cleanup TMS'!BF160=0,'Cleanup TMS'!BF160=""),"-",'Cleanup TMS'!BF160)</f>
        <v>C</v>
      </c>
      <c r="AB160" s="148">
        <f>IF(OR('Cleanup TMS'!BI160="",'Cleanup TMS'!BI160=0),"-",'Cleanup TMS'!BI160)</f>
        <v>0.01</v>
      </c>
      <c r="AC160" s="73">
        <f>'Cleanup TMS'!BS160</f>
        <v>29160</v>
      </c>
      <c r="AD160" s="73">
        <f t="shared" si="10"/>
        <v>10464</v>
      </c>
      <c r="AE160" s="74">
        <f>IF(OR('Cleanup TMS'!BU160=0,'Cleanup TMS'!BU160=""),"-",'Cleanup TMS'!BU160)</f>
        <v>0.36</v>
      </c>
      <c r="AF160" s="74" t="str">
        <f>IF(OR('Cleanup TMS'!BV160=0,'Cleanup TMS'!BV160=""),"-",'Cleanup TMS'!BV160)</f>
        <v>C</v>
      </c>
      <c r="AG160" s="73">
        <f>'Cleanup TMS'!CF160</f>
        <v>1467</v>
      </c>
      <c r="AH160" s="73">
        <f t="shared" si="11"/>
        <v>451</v>
      </c>
      <c r="AI160" s="73">
        <f t="shared" si="12"/>
        <v>576</v>
      </c>
      <c r="AJ160" s="71">
        <f>IF(OR('Cleanup TMS'!CI160=0,'Cleanup TMS'!CI160=""),"-",'Cleanup TMS'!CI160)</f>
        <v>0.39</v>
      </c>
      <c r="AK160" s="75" t="str">
        <f>IF(OR('Cleanup TMS'!CJ160=0,'Cleanup TMS'!CJ160=""),"-",'Cleanup TMS'!CJ160)</f>
        <v>C</v>
      </c>
    </row>
    <row r="161" spans="1:37" ht="18.75" customHeight="1">
      <c r="A161" s="69">
        <f>'Cleanup TMS'!A161</f>
        <v>5000300</v>
      </c>
      <c r="B161" s="70">
        <f>'Cleanup TMS'!B161</f>
        <v>128</v>
      </c>
      <c r="C161" s="70" t="str">
        <f>IF('Cleanup TMS'!E161="","",'Cleanup TMS'!E161)</f>
        <v/>
      </c>
      <c r="D161" s="70" t="str">
        <f>'Cleanup TMS'!F161</f>
        <v>SUMTER</v>
      </c>
      <c r="E161" s="70">
        <f>'Cleanup TMS'!G161</f>
        <v>35</v>
      </c>
      <c r="F161" s="71">
        <f>ROUND('Cleanup TMS'!H161,2)</f>
        <v>0.54</v>
      </c>
      <c r="G161" s="72" t="str">
        <f>'Cleanup TMS'!I161</f>
        <v>EL CAMINO REAL</v>
      </c>
      <c r="H161" s="72" t="str">
        <f>'Cleanup TMS'!J161</f>
        <v>BUENA VISTA BLVD</v>
      </c>
      <c r="I161" s="72" t="str">
        <f>'Cleanup TMS'!K161</f>
        <v>ENRIQUE DR</v>
      </c>
      <c r="J161" s="70">
        <f>'Cleanup TMS'!L161</f>
        <v>4</v>
      </c>
      <c r="K161" s="70">
        <v>4</v>
      </c>
      <c r="L161" s="70" t="s">
        <v>646</v>
      </c>
      <c r="M161" s="70" t="s">
        <v>649</v>
      </c>
      <c r="N161" s="152" t="s">
        <v>651</v>
      </c>
      <c r="O161" s="152" t="s">
        <v>547</v>
      </c>
      <c r="P161" s="70" t="str">
        <f>'Cleanup TMS'!V161</f>
        <v>COUNTY</v>
      </c>
      <c r="Q161" s="70" t="str">
        <f>'Cleanup TMS'!W161</f>
        <v>UNINCORPORATED SUMTER COUNTY</v>
      </c>
      <c r="R161" s="70" t="s">
        <v>5</v>
      </c>
      <c r="S161" s="73">
        <f>IF('Cleanup TMS'!AO161=0,"-",'Cleanup TMS'!AO161)</f>
        <v>29160</v>
      </c>
      <c r="T161" s="73">
        <f>'Cleanup TMS'!AP161</f>
        <v>15151</v>
      </c>
      <c r="U161" s="71">
        <f>IF(OR('Cleanup TMS'!AQ161=0,'Cleanup TMS'!AQ161=""),"-",'Cleanup TMS'!AQ161)</f>
        <v>0.52</v>
      </c>
      <c r="V161" s="71" t="str">
        <f>IF(OR('Cleanup TMS'!AR161=0,'Cleanup TMS'!AR161=""),"-",'Cleanup TMS'!AR161)</f>
        <v>D</v>
      </c>
      <c r="W161" s="73">
        <f>IF('Cleanup TMS'!BB161=0,"-",'Cleanup TMS'!BB161)</f>
        <v>1467</v>
      </c>
      <c r="X161" s="73">
        <f>'Cleanup TMS'!BC161</f>
        <v>703</v>
      </c>
      <c r="Y161" s="73">
        <f>'Cleanup TMS'!BD161</f>
        <v>770</v>
      </c>
      <c r="Z161" s="74">
        <f>IF(OR('Cleanup TMS'!BE161=0,'Cleanup TMS'!BE161=""),"-",'Cleanup TMS'!BE161)</f>
        <v>0.52</v>
      </c>
      <c r="AA161" s="74" t="str">
        <f>IF(OR('Cleanup TMS'!BF161=0,'Cleanup TMS'!BF161=""),"-",'Cleanup TMS'!BF161)</f>
        <v>D</v>
      </c>
      <c r="AB161" s="148">
        <f>IF(OR('Cleanup TMS'!BI161="",'Cleanup TMS'!BI161=0),"-",'Cleanup TMS'!BI161)</f>
        <v>0.01</v>
      </c>
      <c r="AC161" s="73">
        <f>'Cleanup TMS'!BS161</f>
        <v>29160</v>
      </c>
      <c r="AD161" s="73">
        <f t="shared" si="10"/>
        <v>15924</v>
      </c>
      <c r="AE161" s="74">
        <f>IF(OR('Cleanup TMS'!BU161=0,'Cleanup TMS'!BU161=""),"-",'Cleanup TMS'!BU161)</f>
        <v>0.55000000000000004</v>
      </c>
      <c r="AF161" s="74" t="str">
        <f>IF(OR('Cleanup TMS'!BV161=0,'Cleanup TMS'!BV161=""),"-",'Cleanup TMS'!BV161)</f>
        <v>D</v>
      </c>
      <c r="AG161" s="73">
        <f>'Cleanup TMS'!CF161</f>
        <v>1467</v>
      </c>
      <c r="AH161" s="73">
        <f t="shared" si="11"/>
        <v>739</v>
      </c>
      <c r="AI161" s="73">
        <f t="shared" si="12"/>
        <v>809</v>
      </c>
      <c r="AJ161" s="71">
        <f>IF(OR('Cleanup TMS'!CI161=0,'Cleanup TMS'!CI161=""),"-",'Cleanup TMS'!CI161)</f>
        <v>0.55000000000000004</v>
      </c>
      <c r="AK161" s="75" t="str">
        <f>IF(OR('Cleanup TMS'!CJ161=0,'Cleanup TMS'!CJ161=""),"-",'Cleanup TMS'!CJ161)</f>
        <v>D</v>
      </c>
    </row>
    <row r="162" spans="1:37" ht="18.75" customHeight="1">
      <c r="A162" s="69">
        <f>'Cleanup TMS'!A162</f>
        <v>5000390</v>
      </c>
      <c r="B162" s="70">
        <f>'Cleanup TMS'!B162</f>
        <v>127</v>
      </c>
      <c r="C162" s="70" t="str">
        <f>IF('Cleanup TMS'!E162="","",'Cleanup TMS'!E162)</f>
        <v/>
      </c>
      <c r="D162" s="70" t="str">
        <f>'Cleanup TMS'!F162</f>
        <v>SUMTER</v>
      </c>
      <c r="E162" s="70">
        <f>'Cleanup TMS'!G162</f>
        <v>35</v>
      </c>
      <c r="F162" s="71">
        <f>ROUND('Cleanup TMS'!H162,2)</f>
        <v>1.83</v>
      </c>
      <c r="G162" s="72" t="str">
        <f>'Cleanup TMS'!I162</f>
        <v>EL CAMINO REAL</v>
      </c>
      <c r="H162" s="72" t="str">
        <f>'Cleanup TMS'!J162</f>
        <v>ENRIQUE DR</v>
      </c>
      <c r="I162" s="72" t="str">
        <f>'Cleanup TMS'!K162</f>
        <v>BUENOS AIRES BLVD</v>
      </c>
      <c r="J162" s="70">
        <f>'Cleanup TMS'!L162</f>
        <v>4</v>
      </c>
      <c r="K162" s="70">
        <v>4</v>
      </c>
      <c r="L162" s="70" t="s">
        <v>646</v>
      </c>
      <c r="M162" s="70" t="s">
        <v>649</v>
      </c>
      <c r="N162" s="152" t="s">
        <v>651</v>
      </c>
      <c r="O162" s="152" t="s">
        <v>547</v>
      </c>
      <c r="P162" s="70" t="str">
        <f>'Cleanup TMS'!V162</f>
        <v>COUNTY</v>
      </c>
      <c r="Q162" s="70" t="str">
        <f>'Cleanup TMS'!W162</f>
        <v>UNINCORPORATED SUMTER COUNTY</v>
      </c>
      <c r="R162" s="70" t="s">
        <v>5</v>
      </c>
      <c r="S162" s="73">
        <f>IF('Cleanup TMS'!AO162=0,"-",'Cleanup TMS'!AO162)</f>
        <v>29160</v>
      </c>
      <c r="T162" s="73">
        <f>'Cleanup TMS'!AP162</f>
        <v>16992</v>
      </c>
      <c r="U162" s="71">
        <f>IF(OR('Cleanup TMS'!AQ162=0,'Cleanup TMS'!AQ162=""),"-",'Cleanup TMS'!AQ162)</f>
        <v>0.57999999999999996</v>
      </c>
      <c r="V162" s="71" t="str">
        <f>IF(OR('Cleanup TMS'!AR162=0,'Cleanup TMS'!AR162=""),"-",'Cleanup TMS'!AR162)</f>
        <v>D</v>
      </c>
      <c r="W162" s="73">
        <f>IF('Cleanup TMS'!BB162=0,"-",'Cleanup TMS'!BB162)</f>
        <v>1467</v>
      </c>
      <c r="X162" s="73">
        <f>'Cleanup TMS'!BC162</f>
        <v>807</v>
      </c>
      <c r="Y162" s="73">
        <f>'Cleanup TMS'!BD162</f>
        <v>827</v>
      </c>
      <c r="Z162" s="74">
        <f>IF(OR('Cleanup TMS'!BE162=0,'Cleanup TMS'!BE162=""),"-",'Cleanup TMS'!BE162)</f>
        <v>0.56000000000000005</v>
      </c>
      <c r="AA162" s="74" t="str">
        <f>IF(OR('Cleanup TMS'!BF162=0,'Cleanup TMS'!BF162=""),"-",'Cleanup TMS'!BF162)</f>
        <v>D</v>
      </c>
      <c r="AB162" s="148">
        <f>IF(OR('Cleanup TMS'!BI162="",'Cleanup TMS'!BI162=0),"-",'Cleanup TMS'!BI162)</f>
        <v>0.01</v>
      </c>
      <c r="AC162" s="73">
        <f>'Cleanup TMS'!BS162</f>
        <v>29160</v>
      </c>
      <c r="AD162" s="73">
        <f t="shared" si="10"/>
        <v>17859</v>
      </c>
      <c r="AE162" s="74">
        <f>IF(OR('Cleanup TMS'!BU162=0,'Cleanup TMS'!BU162=""),"-",'Cleanup TMS'!BU162)</f>
        <v>0.61</v>
      </c>
      <c r="AF162" s="74" t="str">
        <f>IF(OR('Cleanup TMS'!BV162=0,'Cleanup TMS'!BV162=""),"-",'Cleanup TMS'!BV162)</f>
        <v>D</v>
      </c>
      <c r="AG162" s="73">
        <f>'Cleanup TMS'!CF162</f>
        <v>1467</v>
      </c>
      <c r="AH162" s="73">
        <f t="shared" si="11"/>
        <v>848</v>
      </c>
      <c r="AI162" s="73">
        <f t="shared" si="12"/>
        <v>869</v>
      </c>
      <c r="AJ162" s="71">
        <f>IF(OR('Cleanup TMS'!CI162=0,'Cleanup TMS'!CI162=""),"-",'Cleanup TMS'!CI162)</f>
        <v>0.59</v>
      </c>
      <c r="AK162" s="75" t="str">
        <f>IF(OR('Cleanup TMS'!CJ162=0,'Cleanup TMS'!CJ162=""),"-",'Cleanup TMS'!CJ162)</f>
        <v>D</v>
      </c>
    </row>
    <row r="163" spans="1:37" ht="18.75" customHeight="1">
      <c r="A163" s="69">
        <f>'Cleanup TMS'!A163</f>
        <v>5000420</v>
      </c>
      <c r="B163" s="70">
        <f>'Cleanup TMS'!B163</f>
        <v>138</v>
      </c>
      <c r="C163" s="70" t="str">
        <f>IF('Cleanup TMS'!E163="","",'Cleanup TMS'!E163)</f>
        <v/>
      </c>
      <c r="D163" s="70" t="str">
        <f>'Cleanup TMS'!F163</f>
        <v>SUMTER</v>
      </c>
      <c r="E163" s="70">
        <f>'Cleanup TMS'!G163</f>
        <v>35</v>
      </c>
      <c r="F163" s="71">
        <f>ROUND('Cleanup TMS'!H163,2)</f>
        <v>1.82</v>
      </c>
      <c r="G163" s="72" t="str">
        <f>'Cleanup TMS'!I163</f>
        <v>MORSE BLVD N</v>
      </c>
      <c r="H163" s="72" t="str">
        <f>'Cleanup TMS'!J163</f>
        <v>RIO GRANDE AVE</v>
      </c>
      <c r="I163" s="72" t="str">
        <f>'Cleanup TMS'!K163</f>
        <v>EL CAMINO REAL</v>
      </c>
      <c r="J163" s="70">
        <f>'Cleanup TMS'!L163</f>
        <v>2</v>
      </c>
      <c r="K163" s="70">
        <v>2</v>
      </c>
      <c r="L163" s="70" t="s">
        <v>646</v>
      </c>
      <c r="M163" s="70" t="s">
        <v>648</v>
      </c>
      <c r="N163" s="152" t="s">
        <v>651</v>
      </c>
      <c r="O163" s="152" t="s">
        <v>547</v>
      </c>
      <c r="P163" s="70" t="str">
        <f>'Cleanup TMS'!V163</f>
        <v>COUNTY</v>
      </c>
      <c r="Q163" s="70" t="str">
        <f>'Cleanup TMS'!W163</f>
        <v>UNINCORPORATED SUMTER COUNTY</v>
      </c>
      <c r="R163" s="82" t="s">
        <v>657</v>
      </c>
      <c r="S163" s="73" t="s">
        <v>558</v>
      </c>
      <c r="T163" s="73">
        <f>'Cleanup TMS'!AP163</f>
        <v>10260</v>
      </c>
      <c r="U163" s="71">
        <f>IF(OR('Cleanup TMS'!AQ163=0,'Cleanup TMS'!AQ163=""),"-",'Cleanup TMS'!AQ163)</f>
        <v>0.01</v>
      </c>
      <c r="V163" s="71" t="str">
        <f>IF(OR('Cleanup TMS'!AR163=0,'Cleanup TMS'!AR163=""),"-",'Cleanup TMS'!AR163)</f>
        <v>D</v>
      </c>
      <c r="W163" s="73" t="s">
        <v>558</v>
      </c>
      <c r="X163" s="73">
        <f>'Cleanup TMS'!BC163</f>
        <v>472</v>
      </c>
      <c r="Y163" s="73">
        <f>'Cleanup TMS'!BD163</f>
        <v>502</v>
      </c>
      <c r="Z163" s="73" t="s">
        <v>558</v>
      </c>
      <c r="AA163" s="74" t="str">
        <f>IF(OR('Cleanup TMS'!BF163=0,'Cleanup TMS'!BF163=""),"-",'Cleanup TMS'!BF163)</f>
        <v>D</v>
      </c>
      <c r="AB163" s="148">
        <f>IF(OR('Cleanup TMS'!BI163="",'Cleanup TMS'!BI163=0),"-",'Cleanup TMS'!BI163)</f>
        <v>0.01</v>
      </c>
      <c r="AC163" s="73" t="s">
        <v>558</v>
      </c>
      <c r="AD163" s="73">
        <f t="shared" si="10"/>
        <v>10783</v>
      </c>
      <c r="AE163" s="73" t="s">
        <v>558</v>
      </c>
      <c r="AF163" s="74" t="str">
        <f>IF(OR('Cleanup TMS'!BV163=0,'Cleanup TMS'!BV163=""),"-",'Cleanup TMS'!BV163)</f>
        <v>E</v>
      </c>
      <c r="AG163" s="73" t="s">
        <v>558</v>
      </c>
      <c r="AH163" s="73">
        <f t="shared" si="11"/>
        <v>496</v>
      </c>
      <c r="AI163" s="73">
        <f t="shared" si="12"/>
        <v>528</v>
      </c>
      <c r="AJ163" s="73" t="s">
        <v>558</v>
      </c>
      <c r="AK163" s="75" t="str">
        <f>IF(OR('Cleanup TMS'!CJ163=0,'Cleanup TMS'!CJ163=""),"-",'Cleanup TMS'!CJ163)</f>
        <v>E</v>
      </c>
    </row>
    <row r="164" spans="1:37" ht="18.75" customHeight="1">
      <c r="A164" s="69">
        <f>'Cleanup TMS'!A164</f>
        <v>5000430</v>
      </c>
      <c r="B164" s="70">
        <f>'Cleanup TMS'!B164</f>
        <v>137</v>
      </c>
      <c r="C164" s="70" t="str">
        <f>IF('Cleanup TMS'!E164="","",'Cleanup TMS'!E164)</f>
        <v/>
      </c>
      <c r="D164" s="70" t="str">
        <f>'Cleanup TMS'!F164</f>
        <v>SUMTER</v>
      </c>
      <c r="E164" s="70">
        <f>'Cleanup TMS'!G164</f>
        <v>35</v>
      </c>
      <c r="F164" s="71">
        <f>ROUND('Cleanup TMS'!H164,2)</f>
        <v>1</v>
      </c>
      <c r="G164" s="72" t="str">
        <f>'Cleanup TMS'!I164</f>
        <v>MORSE BLVD N</v>
      </c>
      <c r="H164" s="72" t="str">
        <f>'Cleanup TMS'!J164</f>
        <v>CR 466</v>
      </c>
      <c r="I164" s="72" t="str">
        <f>'Cleanup TMS'!K164</f>
        <v>RIO GRANDE AVE</v>
      </c>
      <c r="J164" s="70">
        <f>'Cleanup TMS'!L164</f>
        <v>2</v>
      </c>
      <c r="K164" s="70">
        <v>2</v>
      </c>
      <c r="L164" s="70" t="s">
        <v>646</v>
      </c>
      <c r="M164" s="70" t="s">
        <v>648</v>
      </c>
      <c r="N164" s="152" t="s">
        <v>651</v>
      </c>
      <c r="O164" s="152" t="s">
        <v>547</v>
      </c>
      <c r="P164" s="70" t="str">
        <f>'Cleanup TMS'!V164</f>
        <v>COUNTY</v>
      </c>
      <c r="Q164" s="70" t="str">
        <f>'Cleanup TMS'!W164</f>
        <v>UNINCORPORATED SUMTER COUNTY</v>
      </c>
      <c r="R164" s="82" t="s">
        <v>657</v>
      </c>
      <c r="S164" s="73" t="s">
        <v>558</v>
      </c>
      <c r="T164" s="73">
        <f>'Cleanup TMS'!AP164</f>
        <v>16966</v>
      </c>
      <c r="U164" s="71">
        <f>IF(OR('Cleanup TMS'!AQ164=0,'Cleanup TMS'!AQ164=""),"-",'Cleanup TMS'!AQ164)</f>
        <v>0.02</v>
      </c>
      <c r="V164" s="71" t="str">
        <f>IF(OR('Cleanup TMS'!AR164=0,'Cleanup TMS'!AR164=""),"-",'Cleanup TMS'!AR164)</f>
        <v>F</v>
      </c>
      <c r="W164" s="73" t="s">
        <v>558</v>
      </c>
      <c r="X164" s="73">
        <f>'Cleanup TMS'!BC164</f>
        <v>782</v>
      </c>
      <c r="Y164" s="73">
        <f>'Cleanup TMS'!BD164</f>
        <v>827</v>
      </c>
      <c r="Z164" s="73" t="s">
        <v>558</v>
      </c>
      <c r="AA164" s="74" t="str">
        <f>IF(OR('Cleanup TMS'!BF164=0,'Cleanup TMS'!BF164=""),"-",'Cleanup TMS'!BF164)</f>
        <v>F</v>
      </c>
      <c r="AB164" s="148">
        <f>IF(OR('Cleanup TMS'!BI164="",'Cleanup TMS'!BI164=0),"-",'Cleanup TMS'!BI164)</f>
        <v>0.01</v>
      </c>
      <c r="AC164" s="73" t="s">
        <v>558</v>
      </c>
      <c r="AD164" s="73">
        <f t="shared" si="10"/>
        <v>17831</v>
      </c>
      <c r="AE164" s="73" t="s">
        <v>558</v>
      </c>
      <c r="AF164" s="74" t="str">
        <f>IF(OR('Cleanup TMS'!BV164=0,'Cleanup TMS'!BV164=""),"-",'Cleanup TMS'!BV164)</f>
        <v>F</v>
      </c>
      <c r="AG164" s="73" t="s">
        <v>558</v>
      </c>
      <c r="AH164" s="73">
        <f t="shared" si="11"/>
        <v>822</v>
      </c>
      <c r="AI164" s="73">
        <f t="shared" si="12"/>
        <v>869</v>
      </c>
      <c r="AJ164" s="73" t="s">
        <v>558</v>
      </c>
      <c r="AK164" s="75" t="str">
        <f>IF(OR('Cleanup TMS'!CJ164=0,'Cleanup TMS'!CJ164=""),"-",'Cleanup TMS'!CJ164)</f>
        <v>F</v>
      </c>
    </row>
    <row r="165" spans="1:37" ht="18.75" customHeight="1">
      <c r="A165" s="69">
        <f>'Cleanup TMS'!A165</f>
        <v>5000500</v>
      </c>
      <c r="B165" s="70">
        <f>'Cleanup TMS'!B165</f>
        <v>151</v>
      </c>
      <c r="C165" s="70" t="str">
        <f>IF('Cleanup TMS'!E165="","",'Cleanup TMS'!E165)</f>
        <v/>
      </c>
      <c r="D165" s="70" t="str">
        <f>'Cleanup TMS'!F165</f>
        <v>SUMTER</v>
      </c>
      <c r="E165" s="70">
        <f>'Cleanup TMS'!G165</f>
        <v>25</v>
      </c>
      <c r="F165" s="71">
        <f>ROUND('Cleanup TMS'!H165,2)</f>
        <v>0.32</v>
      </c>
      <c r="G165" s="72" t="str">
        <f>'Cleanup TMS'!I165</f>
        <v>RIO GRANDE AVE</v>
      </c>
      <c r="H165" s="72" t="str">
        <f>'Cleanup TMS'!J165</f>
        <v>MORSE BLVD N</v>
      </c>
      <c r="I165" s="72" t="str">
        <f>'Cleanup TMS'!K165</f>
        <v>LAKE COUNTY BOUNDARY</v>
      </c>
      <c r="J165" s="70">
        <f>'Cleanup TMS'!L165</f>
        <v>2</v>
      </c>
      <c r="K165" s="70">
        <v>2</v>
      </c>
      <c r="L165" s="70" t="s">
        <v>646</v>
      </c>
      <c r="M165" s="70" t="s">
        <v>648</v>
      </c>
      <c r="N165" s="152" t="s">
        <v>651</v>
      </c>
      <c r="O165" s="152" t="s">
        <v>547</v>
      </c>
      <c r="P165" s="70" t="str">
        <f>'Cleanup TMS'!V165</f>
        <v>COUNTY</v>
      </c>
      <c r="Q165" s="70" t="str">
        <f>'Cleanup TMS'!W165</f>
        <v>UNINCORPORATED SUMTER COUNTY</v>
      </c>
      <c r="R165" s="70" t="s">
        <v>5</v>
      </c>
      <c r="S165" s="73">
        <f>IF('Cleanup TMS'!AO165=0,"-",'Cleanup TMS'!AO165)</f>
        <v>10360</v>
      </c>
      <c r="T165" s="73">
        <f>'Cleanup TMS'!AP165</f>
        <v>7804</v>
      </c>
      <c r="U165" s="71">
        <f>IF(OR('Cleanup TMS'!AQ165=0,'Cleanup TMS'!AQ165=""),"-",'Cleanup TMS'!AQ165)</f>
        <v>0.75</v>
      </c>
      <c r="V165" s="71" t="str">
        <f>IF(OR('Cleanup TMS'!AR165=0,'Cleanup TMS'!AR165=""),"-",'Cleanup TMS'!AR165)</f>
        <v>D</v>
      </c>
      <c r="W165" s="73">
        <f>IF('Cleanup TMS'!BB165=0,"-",'Cleanup TMS'!BB165)</f>
        <v>525</v>
      </c>
      <c r="X165" s="73">
        <f>'Cleanup TMS'!BC165</f>
        <v>379</v>
      </c>
      <c r="Y165" s="73">
        <f>'Cleanup TMS'!BD165</f>
        <v>418</v>
      </c>
      <c r="Z165" s="74">
        <f>IF(OR('Cleanup TMS'!BE165=0,'Cleanup TMS'!BE165=""),"-",'Cleanup TMS'!BE165)</f>
        <v>0.8</v>
      </c>
      <c r="AA165" s="74" t="str">
        <f>IF(OR('Cleanup TMS'!BF165=0,'Cleanup TMS'!BF165=""),"-",'Cleanup TMS'!BF165)</f>
        <v>D</v>
      </c>
      <c r="AB165" s="148">
        <f>IF(OR('Cleanup TMS'!BI165="",'Cleanup TMS'!BI165=0),"-",'Cleanup TMS'!BI165)</f>
        <v>0.01</v>
      </c>
      <c r="AC165" s="73">
        <f>'Cleanup TMS'!BS165</f>
        <v>10360</v>
      </c>
      <c r="AD165" s="73">
        <f t="shared" si="10"/>
        <v>8202</v>
      </c>
      <c r="AE165" s="74">
        <f>IF(OR('Cleanup TMS'!BU165=0,'Cleanup TMS'!BU165=""),"-",'Cleanup TMS'!BU165)</f>
        <v>0.79</v>
      </c>
      <c r="AF165" s="74" t="str">
        <f>IF(OR('Cleanup TMS'!BV165=0,'Cleanup TMS'!BV165=""),"-",'Cleanup TMS'!BV165)</f>
        <v>D</v>
      </c>
      <c r="AG165" s="73">
        <f>'Cleanup TMS'!CF165</f>
        <v>525</v>
      </c>
      <c r="AH165" s="73">
        <f t="shared" si="11"/>
        <v>398</v>
      </c>
      <c r="AI165" s="73">
        <f t="shared" si="12"/>
        <v>439</v>
      </c>
      <c r="AJ165" s="71">
        <f>IF(OR('Cleanup TMS'!CI165=0,'Cleanup TMS'!CI165=""),"-",'Cleanup TMS'!CI165)</f>
        <v>0.84</v>
      </c>
      <c r="AK165" s="75" t="str">
        <f>IF(OR('Cleanup TMS'!CJ165=0,'Cleanup TMS'!CJ165=""),"-",'Cleanup TMS'!CJ165)</f>
        <v>D</v>
      </c>
    </row>
    <row r="166" spans="1:37" ht="18.75" customHeight="1">
      <c r="A166" s="69">
        <f>'Cleanup TMS'!A166</f>
        <v>5000700</v>
      </c>
      <c r="B166" s="70">
        <f>'Cleanup TMS'!B166</f>
        <v>125</v>
      </c>
      <c r="C166" s="70" t="str">
        <f>IF('Cleanup TMS'!E166="","",'Cleanup TMS'!E166)</f>
        <v/>
      </c>
      <c r="D166" s="70" t="str">
        <f>'Cleanup TMS'!F166</f>
        <v>SUMTER</v>
      </c>
      <c r="E166" s="70">
        <f>'Cleanup TMS'!G166</f>
        <v>20</v>
      </c>
      <c r="F166" s="71">
        <f>ROUND('Cleanup TMS'!H166,2)</f>
        <v>0.28999999999999998</v>
      </c>
      <c r="G166" s="72" t="str">
        <f>'Cleanup TMS'!I166</f>
        <v>EL CAMINO REAL/PAIGE PLACE</v>
      </c>
      <c r="H166" s="72" t="str">
        <f>'Cleanup TMS'!J166</f>
        <v>MORSE BLVD N</v>
      </c>
      <c r="I166" s="72" t="str">
        <f>'Cleanup TMS'!K166</f>
        <v>LAKE COUNTY BOUNDARY</v>
      </c>
      <c r="J166" s="70">
        <f>'Cleanup TMS'!L166</f>
        <v>2</v>
      </c>
      <c r="K166" s="70">
        <v>2</v>
      </c>
      <c r="L166" s="70" t="s">
        <v>646</v>
      </c>
      <c r="M166" s="70" t="s">
        <v>649</v>
      </c>
      <c r="N166" s="152" t="s">
        <v>651</v>
      </c>
      <c r="O166" s="152" t="s">
        <v>547</v>
      </c>
      <c r="P166" s="70" t="str">
        <f>'Cleanup TMS'!V166</f>
        <v>COUNTY</v>
      </c>
      <c r="Q166" s="70" t="str">
        <f>'Cleanup TMS'!W166</f>
        <v>UNINCORPORATED SUMTER COUNTY</v>
      </c>
      <c r="R166" s="70" t="s">
        <v>5</v>
      </c>
      <c r="S166" s="73">
        <f>IF('Cleanup TMS'!AO166=0,"-",'Cleanup TMS'!AO166)</f>
        <v>14763</v>
      </c>
      <c r="T166" s="73">
        <f>'Cleanup TMS'!AP166</f>
        <v>11224</v>
      </c>
      <c r="U166" s="71">
        <f>IF(OR('Cleanup TMS'!AQ166=0,'Cleanup TMS'!AQ166=""),"-",'Cleanup TMS'!AQ166)</f>
        <v>0.76</v>
      </c>
      <c r="V166" s="71" t="str">
        <f>IF(OR('Cleanup TMS'!AR166=0,'Cleanup TMS'!AR166=""),"-",'Cleanup TMS'!AR166)</f>
        <v>D</v>
      </c>
      <c r="W166" s="73">
        <f>IF('Cleanup TMS'!BB166=0,"-",'Cleanup TMS'!BB166)</f>
        <v>713</v>
      </c>
      <c r="X166" s="73">
        <f>'Cleanup TMS'!BC166</f>
        <v>540</v>
      </c>
      <c r="Y166" s="73">
        <f>'Cleanup TMS'!BD166</f>
        <v>548</v>
      </c>
      <c r="Z166" s="74">
        <f>IF(OR('Cleanup TMS'!BE166=0,'Cleanup TMS'!BE166=""),"-",'Cleanup TMS'!BE166)</f>
        <v>0.77</v>
      </c>
      <c r="AA166" s="74" t="str">
        <f>IF(OR('Cleanup TMS'!BF166=0,'Cleanup TMS'!BF166=""),"-",'Cleanup TMS'!BF166)</f>
        <v>D</v>
      </c>
      <c r="AB166" s="148">
        <f>IF(OR('Cleanup TMS'!BI166="",'Cleanup TMS'!BI166=0),"-",'Cleanup TMS'!BI166)</f>
        <v>0.01</v>
      </c>
      <c r="AC166" s="73">
        <f>'Cleanup TMS'!BS166</f>
        <v>14763</v>
      </c>
      <c r="AD166" s="73">
        <f t="shared" si="10"/>
        <v>11797</v>
      </c>
      <c r="AE166" s="74">
        <f>IF(OR('Cleanup TMS'!BU166=0,'Cleanup TMS'!BU166=""),"-",'Cleanup TMS'!BU166)</f>
        <v>0.8</v>
      </c>
      <c r="AF166" s="74" t="str">
        <f>IF(OR('Cleanup TMS'!BV166=0,'Cleanup TMS'!BV166=""),"-",'Cleanup TMS'!BV166)</f>
        <v>D</v>
      </c>
      <c r="AG166" s="73">
        <f>'Cleanup TMS'!CF166</f>
        <v>713</v>
      </c>
      <c r="AH166" s="73">
        <f t="shared" si="11"/>
        <v>568</v>
      </c>
      <c r="AI166" s="73">
        <f t="shared" si="12"/>
        <v>576</v>
      </c>
      <c r="AJ166" s="71">
        <f>IF(OR('Cleanup TMS'!CI166=0,'Cleanup TMS'!CI166=""),"-",'Cleanup TMS'!CI166)</f>
        <v>0.81</v>
      </c>
      <c r="AK166" s="75" t="str">
        <f>IF(OR('Cleanup TMS'!CJ166=0,'Cleanup TMS'!CJ166=""),"-",'Cleanup TMS'!CJ166)</f>
        <v>D</v>
      </c>
    </row>
    <row r="167" spans="1:37" ht="18.75" customHeight="1">
      <c r="A167" s="69">
        <f>'Cleanup TMS'!A167</f>
        <v>5999990</v>
      </c>
      <c r="B167" s="70">
        <f>'Cleanup TMS'!B167</f>
        <v>126</v>
      </c>
      <c r="C167" s="70" t="str">
        <f>IF('Cleanup TMS'!E167="","",'Cleanup TMS'!E167)</f>
        <v/>
      </c>
      <c r="D167" s="70" t="str">
        <f>'Cleanup TMS'!F167</f>
        <v>SUMTER</v>
      </c>
      <c r="E167" s="70">
        <f>'Cleanup TMS'!G167</f>
        <v>35</v>
      </c>
      <c r="F167" s="71">
        <f>ROUND('Cleanup TMS'!H167,2)</f>
        <v>0.59</v>
      </c>
      <c r="G167" s="72" t="str">
        <f>'Cleanup TMS'!I167</f>
        <v>EL CAMINO REAL</v>
      </c>
      <c r="H167" s="72" t="str">
        <f>'Cleanup TMS'!J167</f>
        <v>BUENOS AIRES BLVD</v>
      </c>
      <c r="I167" s="72" t="str">
        <f>'Cleanup TMS'!K167</f>
        <v>MORSE BLVD (N)</v>
      </c>
      <c r="J167" s="70">
        <f>'Cleanup TMS'!L167</f>
        <v>4</v>
      </c>
      <c r="K167" s="70">
        <v>4</v>
      </c>
      <c r="L167" s="70" t="s">
        <v>646</v>
      </c>
      <c r="M167" s="70" t="s">
        <v>649</v>
      </c>
      <c r="N167" s="152" t="s">
        <v>651</v>
      </c>
      <c r="O167" s="152" t="s">
        <v>547</v>
      </c>
      <c r="P167" s="70" t="str">
        <f>'Cleanup TMS'!V167</f>
        <v>COUNTY</v>
      </c>
      <c r="Q167" s="70" t="str">
        <f>'Cleanup TMS'!W167</f>
        <v>UNINCORPORATED SUMTER COUNTY</v>
      </c>
      <c r="R167" s="70" t="s">
        <v>5</v>
      </c>
      <c r="S167" s="73">
        <f>IF('Cleanup TMS'!AO167=0,"-",'Cleanup TMS'!AO167)</f>
        <v>29160</v>
      </c>
      <c r="T167" s="73">
        <f>'Cleanup TMS'!AP167</f>
        <v>11556</v>
      </c>
      <c r="U167" s="71">
        <f>IF(OR('Cleanup TMS'!AQ167=0,'Cleanup TMS'!AQ167=""),"-",'Cleanup TMS'!AQ167)</f>
        <v>0.4</v>
      </c>
      <c r="V167" s="71" t="str">
        <f>IF(OR('Cleanup TMS'!AR167=0,'Cleanup TMS'!AR167=""),"-",'Cleanup TMS'!AR167)</f>
        <v>C</v>
      </c>
      <c r="W167" s="73">
        <f>IF('Cleanup TMS'!BB167=0,"-",'Cleanup TMS'!BB167)</f>
        <v>1467</v>
      </c>
      <c r="X167" s="73">
        <f>'Cleanup TMS'!BC167</f>
        <v>506</v>
      </c>
      <c r="Y167" s="73">
        <f>'Cleanup TMS'!BD167</f>
        <v>567</v>
      </c>
      <c r="Z167" s="74">
        <f>IF(OR('Cleanup TMS'!BE167=0,'Cleanup TMS'!BE167=""),"-",'Cleanup TMS'!BE167)</f>
        <v>0.39</v>
      </c>
      <c r="AA167" s="74" t="str">
        <f>IF(OR('Cleanup TMS'!BF167=0,'Cleanup TMS'!BF167=""),"-",'Cleanup TMS'!BF167)</f>
        <v>C</v>
      </c>
      <c r="AB167" s="148">
        <f>IF(OR('Cleanup TMS'!BI167="",'Cleanup TMS'!BI167=0),"-",'Cleanup TMS'!BI167)</f>
        <v>0.01</v>
      </c>
      <c r="AC167" s="73">
        <f>'Cleanup TMS'!BS167</f>
        <v>29160</v>
      </c>
      <c r="AD167" s="73">
        <f t="shared" si="10"/>
        <v>12145</v>
      </c>
      <c r="AE167" s="74">
        <f>IF(OR('Cleanup TMS'!BU167=0,'Cleanup TMS'!BU167=""),"-",'Cleanup TMS'!BU167)</f>
        <v>0.42</v>
      </c>
      <c r="AF167" s="74" t="str">
        <f>IF(OR('Cleanup TMS'!BV167=0,'Cleanup TMS'!BV167=""),"-",'Cleanup TMS'!BV167)</f>
        <v>C</v>
      </c>
      <c r="AG167" s="73">
        <f>'Cleanup TMS'!CF167</f>
        <v>1467</v>
      </c>
      <c r="AH167" s="73">
        <f t="shared" si="11"/>
        <v>532</v>
      </c>
      <c r="AI167" s="73">
        <f t="shared" si="12"/>
        <v>596</v>
      </c>
      <c r="AJ167" s="71">
        <f>IF(OR('Cleanup TMS'!CI167=0,'Cleanup TMS'!CI167=""),"-",'Cleanup TMS'!CI167)</f>
        <v>0.41</v>
      </c>
      <c r="AK167" s="75" t="str">
        <f>IF(OR('Cleanup TMS'!CJ167=0,'Cleanup TMS'!CJ167=""),"-",'Cleanup TMS'!CJ167)</f>
        <v>C</v>
      </c>
    </row>
    <row r="168" spans="1:37" ht="18.75" customHeight="1">
      <c r="A168" s="69">
        <f>'Cleanup TMS'!A168</f>
        <v>6000001</v>
      </c>
      <c r="B168" s="70">
        <f>'Cleanup TMS'!B168</f>
        <v>154</v>
      </c>
      <c r="C168" s="70" t="str">
        <f>IF('Cleanup TMS'!E168="","",'Cleanup TMS'!E168)</f>
        <v/>
      </c>
      <c r="D168" s="70" t="str">
        <f>'Cleanup TMS'!F168</f>
        <v>SUMTER</v>
      </c>
      <c r="E168" s="70">
        <f>'Cleanup TMS'!G168</f>
        <v>55</v>
      </c>
      <c r="F168" s="71">
        <f>ROUND('Cleanup TMS'!H168,2)</f>
        <v>0.22</v>
      </c>
      <c r="G168" s="72" t="str">
        <f>'Cleanup TMS'!I168</f>
        <v>MORSE BLVD S</v>
      </c>
      <c r="H168" s="72" t="str">
        <f>'Cleanup TMS'!J168</f>
        <v>SR 44</v>
      </c>
      <c r="I168" s="72" t="str">
        <f>'Cleanup TMS'!K168</f>
        <v>KRISTINE WAY</v>
      </c>
      <c r="J168" s="70">
        <f>'Cleanup TMS'!L168</f>
        <v>4</v>
      </c>
      <c r="K168" s="70">
        <v>4</v>
      </c>
      <c r="L168" s="70" t="s">
        <v>646</v>
      </c>
      <c r="M168" s="70" t="s">
        <v>649</v>
      </c>
      <c r="N168" s="152" t="s">
        <v>651</v>
      </c>
      <c r="O168" s="152" t="s">
        <v>547</v>
      </c>
      <c r="P168" s="70" t="str">
        <f>'Cleanup TMS'!V168</f>
        <v>COUNTY</v>
      </c>
      <c r="Q168" s="70" t="str">
        <f>'Cleanup TMS'!W168</f>
        <v>UNINCORPORATED SUMTER COUNTY</v>
      </c>
      <c r="R168" s="70" t="s">
        <v>5</v>
      </c>
      <c r="S168" s="73">
        <f>IF('Cleanup TMS'!AO168=0,"-",'Cleanup TMS'!AO168)</f>
        <v>35820</v>
      </c>
      <c r="T168" s="73">
        <f>'Cleanup TMS'!AP168</f>
        <v>16624</v>
      </c>
      <c r="U168" s="71">
        <f>IF(OR('Cleanup TMS'!AQ168=0,'Cleanup TMS'!AQ168=""),"-",'Cleanup TMS'!AQ168)</f>
        <v>0.46</v>
      </c>
      <c r="V168" s="71" t="str">
        <f>IF(OR('Cleanup TMS'!AR168=0,'Cleanup TMS'!AR168=""),"-",'Cleanup TMS'!AR168)</f>
        <v>C</v>
      </c>
      <c r="W168" s="73">
        <f>IF('Cleanup TMS'!BB168=0,"-",'Cleanup TMS'!BB168)</f>
        <v>1800</v>
      </c>
      <c r="X168" s="73">
        <f>'Cleanup TMS'!BC168</f>
        <v>734</v>
      </c>
      <c r="Y168" s="73">
        <f>'Cleanup TMS'!BD168</f>
        <v>772</v>
      </c>
      <c r="Z168" s="74">
        <f>IF(OR('Cleanup TMS'!BE168=0,'Cleanup TMS'!BE168=""),"-",'Cleanup TMS'!BE168)</f>
        <v>0.43</v>
      </c>
      <c r="AA168" s="74" t="str">
        <f>IF(OR('Cleanup TMS'!BF168=0,'Cleanup TMS'!BF168=""),"-",'Cleanup TMS'!BF168)</f>
        <v>C</v>
      </c>
      <c r="AB168" s="148">
        <f>IF(OR('Cleanup TMS'!BI168="",'Cleanup TMS'!BI168=0),"-",'Cleanup TMS'!BI168)</f>
        <v>8.7500000000000008E-2</v>
      </c>
      <c r="AC168" s="73">
        <f>'Cleanup TMS'!BS168</f>
        <v>35820</v>
      </c>
      <c r="AD168" s="73">
        <f t="shared" si="10"/>
        <v>25286</v>
      </c>
      <c r="AE168" s="74">
        <f>IF(OR('Cleanup TMS'!BU168=0,'Cleanup TMS'!BU168=""),"-",'Cleanup TMS'!BU168)</f>
        <v>0.71</v>
      </c>
      <c r="AF168" s="74" t="str">
        <f>IF(OR('Cleanup TMS'!BV168=0,'Cleanup TMS'!BV168=""),"-",'Cleanup TMS'!BV168)</f>
        <v>C</v>
      </c>
      <c r="AG168" s="73">
        <f>'Cleanup TMS'!CF168</f>
        <v>1800</v>
      </c>
      <c r="AH168" s="73">
        <f t="shared" si="11"/>
        <v>1116</v>
      </c>
      <c r="AI168" s="73">
        <f t="shared" si="12"/>
        <v>1174</v>
      </c>
      <c r="AJ168" s="71">
        <f>IF(OR('Cleanup TMS'!CI168=0,'Cleanup TMS'!CI168=""),"-",'Cleanup TMS'!CI168)</f>
        <v>0.65</v>
      </c>
      <c r="AK168" s="75" t="str">
        <f>IF(OR('Cleanup TMS'!CJ168=0,'Cleanup TMS'!CJ168=""),"-",'Cleanup TMS'!CJ168)</f>
        <v>C</v>
      </c>
    </row>
    <row r="169" spans="1:37" ht="18.75" customHeight="1">
      <c r="A169" s="69">
        <f>'Cleanup TMS'!A169</f>
        <v>6000002</v>
      </c>
      <c r="B169" s="70">
        <f>'Cleanup TMS'!B169</f>
        <v>155</v>
      </c>
      <c r="C169" s="70" t="str">
        <f>IF('Cleanup TMS'!E169="","",'Cleanup TMS'!E169)</f>
        <v/>
      </c>
      <c r="D169" s="70" t="str">
        <f>'Cleanup TMS'!F169</f>
        <v>SUMTER</v>
      </c>
      <c r="E169" s="70">
        <f>'Cleanup TMS'!G169</f>
        <v>55</v>
      </c>
      <c r="F169" s="71">
        <f>ROUND('Cleanup TMS'!H169,2)</f>
        <v>1.63</v>
      </c>
      <c r="G169" s="72" t="str">
        <f>'Cleanup TMS'!I169</f>
        <v>MORSE BLVD S</v>
      </c>
      <c r="H169" s="72" t="str">
        <f>'Cleanup TMS'!J169</f>
        <v>KRISTINE WAY</v>
      </c>
      <c r="I169" s="72" t="str">
        <f>'Cleanup TMS'!K169</f>
        <v>HILLSBOROUGH TRL</v>
      </c>
      <c r="J169" s="70">
        <f>'Cleanup TMS'!L169</f>
        <v>4</v>
      </c>
      <c r="K169" s="70">
        <v>4</v>
      </c>
      <c r="L169" s="70" t="s">
        <v>646</v>
      </c>
      <c r="M169" s="70" t="s">
        <v>649</v>
      </c>
      <c r="N169" s="152" t="s">
        <v>651</v>
      </c>
      <c r="O169" s="152" t="s">
        <v>547</v>
      </c>
      <c r="P169" s="70" t="str">
        <f>'Cleanup TMS'!V169</f>
        <v>COUNTY</v>
      </c>
      <c r="Q169" s="70" t="str">
        <f>'Cleanup TMS'!W169</f>
        <v>UNINCORPORATED SUMTER COUNTY</v>
      </c>
      <c r="R169" s="70" t="s">
        <v>5</v>
      </c>
      <c r="S169" s="73">
        <f>IF('Cleanup TMS'!AO169=0,"-",'Cleanup TMS'!AO169)</f>
        <v>35820</v>
      </c>
      <c r="T169" s="73">
        <f>'Cleanup TMS'!AP169</f>
        <v>19101</v>
      </c>
      <c r="U169" s="71">
        <f>IF(OR('Cleanup TMS'!AQ169=0,'Cleanup TMS'!AQ169=""),"-",'Cleanup TMS'!AQ169)</f>
        <v>0.53</v>
      </c>
      <c r="V169" s="71" t="str">
        <f>IF(OR('Cleanup TMS'!AR169=0,'Cleanup TMS'!AR169=""),"-",'Cleanup TMS'!AR169)</f>
        <v>C</v>
      </c>
      <c r="W169" s="73">
        <f>IF('Cleanup TMS'!BB169=0,"-",'Cleanup TMS'!BB169)</f>
        <v>1800</v>
      </c>
      <c r="X169" s="73">
        <f>'Cleanup TMS'!BC169</f>
        <v>826</v>
      </c>
      <c r="Y169" s="73">
        <f>'Cleanup TMS'!BD169</f>
        <v>929</v>
      </c>
      <c r="Z169" s="74">
        <f>IF(OR('Cleanup TMS'!BE169=0,'Cleanup TMS'!BE169=""),"-",'Cleanup TMS'!BE169)</f>
        <v>0.52</v>
      </c>
      <c r="AA169" s="74" t="str">
        <f>IF(OR('Cleanup TMS'!BF169=0,'Cleanup TMS'!BF169=""),"-",'Cleanup TMS'!BF169)</f>
        <v>C</v>
      </c>
      <c r="AB169" s="148">
        <f>IF(OR('Cleanup TMS'!BI169="",'Cleanup TMS'!BI169=0),"-",'Cleanup TMS'!BI169)</f>
        <v>5.2499999999999998E-2</v>
      </c>
      <c r="AC169" s="73">
        <f>'Cleanup TMS'!BS169</f>
        <v>35820</v>
      </c>
      <c r="AD169" s="73">
        <f t="shared" si="10"/>
        <v>24670</v>
      </c>
      <c r="AE169" s="74">
        <f>IF(OR('Cleanup TMS'!BU169=0,'Cleanup TMS'!BU169=""),"-",'Cleanup TMS'!BU169)</f>
        <v>0.69</v>
      </c>
      <c r="AF169" s="74" t="str">
        <f>IF(OR('Cleanup TMS'!BV169=0,'Cleanup TMS'!BV169=""),"-",'Cleanup TMS'!BV169)</f>
        <v>C</v>
      </c>
      <c r="AG169" s="73">
        <f>'Cleanup TMS'!CF169</f>
        <v>1800</v>
      </c>
      <c r="AH169" s="73">
        <f t="shared" si="11"/>
        <v>1067</v>
      </c>
      <c r="AI169" s="73">
        <f t="shared" si="12"/>
        <v>1200</v>
      </c>
      <c r="AJ169" s="71">
        <f>IF(OR('Cleanup TMS'!CI169=0,'Cleanup TMS'!CI169=""),"-",'Cleanup TMS'!CI169)</f>
        <v>0.67</v>
      </c>
      <c r="AK169" s="75" t="str">
        <f>IF(OR('Cleanup TMS'!CJ169=0,'Cleanup TMS'!CJ169=""),"-",'Cleanup TMS'!CJ169)</f>
        <v>C</v>
      </c>
    </row>
    <row r="170" spans="1:37" ht="18.75" customHeight="1">
      <c r="A170" s="69">
        <f>'Cleanup TMS'!A170</f>
        <v>6000003</v>
      </c>
      <c r="B170" s="70">
        <f>'Cleanup TMS'!B170</f>
        <v>132</v>
      </c>
      <c r="C170" s="70" t="str">
        <f>IF('Cleanup TMS'!E170="","",'Cleanup TMS'!E170)</f>
        <v/>
      </c>
      <c r="D170" s="70" t="str">
        <f>'Cleanup TMS'!F170</f>
        <v>SUMTER</v>
      </c>
      <c r="E170" s="70">
        <f>'Cleanup TMS'!G170</f>
        <v>35</v>
      </c>
      <c r="F170" s="71">
        <f>ROUND('Cleanup TMS'!H170,2)</f>
        <v>0.96</v>
      </c>
      <c r="G170" s="72" t="str">
        <f>'Cleanup TMS'!I170</f>
        <v>MORSE BLVD</v>
      </c>
      <c r="H170" s="72" t="str">
        <f>'Cleanup TMS'!J170</f>
        <v>HILLSBOROUGH TRL</v>
      </c>
      <c r="I170" s="72" t="str">
        <f>'Cleanup TMS'!K170</f>
        <v>PINELLAS PL</v>
      </c>
      <c r="J170" s="70">
        <f>'Cleanup TMS'!L170</f>
        <v>4</v>
      </c>
      <c r="K170" s="70">
        <v>4</v>
      </c>
      <c r="L170" s="70" t="s">
        <v>646</v>
      </c>
      <c r="M170" s="70" t="s">
        <v>649</v>
      </c>
      <c r="N170" s="152" t="s">
        <v>651</v>
      </c>
      <c r="O170" s="152" t="s">
        <v>547</v>
      </c>
      <c r="P170" s="70" t="str">
        <f>'Cleanup TMS'!V170</f>
        <v>COUNTY</v>
      </c>
      <c r="Q170" s="70" t="str">
        <f>'Cleanup TMS'!W170</f>
        <v>UNINCORPORATED SUMTER COUNTY</v>
      </c>
      <c r="R170" s="70" t="s">
        <v>5</v>
      </c>
      <c r="S170" s="73">
        <f>IF('Cleanup TMS'!AO170=0,"-",'Cleanup TMS'!AO170)</f>
        <v>29160</v>
      </c>
      <c r="T170" s="73">
        <f>'Cleanup TMS'!AP170</f>
        <v>16973</v>
      </c>
      <c r="U170" s="71">
        <f>IF(OR('Cleanup TMS'!AQ170=0,'Cleanup TMS'!AQ170=""),"-",'Cleanup TMS'!AQ170)</f>
        <v>0.57999999999999996</v>
      </c>
      <c r="V170" s="71" t="str">
        <f>IF(OR('Cleanup TMS'!AR170=0,'Cleanup TMS'!AR170=""),"-",'Cleanup TMS'!AR170)</f>
        <v>D</v>
      </c>
      <c r="W170" s="73">
        <f>IF('Cleanup TMS'!BB170=0,"-",'Cleanup TMS'!BB170)</f>
        <v>1467</v>
      </c>
      <c r="X170" s="73">
        <f>'Cleanup TMS'!BC170</f>
        <v>780</v>
      </c>
      <c r="Y170" s="73">
        <f>'Cleanup TMS'!BD170</f>
        <v>825</v>
      </c>
      <c r="Z170" s="74">
        <f>IF(OR('Cleanup TMS'!BE170=0,'Cleanup TMS'!BE170=""),"-",'Cleanup TMS'!BE170)</f>
        <v>0.56000000000000005</v>
      </c>
      <c r="AA170" s="74" t="str">
        <f>IF(OR('Cleanup TMS'!BF170=0,'Cleanup TMS'!BF170=""),"-",'Cleanup TMS'!BF170)</f>
        <v>D</v>
      </c>
      <c r="AB170" s="148">
        <f>IF(OR('Cleanup TMS'!BI170="",'Cleanup TMS'!BI170=0),"-",'Cleanup TMS'!BI170)</f>
        <v>4.2500000000000003E-2</v>
      </c>
      <c r="AC170" s="73">
        <f>'Cleanup TMS'!BS170</f>
        <v>29160</v>
      </c>
      <c r="AD170" s="73">
        <f t="shared" si="10"/>
        <v>20900</v>
      </c>
      <c r="AE170" s="74">
        <f>IF(OR('Cleanup TMS'!BU170=0,'Cleanup TMS'!BU170=""),"-",'Cleanup TMS'!BU170)</f>
        <v>0.72</v>
      </c>
      <c r="AF170" s="74" t="str">
        <f>IF(OR('Cleanup TMS'!BV170=0,'Cleanup TMS'!BV170=""),"-",'Cleanup TMS'!BV170)</f>
        <v>D</v>
      </c>
      <c r="AG170" s="73">
        <f>'Cleanup TMS'!CF170</f>
        <v>1467</v>
      </c>
      <c r="AH170" s="73">
        <f t="shared" si="11"/>
        <v>960</v>
      </c>
      <c r="AI170" s="73">
        <f t="shared" si="12"/>
        <v>1016</v>
      </c>
      <c r="AJ170" s="71">
        <f>IF(OR('Cleanup TMS'!CI170=0,'Cleanup TMS'!CI170=""),"-",'Cleanup TMS'!CI170)</f>
        <v>0.69</v>
      </c>
      <c r="AK170" s="75" t="str">
        <f>IF(OR('Cleanup TMS'!CJ170=0,'Cleanup TMS'!CJ170=""),"-",'Cleanup TMS'!CJ170)</f>
        <v>D</v>
      </c>
    </row>
    <row r="171" spans="1:37" ht="18.75" customHeight="1">
      <c r="A171" s="69">
        <f>'Cleanup TMS'!A171</f>
        <v>6000004</v>
      </c>
      <c r="B171" s="70">
        <f>'Cleanup TMS'!B171</f>
        <v>133</v>
      </c>
      <c r="C171" s="70" t="str">
        <f>IF('Cleanup TMS'!E171="","",'Cleanup TMS'!E171)</f>
        <v/>
      </c>
      <c r="D171" s="70" t="str">
        <f>'Cleanup TMS'!F171</f>
        <v>SUMTER</v>
      </c>
      <c r="E171" s="70">
        <f>'Cleanup TMS'!G171</f>
        <v>35</v>
      </c>
      <c r="F171" s="71">
        <f>ROUND('Cleanup TMS'!H171,2)</f>
        <v>0.36</v>
      </c>
      <c r="G171" s="72" t="str">
        <f>'Cleanup TMS'!I171</f>
        <v>MORSE BLVD</v>
      </c>
      <c r="H171" s="72" t="str">
        <f>'Cleanup TMS'!J171</f>
        <v>PINELLAS PL</v>
      </c>
      <c r="I171" s="72" t="str">
        <f>'Cleanup TMS'!K171</f>
        <v>CR 466A</v>
      </c>
      <c r="J171" s="70">
        <f>'Cleanup TMS'!L171</f>
        <v>4</v>
      </c>
      <c r="K171" s="70">
        <v>4</v>
      </c>
      <c r="L171" s="70" t="s">
        <v>646</v>
      </c>
      <c r="M171" s="70" t="s">
        <v>649</v>
      </c>
      <c r="N171" s="152" t="s">
        <v>651</v>
      </c>
      <c r="O171" s="152" t="s">
        <v>547</v>
      </c>
      <c r="P171" s="70" t="str">
        <f>'Cleanup TMS'!V171</f>
        <v>COUNTY</v>
      </c>
      <c r="Q171" s="70" t="str">
        <f>'Cleanup TMS'!W171</f>
        <v>UNINCORPORATED SUMTER COUNTY</v>
      </c>
      <c r="R171" s="70" t="s">
        <v>5</v>
      </c>
      <c r="S171" s="73">
        <f>IF('Cleanup TMS'!AO171=0,"-",'Cleanup TMS'!AO171)</f>
        <v>29160</v>
      </c>
      <c r="T171" s="73">
        <f>'Cleanup TMS'!AP171</f>
        <v>17949</v>
      </c>
      <c r="U171" s="71">
        <f>IF(OR('Cleanup TMS'!AQ171=0,'Cleanup TMS'!AQ171=""),"-",'Cleanup TMS'!AQ171)</f>
        <v>0.62</v>
      </c>
      <c r="V171" s="71" t="str">
        <f>IF(OR('Cleanup TMS'!AR171=0,'Cleanup TMS'!AR171=""),"-",'Cleanup TMS'!AR171)</f>
        <v>D</v>
      </c>
      <c r="W171" s="73">
        <f>IF('Cleanup TMS'!BB171=0,"-",'Cleanup TMS'!BB171)</f>
        <v>1467</v>
      </c>
      <c r="X171" s="73">
        <f>'Cleanup TMS'!BC171</f>
        <v>825</v>
      </c>
      <c r="Y171" s="73">
        <f>'Cleanup TMS'!BD171</f>
        <v>888</v>
      </c>
      <c r="Z171" s="74">
        <f>IF(OR('Cleanup TMS'!BE171=0,'Cleanup TMS'!BE171=""),"-",'Cleanup TMS'!BE171)</f>
        <v>0.61</v>
      </c>
      <c r="AA171" s="74" t="str">
        <f>IF(OR('Cleanup TMS'!BF171=0,'Cleanup TMS'!BF171=""),"-",'Cleanup TMS'!BF171)</f>
        <v>D</v>
      </c>
      <c r="AB171" s="148">
        <f>IF(OR('Cleanup TMS'!BI171="",'Cleanup TMS'!BI171=0),"-",'Cleanup TMS'!BI171)</f>
        <v>0.01</v>
      </c>
      <c r="AC171" s="73">
        <f>'Cleanup TMS'!BS171</f>
        <v>29160</v>
      </c>
      <c r="AD171" s="73">
        <f t="shared" si="10"/>
        <v>18865</v>
      </c>
      <c r="AE171" s="74">
        <f>IF(OR('Cleanup TMS'!BU171=0,'Cleanup TMS'!BU171=""),"-",'Cleanup TMS'!BU171)</f>
        <v>0.65</v>
      </c>
      <c r="AF171" s="74" t="str">
        <f>IF(OR('Cleanup TMS'!BV171=0,'Cleanup TMS'!BV171=""),"-",'Cleanup TMS'!BV171)</f>
        <v>D</v>
      </c>
      <c r="AG171" s="73">
        <f>'Cleanup TMS'!CF171</f>
        <v>1467</v>
      </c>
      <c r="AH171" s="73">
        <f t="shared" si="11"/>
        <v>867</v>
      </c>
      <c r="AI171" s="73">
        <f t="shared" si="12"/>
        <v>933</v>
      </c>
      <c r="AJ171" s="71">
        <f>IF(OR('Cleanup TMS'!CI171=0,'Cleanup TMS'!CI171=""),"-",'Cleanup TMS'!CI171)</f>
        <v>0.64</v>
      </c>
      <c r="AK171" s="75" t="str">
        <f>IF(OR('Cleanup TMS'!CJ171=0,'Cleanup TMS'!CJ171=""),"-",'Cleanup TMS'!CJ171)</f>
        <v>D</v>
      </c>
    </row>
    <row r="172" spans="1:37" ht="18.75" customHeight="1">
      <c r="A172" s="69">
        <f>'Cleanup TMS'!A172</f>
        <v>6000005</v>
      </c>
      <c r="B172" s="70">
        <f>'Cleanup TMS'!B172</f>
        <v>158</v>
      </c>
      <c r="C172" s="70" t="str">
        <f>IF('Cleanup TMS'!E172="","",'Cleanup TMS'!E172)</f>
        <v/>
      </c>
      <c r="D172" s="70" t="str">
        <f>'Cleanup TMS'!F172</f>
        <v>SUMTER</v>
      </c>
      <c r="E172" s="70">
        <f>'Cleanup TMS'!G172</f>
        <v>35</v>
      </c>
      <c r="F172" s="71">
        <f>ROUND('Cleanup TMS'!H172,2)</f>
        <v>0.39</v>
      </c>
      <c r="G172" s="72" t="str">
        <f>'Cleanup TMS'!I172</f>
        <v>BUENA VISTA BLVD</v>
      </c>
      <c r="H172" s="72" t="str">
        <f>'Cleanup TMS'!J172</f>
        <v>CR 466A</v>
      </c>
      <c r="I172" s="72" t="str">
        <f>'Cleanup TMS'!K172</f>
        <v>ST.CHARLES PL</v>
      </c>
      <c r="J172" s="70">
        <f>'Cleanup TMS'!L172</f>
        <v>4</v>
      </c>
      <c r="K172" s="70">
        <v>4</v>
      </c>
      <c r="L172" s="70" t="s">
        <v>646</v>
      </c>
      <c r="M172" s="70" t="s">
        <v>649</v>
      </c>
      <c r="N172" s="152" t="s">
        <v>651</v>
      </c>
      <c r="O172" s="152" t="s">
        <v>547</v>
      </c>
      <c r="P172" s="70" t="str">
        <f>'Cleanup TMS'!V172</f>
        <v>COUNTY</v>
      </c>
      <c r="Q172" s="70" t="str">
        <f>'Cleanup TMS'!W172</f>
        <v>UNINCORPORATED SUMTER COUNTY</v>
      </c>
      <c r="R172" s="70" t="s">
        <v>5</v>
      </c>
      <c r="S172" s="73">
        <f>IF('Cleanup TMS'!AO172=0,"-",'Cleanup TMS'!AO172)</f>
        <v>29160</v>
      </c>
      <c r="T172" s="73">
        <f>'Cleanup TMS'!AP172</f>
        <v>22158</v>
      </c>
      <c r="U172" s="71">
        <f>IF(OR('Cleanup TMS'!AQ172=0,'Cleanup TMS'!AQ172=""),"-",'Cleanup TMS'!AQ172)</f>
        <v>0.76</v>
      </c>
      <c r="V172" s="71" t="str">
        <f>IF(OR('Cleanup TMS'!AR172=0,'Cleanup TMS'!AR172=""),"-",'Cleanup TMS'!AR172)</f>
        <v>D</v>
      </c>
      <c r="W172" s="73">
        <f>IF('Cleanup TMS'!BB172=0,"-",'Cleanup TMS'!BB172)</f>
        <v>1467</v>
      </c>
      <c r="X172" s="73">
        <f>'Cleanup TMS'!BC172</f>
        <v>1014</v>
      </c>
      <c r="Y172" s="73">
        <f>'Cleanup TMS'!BD172</f>
        <v>1120</v>
      </c>
      <c r="Z172" s="74">
        <f>IF(OR('Cleanup TMS'!BE172=0,'Cleanup TMS'!BE172=""),"-",'Cleanup TMS'!BE172)</f>
        <v>0.76</v>
      </c>
      <c r="AA172" s="74" t="str">
        <f>IF(OR('Cleanup TMS'!BF172=0,'Cleanup TMS'!BF172=""),"-",'Cleanup TMS'!BF172)</f>
        <v>D</v>
      </c>
      <c r="AB172" s="148">
        <f>IF(OR('Cleanup TMS'!BI172="",'Cleanup TMS'!BI172=0),"-",'Cleanup TMS'!BI172)</f>
        <v>1.2500000000000001E-2</v>
      </c>
      <c r="AC172" s="73">
        <f>'Cleanup TMS'!BS172</f>
        <v>29160</v>
      </c>
      <c r="AD172" s="73">
        <f t="shared" si="10"/>
        <v>23578</v>
      </c>
      <c r="AE172" s="74">
        <f>IF(OR('Cleanup TMS'!BU172=0,'Cleanup TMS'!BU172=""),"-",'Cleanup TMS'!BU172)</f>
        <v>0.81</v>
      </c>
      <c r="AF172" s="74" t="str">
        <f>IF(OR('Cleanup TMS'!BV172=0,'Cleanup TMS'!BV172=""),"-",'Cleanup TMS'!BV172)</f>
        <v>D</v>
      </c>
      <c r="AG172" s="73">
        <f>'Cleanup TMS'!CF172</f>
        <v>1467</v>
      </c>
      <c r="AH172" s="73">
        <f t="shared" si="11"/>
        <v>1079</v>
      </c>
      <c r="AI172" s="73">
        <f t="shared" si="12"/>
        <v>1192</v>
      </c>
      <c r="AJ172" s="71">
        <f>IF(OR('Cleanup TMS'!CI172=0,'Cleanup TMS'!CI172=""),"-",'Cleanup TMS'!CI172)</f>
        <v>0.81</v>
      </c>
      <c r="AK172" s="75" t="str">
        <f>IF(OR('Cleanup TMS'!CJ172=0,'Cleanup TMS'!CJ172=""),"-",'Cleanup TMS'!CJ172)</f>
        <v>D</v>
      </c>
    </row>
    <row r="173" spans="1:37" ht="18.75" customHeight="1">
      <c r="A173" s="69">
        <f>'Cleanup TMS'!A173</f>
        <v>6000010</v>
      </c>
      <c r="B173" s="70">
        <f>'Cleanup TMS'!B173</f>
        <v>153</v>
      </c>
      <c r="C173" s="70" t="str">
        <f>IF('Cleanup TMS'!E173="","",'Cleanup TMS'!E173)</f>
        <v/>
      </c>
      <c r="D173" s="70" t="str">
        <f>'Cleanup TMS'!F173</f>
        <v>SUMTER</v>
      </c>
      <c r="E173" s="70">
        <f>'Cleanup TMS'!G173</f>
        <v>35</v>
      </c>
      <c r="F173" s="71">
        <f>ROUND('Cleanup TMS'!H173,2)</f>
        <v>2.0699999999999998</v>
      </c>
      <c r="G173" s="72" t="str">
        <f>'Cleanup TMS'!I173</f>
        <v>BUENA VISTA BLVD</v>
      </c>
      <c r="H173" s="72" t="str">
        <f>'Cleanup TMS'!J173</f>
        <v>CR 44A</v>
      </c>
      <c r="I173" s="72" t="str">
        <f>'Cleanup TMS'!K173</f>
        <v>CR 466A</v>
      </c>
      <c r="J173" s="70">
        <f>'Cleanup TMS'!L173</f>
        <v>4</v>
      </c>
      <c r="K173" s="70">
        <v>4</v>
      </c>
      <c r="L173" s="70" t="s">
        <v>646</v>
      </c>
      <c r="M173" s="70" t="s">
        <v>649</v>
      </c>
      <c r="N173" s="152" t="s">
        <v>651</v>
      </c>
      <c r="O173" s="152" t="s">
        <v>547</v>
      </c>
      <c r="P173" s="70" t="str">
        <f>'Cleanup TMS'!V173</f>
        <v>COUNTY</v>
      </c>
      <c r="Q173" s="70" t="str">
        <f>'Cleanup TMS'!W173</f>
        <v>UNINCORPORATED SUMTER COUNTY</v>
      </c>
      <c r="R173" s="70" t="s">
        <v>5</v>
      </c>
      <c r="S173" s="73">
        <f>IF('Cleanup TMS'!AO173=0,"-",'Cleanup TMS'!AO173)</f>
        <v>29160</v>
      </c>
      <c r="T173" s="73">
        <f>'Cleanup TMS'!AP173</f>
        <v>6714</v>
      </c>
      <c r="U173" s="71">
        <f>IF(OR('Cleanup TMS'!AQ173=0,'Cleanup TMS'!AQ173=""),"-",'Cleanup TMS'!AQ173)</f>
        <v>0.23</v>
      </c>
      <c r="V173" s="71" t="str">
        <f>IF(OR('Cleanup TMS'!AR173=0,'Cleanup TMS'!AR173=""),"-",'Cleanup TMS'!AR173)</f>
        <v>C</v>
      </c>
      <c r="W173" s="73">
        <f>IF('Cleanup TMS'!BB173=0,"-",'Cleanup TMS'!BB173)</f>
        <v>1467</v>
      </c>
      <c r="X173" s="73">
        <f>'Cleanup TMS'!BC173</f>
        <v>258</v>
      </c>
      <c r="Y173" s="73">
        <f>'Cleanup TMS'!BD173</f>
        <v>338</v>
      </c>
      <c r="Z173" s="74">
        <f>IF(OR('Cleanup TMS'!BE173=0,'Cleanup TMS'!BE173=""),"-",'Cleanup TMS'!BE173)</f>
        <v>0.23</v>
      </c>
      <c r="AA173" s="74" t="str">
        <f>IF(OR('Cleanup TMS'!BF173=0,'Cleanup TMS'!BF173=""),"-",'Cleanup TMS'!BF173)</f>
        <v>C</v>
      </c>
      <c r="AB173" s="148">
        <f>IF(OR('Cleanup TMS'!BI173="",'Cleanup TMS'!BI173=0),"-",'Cleanup TMS'!BI173)</f>
        <v>7.4999999999999997E-2</v>
      </c>
      <c r="AC173" s="73">
        <f>'Cleanup TMS'!BS173</f>
        <v>29160</v>
      </c>
      <c r="AD173" s="73">
        <f t="shared" si="10"/>
        <v>9639</v>
      </c>
      <c r="AE173" s="74">
        <f>IF(OR('Cleanup TMS'!BU173=0,'Cleanup TMS'!BU173=""),"-",'Cleanup TMS'!BU173)</f>
        <v>0.33</v>
      </c>
      <c r="AF173" s="74" t="str">
        <f>IF(OR('Cleanup TMS'!BV173=0,'Cleanup TMS'!BV173=""),"-",'Cleanup TMS'!BV173)</f>
        <v>C</v>
      </c>
      <c r="AG173" s="73">
        <f>'Cleanup TMS'!CF173</f>
        <v>1467</v>
      </c>
      <c r="AH173" s="73">
        <f t="shared" si="11"/>
        <v>370</v>
      </c>
      <c r="AI173" s="73">
        <f t="shared" si="12"/>
        <v>485</v>
      </c>
      <c r="AJ173" s="71">
        <f>IF(OR('Cleanup TMS'!CI173=0,'Cleanup TMS'!CI173=""),"-",'Cleanup TMS'!CI173)</f>
        <v>0.33</v>
      </c>
      <c r="AK173" s="75" t="str">
        <f>IF(OR('Cleanup TMS'!CJ173=0,'Cleanup TMS'!CJ173=""),"-",'Cleanup TMS'!CJ173)</f>
        <v>C</v>
      </c>
    </row>
    <row r="174" spans="1:37" ht="18.75" customHeight="1">
      <c r="A174" s="69">
        <f>'Cleanup TMS'!A174</f>
        <v>6000015</v>
      </c>
      <c r="B174" s="70">
        <f>'Cleanup TMS'!B174</f>
        <v>152</v>
      </c>
      <c r="C174" s="70" t="str">
        <f>IF('Cleanup TMS'!E174="","",'Cleanup TMS'!E174)</f>
        <v/>
      </c>
      <c r="D174" s="70" t="str">
        <f>'Cleanup TMS'!F174</f>
        <v>SUMTER</v>
      </c>
      <c r="E174" s="70">
        <f>'Cleanup TMS'!G174</f>
        <v>35</v>
      </c>
      <c r="F174" s="71">
        <f>ROUND('Cleanup TMS'!H174,2)</f>
        <v>0.43</v>
      </c>
      <c r="G174" s="72" t="str">
        <f>'Cleanup TMS'!I174</f>
        <v>BUENA VISTA BLVD</v>
      </c>
      <c r="H174" s="72" t="str">
        <f>'Cleanup TMS'!J174</f>
        <v>SR 44</v>
      </c>
      <c r="I174" s="72" t="str">
        <f>'Cleanup TMS'!K174</f>
        <v>CR 44A</v>
      </c>
      <c r="J174" s="70">
        <f>'Cleanup TMS'!L174</f>
        <v>4</v>
      </c>
      <c r="K174" s="70">
        <v>4</v>
      </c>
      <c r="L174" s="70" t="s">
        <v>646</v>
      </c>
      <c r="M174" s="70" t="s">
        <v>649</v>
      </c>
      <c r="N174" s="152" t="s">
        <v>651</v>
      </c>
      <c r="O174" s="152" t="s">
        <v>547</v>
      </c>
      <c r="P174" s="70" t="str">
        <f>'Cleanup TMS'!V174</f>
        <v>COUNTY</v>
      </c>
      <c r="Q174" s="70" t="str">
        <f>'Cleanup TMS'!W174</f>
        <v>WILDWOOD</v>
      </c>
      <c r="R174" s="70" t="s">
        <v>5</v>
      </c>
      <c r="S174" s="73">
        <f>IF('Cleanup TMS'!AO174=0,"-",'Cleanup TMS'!AO174)</f>
        <v>29160</v>
      </c>
      <c r="T174" s="73">
        <f>'Cleanup TMS'!AP174</f>
        <v>13948</v>
      </c>
      <c r="U174" s="71">
        <f>IF(OR('Cleanup TMS'!AQ174=0,'Cleanup TMS'!AQ174=""),"-",'Cleanup TMS'!AQ174)</f>
        <v>0.48</v>
      </c>
      <c r="V174" s="71" t="str">
        <f>IF(OR('Cleanup TMS'!AR174=0,'Cleanup TMS'!AR174=""),"-",'Cleanup TMS'!AR174)</f>
        <v>D</v>
      </c>
      <c r="W174" s="73">
        <f>IF('Cleanup TMS'!BB174=0,"-",'Cleanup TMS'!BB174)</f>
        <v>1467</v>
      </c>
      <c r="X174" s="73">
        <f>'Cleanup TMS'!BC174</f>
        <v>724</v>
      </c>
      <c r="Y174" s="73">
        <f>'Cleanup TMS'!BD174</f>
        <v>706</v>
      </c>
      <c r="Z174" s="74">
        <f>IF(OR('Cleanup TMS'!BE174=0,'Cleanup TMS'!BE174=""),"-",'Cleanup TMS'!BE174)</f>
        <v>0.49</v>
      </c>
      <c r="AA174" s="74" t="str">
        <f>IF(OR('Cleanup TMS'!BF174=0,'Cleanup TMS'!BF174=""),"-",'Cleanup TMS'!BF174)</f>
        <v>D</v>
      </c>
      <c r="AB174" s="148">
        <f>IF(OR('Cleanup TMS'!BI174="",'Cleanup TMS'!BI174=0),"-",'Cleanup TMS'!BI174)</f>
        <v>0.01</v>
      </c>
      <c r="AC174" s="73">
        <f>'Cleanup TMS'!BS174</f>
        <v>29160</v>
      </c>
      <c r="AD174" s="73">
        <f t="shared" si="10"/>
        <v>14659</v>
      </c>
      <c r="AE174" s="74">
        <f>IF(OR('Cleanup TMS'!BU174=0,'Cleanup TMS'!BU174=""),"-",'Cleanup TMS'!BU174)</f>
        <v>0.5</v>
      </c>
      <c r="AF174" s="74" t="str">
        <f>IF(OR('Cleanup TMS'!BV174=0,'Cleanup TMS'!BV174=""),"-",'Cleanup TMS'!BV174)</f>
        <v>D</v>
      </c>
      <c r="AG174" s="73">
        <f>'Cleanup TMS'!CF174</f>
        <v>1467</v>
      </c>
      <c r="AH174" s="73">
        <f t="shared" si="11"/>
        <v>761</v>
      </c>
      <c r="AI174" s="73">
        <f t="shared" si="12"/>
        <v>742</v>
      </c>
      <c r="AJ174" s="71">
        <f>IF(OR('Cleanup TMS'!CI174=0,'Cleanup TMS'!CI174=""),"-",'Cleanup TMS'!CI174)</f>
        <v>0.52</v>
      </c>
      <c r="AK174" s="75" t="str">
        <f>IF(OR('Cleanup TMS'!CJ174=0,'Cleanup TMS'!CJ174=""),"-",'Cleanup TMS'!CJ174)</f>
        <v>D</v>
      </c>
    </row>
    <row r="175" spans="1:37" ht="18.75" customHeight="1">
      <c r="A175" s="69">
        <f>'Cleanup TMS'!A175</f>
        <v>6000020</v>
      </c>
      <c r="B175" s="70">
        <f>'Cleanup TMS'!B175</f>
        <v>0</v>
      </c>
      <c r="C175" s="70" t="str">
        <f>IF('Cleanup TMS'!E175="","",'Cleanup TMS'!E175)</f>
        <v/>
      </c>
      <c r="D175" s="70" t="str">
        <f>'Cleanup TMS'!F175</f>
        <v>NO COUNT</v>
      </c>
      <c r="E175" s="70">
        <f>'Cleanup TMS'!G175</f>
        <v>30</v>
      </c>
      <c r="F175" s="71">
        <f>ROUND('Cleanup TMS'!H175,2)</f>
        <v>0.09</v>
      </c>
      <c r="G175" s="72" t="str">
        <f>'Cleanup TMS'!I175</f>
        <v>MARIPOSA WAY</v>
      </c>
      <c r="H175" s="72" t="str">
        <f>'Cleanup TMS'!J175</f>
        <v>CR 466E</v>
      </c>
      <c r="I175" s="72" t="str">
        <f>'Cleanup TMS'!K175</f>
        <v>500 FT SOUTH MARIPOSA WAY</v>
      </c>
      <c r="J175" s="70">
        <f>'Cleanup TMS'!L175</f>
        <v>2</v>
      </c>
      <c r="K175" s="70">
        <v>2</v>
      </c>
      <c r="L175" s="70" t="s">
        <v>646</v>
      </c>
      <c r="M175" s="70" t="s">
        <v>648</v>
      </c>
      <c r="N175" s="152" t="s">
        <v>651</v>
      </c>
      <c r="O175" s="152" t="s">
        <v>547</v>
      </c>
      <c r="P175" s="70" t="str">
        <f>'Cleanup TMS'!V175</f>
        <v>COUNTY</v>
      </c>
      <c r="Q175" s="70" t="str">
        <f>'Cleanup TMS'!W175</f>
        <v>UNINCORPORATED SUMTER COUNTY</v>
      </c>
      <c r="R175" s="70" t="s">
        <v>5</v>
      </c>
      <c r="S175" s="73">
        <f>IF('Cleanup TMS'!AO175=0,"-",'Cleanup TMS'!AO175)</f>
        <v>13320</v>
      </c>
      <c r="T175" s="73" t="str">
        <f>'Cleanup TMS'!AP175</f>
        <v>-</v>
      </c>
      <c r="U175" s="71" t="str">
        <f>IF(OR('Cleanup TMS'!AQ175=0,'Cleanup TMS'!AQ175=""),"-",'Cleanup TMS'!AQ175)</f>
        <v>-</v>
      </c>
      <c r="V175" s="71" t="str">
        <f>IF(OR('Cleanup TMS'!AR175=0,'Cleanup TMS'!AR175=""),"-",'Cleanup TMS'!AR175)</f>
        <v>-</v>
      </c>
      <c r="W175" s="73">
        <f>IF('Cleanup TMS'!BB175=0,"-",'Cleanup TMS'!BB175)</f>
        <v>675</v>
      </c>
      <c r="X175" s="73" t="str">
        <f>'Cleanup TMS'!BC175</f>
        <v>-</v>
      </c>
      <c r="Y175" s="73" t="str">
        <f>'Cleanup TMS'!BD175</f>
        <v>-</v>
      </c>
      <c r="Z175" s="74" t="str">
        <f>IF(OR('Cleanup TMS'!BE175=0,'Cleanup TMS'!BE175=""),"-",'Cleanup TMS'!BE175)</f>
        <v>-</v>
      </c>
      <c r="AA175" s="74" t="str">
        <f>IF(OR('Cleanup TMS'!BF175=0,'Cleanup TMS'!BF175=""),"-",'Cleanup TMS'!BF175)</f>
        <v>-</v>
      </c>
      <c r="AB175" s="148" t="str">
        <f>IF(OR('Cleanup TMS'!BI175="",'Cleanup TMS'!BI175=0),"-",'Cleanup TMS'!BI175)</f>
        <v>-</v>
      </c>
      <c r="AC175" s="73">
        <f>'Cleanup TMS'!BS175</f>
        <v>13320</v>
      </c>
      <c r="AD175" s="73" t="str">
        <f t="shared" si="10"/>
        <v>-</v>
      </c>
      <c r="AE175" s="74" t="str">
        <f>IF(OR('Cleanup TMS'!BU175=0,'Cleanup TMS'!BU175=""),"-",'Cleanup TMS'!BU175)</f>
        <v>-</v>
      </c>
      <c r="AF175" s="74" t="str">
        <f>IF(OR('Cleanup TMS'!BV175=0,'Cleanup TMS'!BV175=""),"-",'Cleanup TMS'!BV175)</f>
        <v>-</v>
      </c>
      <c r="AG175" s="73">
        <f>'Cleanup TMS'!CF175</f>
        <v>675</v>
      </c>
      <c r="AH175" s="73" t="str">
        <f t="shared" si="11"/>
        <v>-</v>
      </c>
      <c r="AI175" s="73" t="str">
        <f t="shared" si="12"/>
        <v>-</v>
      </c>
      <c r="AJ175" s="71" t="str">
        <f>IF(OR('Cleanup TMS'!CI175=0,'Cleanup TMS'!CI175=""),"-",'Cleanup TMS'!CI175)</f>
        <v>-</v>
      </c>
      <c r="AK175" s="75" t="str">
        <f>IF(OR('Cleanup TMS'!CJ175=0,'Cleanup TMS'!CJ175=""),"-",'Cleanup TMS'!CJ175)</f>
        <v>-</v>
      </c>
    </row>
    <row r="176" spans="1:37" ht="18.75" customHeight="1">
      <c r="A176" s="69">
        <f>'Cleanup TMS'!A176</f>
        <v>6000030</v>
      </c>
      <c r="B176" s="70">
        <f>'Cleanup TMS'!B176</f>
        <v>6</v>
      </c>
      <c r="C176" s="70" t="str">
        <f>IF('Cleanup TMS'!E176="","",'Cleanup TMS'!E176)</f>
        <v/>
      </c>
      <c r="D176" s="70" t="str">
        <f>'Cleanup TMS'!F176</f>
        <v>SUMTER</v>
      </c>
      <c r="E176" s="70">
        <f>'Cleanup TMS'!G176</f>
        <v>30</v>
      </c>
      <c r="F176" s="71">
        <f>ROUND('Cleanup TMS'!H176,2)</f>
        <v>0.36</v>
      </c>
      <c r="G176" s="72" t="str">
        <f>'Cleanup TMS'!I176</f>
        <v>BELVEDERE BLVD</v>
      </c>
      <c r="H176" s="72" t="str">
        <f>'Cleanup TMS'!J176</f>
        <v>CR 466E</v>
      </c>
      <c r="I176" s="72" t="str">
        <f>'Cleanup TMS'!K176</f>
        <v>CHURCHILL DOWNS</v>
      </c>
      <c r="J176" s="70">
        <f>'Cleanup TMS'!L176</f>
        <v>2</v>
      </c>
      <c r="K176" s="70">
        <v>2</v>
      </c>
      <c r="L176" s="70" t="s">
        <v>646</v>
      </c>
      <c r="M176" s="70" t="s">
        <v>648</v>
      </c>
      <c r="N176" s="152" t="s">
        <v>651</v>
      </c>
      <c r="O176" s="152" t="s">
        <v>547</v>
      </c>
      <c r="P176" s="70" t="str">
        <f>'Cleanup TMS'!V176</f>
        <v>COUNTY</v>
      </c>
      <c r="Q176" s="70" t="str">
        <f>'Cleanup TMS'!W176</f>
        <v>UNINCORPORATED SUMTER COUNTY</v>
      </c>
      <c r="R176" s="70" t="s">
        <v>5</v>
      </c>
      <c r="S176" s="73">
        <f>IF('Cleanup TMS'!AO176=0,"-",'Cleanup TMS'!AO176)</f>
        <v>13320</v>
      </c>
      <c r="T176" s="73">
        <f>'Cleanup TMS'!AP176</f>
        <v>9830</v>
      </c>
      <c r="U176" s="71">
        <f>IF(OR('Cleanup TMS'!AQ176=0,'Cleanup TMS'!AQ176=""),"-",'Cleanup TMS'!AQ176)</f>
        <v>0.74</v>
      </c>
      <c r="V176" s="71" t="str">
        <f>IF(OR('Cleanup TMS'!AR176=0,'Cleanup TMS'!AR176=""),"-",'Cleanup TMS'!AR176)</f>
        <v>D</v>
      </c>
      <c r="W176" s="73">
        <f>IF('Cleanup TMS'!BB176=0,"-",'Cleanup TMS'!BB176)</f>
        <v>675</v>
      </c>
      <c r="X176" s="73">
        <f>'Cleanup TMS'!BC176</f>
        <v>531</v>
      </c>
      <c r="Y176" s="73">
        <f>'Cleanup TMS'!BD176</f>
        <v>530</v>
      </c>
      <c r="Z176" s="74">
        <f>IF(OR('Cleanup TMS'!BE176=0,'Cleanup TMS'!BE176=""),"-",'Cleanup TMS'!BE176)</f>
        <v>0.79</v>
      </c>
      <c r="AA176" s="74" t="str">
        <f>IF(OR('Cleanup TMS'!BF176=0,'Cleanup TMS'!BF176=""),"-",'Cleanup TMS'!BF176)</f>
        <v>D</v>
      </c>
      <c r="AB176" s="148">
        <f>IF(OR('Cleanup TMS'!BI176="",'Cleanup TMS'!BI176=0),"-",'Cleanup TMS'!BI176)</f>
        <v>0.01</v>
      </c>
      <c r="AC176" s="73">
        <f>'Cleanup TMS'!BS176</f>
        <v>13320</v>
      </c>
      <c r="AD176" s="73">
        <f t="shared" si="10"/>
        <v>10331</v>
      </c>
      <c r="AE176" s="74">
        <f>IF(OR('Cleanup TMS'!BU176=0,'Cleanup TMS'!BU176=""),"-",'Cleanup TMS'!BU176)</f>
        <v>0.78</v>
      </c>
      <c r="AF176" s="74" t="str">
        <f>IF(OR('Cleanup TMS'!BV176=0,'Cleanup TMS'!BV176=""),"-",'Cleanup TMS'!BV176)</f>
        <v>D</v>
      </c>
      <c r="AG176" s="73">
        <f>'Cleanup TMS'!CF176</f>
        <v>675</v>
      </c>
      <c r="AH176" s="73">
        <f t="shared" si="11"/>
        <v>558</v>
      </c>
      <c r="AI176" s="73">
        <f t="shared" si="12"/>
        <v>557</v>
      </c>
      <c r="AJ176" s="71">
        <f>IF(OR('Cleanup TMS'!CI176=0,'Cleanup TMS'!CI176=""),"-",'Cleanup TMS'!CI176)</f>
        <v>0.83</v>
      </c>
      <c r="AK176" s="75" t="str">
        <f>IF(OR('Cleanup TMS'!CJ176=0,'Cleanup TMS'!CJ176=""),"-",'Cleanup TMS'!CJ176)</f>
        <v>D</v>
      </c>
    </row>
    <row r="177" spans="1:37" ht="18.75" customHeight="1">
      <c r="A177" s="69">
        <f>'Cleanup TMS'!A177</f>
        <v>6000035</v>
      </c>
      <c r="B177" s="70">
        <f>'Cleanup TMS'!B177</f>
        <v>7</v>
      </c>
      <c r="C177" s="70" t="str">
        <f>IF('Cleanup TMS'!E177="","",'Cleanup TMS'!E177)</f>
        <v/>
      </c>
      <c r="D177" s="70" t="str">
        <f>'Cleanup TMS'!F177</f>
        <v>SUMTER</v>
      </c>
      <c r="E177" s="70">
        <f>'Cleanup TMS'!G177</f>
        <v>30</v>
      </c>
      <c r="F177" s="71">
        <f>ROUND('Cleanup TMS'!H177,2)</f>
        <v>1.33</v>
      </c>
      <c r="G177" s="72" t="str">
        <f>'Cleanup TMS'!I177</f>
        <v>BELVEDERE BLVD</v>
      </c>
      <c r="H177" s="72" t="str">
        <f>'Cleanup TMS'!J177</f>
        <v>CHURCHILL DOWNS</v>
      </c>
      <c r="I177" s="72" t="str">
        <f>'Cleanup TMS'!K177</f>
        <v>BUENA VISTA BLVD</v>
      </c>
      <c r="J177" s="70">
        <f>'Cleanup TMS'!L177</f>
        <v>2</v>
      </c>
      <c r="K177" s="70">
        <v>2</v>
      </c>
      <c r="L177" s="70" t="s">
        <v>646</v>
      </c>
      <c r="M177" s="70" t="s">
        <v>648</v>
      </c>
      <c r="N177" s="152" t="s">
        <v>651</v>
      </c>
      <c r="O177" s="152" t="s">
        <v>547</v>
      </c>
      <c r="P177" s="70" t="str">
        <f>'Cleanup TMS'!V177</f>
        <v>COUNTY</v>
      </c>
      <c r="Q177" s="70" t="str">
        <f>'Cleanup TMS'!W177</f>
        <v>UNINCORPORATED SUMTER COUNTY</v>
      </c>
      <c r="R177" s="70" t="s">
        <v>5</v>
      </c>
      <c r="S177" s="73">
        <f>IF('Cleanup TMS'!AO177=0,"-",'Cleanup TMS'!AO177)</f>
        <v>13320</v>
      </c>
      <c r="T177" s="73">
        <f>'Cleanup TMS'!AP177</f>
        <v>7685</v>
      </c>
      <c r="U177" s="71">
        <f>IF(OR('Cleanup TMS'!AQ177=0,'Cleanup TMS'!AQ177=""),"-",'Cleanup TMS'!AQ177)</f>
        <v>0.57999999999999996</v>
      </c>
      <c r="V177" s="71" t="str">
        <f>IF(OR('Cleanup TMS'!AR177=0,'Cleanup TMS'!AR177=""),"-",'Cleanup TMS'!AR177)</f>
        <v>D</v>
      </c>
      <c r="W177" s="73">
        <f>IF('Cleanup TMS'!BB177=0,"-",'Cleanup TMS'!BB177)</f>
        <v>675</v>
      </c>
      <c r="X177" s="73">
        <f>'Cleanup TMS'!BC177</f>
        <v>436</v>
      </c>
      <c r="Y177" s="73">
        <f>'Cleanup TMS'!BD177</f>
        <v>360</v>
      </c>
      <c r="Z177" s="74">
        <f>IF(OR('Cleanup TMS'!BE177=0,'Cleanup TMS'!BE177=""),"-",'Cleanup TMS'!BE177)</f>
        <v>0.65</v>
      </c>
      <c r="AA177" s="74" t="str">
        <f>IF(OR('Cleanup TMS'!BF177=0,'Cleanup TMS'!BF177=""),"-",'Cleanup TMS'!BF177)</f>
        <v>D</v>
      </c>
      <c r="AB177" s="148">
        <f>IF(OR('Cleanup TMS'!BI177="",'Cleanup TMS'!BI177=0),"-",'Cleanup TMS'!BI177)</f>
        <v>0.01</v>
      </c>
      <c r="AC177" s="73">
        <f>'Cleanup TMS'!BS177</f>
        <v>13320</v>
      </c>
      <c r="AD177" s="73">
        <f t="shared" si="10"/>
        <v>8077</v>
      </c>
      <c r="AE177" s="74">
        <f>IF(OR('Cleanup TMS'!BU177=0,'Cleanup TMS'!BU177=""),"-",'Cleanup TMS'!BU177)</f>
        <v>0.61</v>
      </c>
      <c r="AF177" s="74" t="str">
        <f>IF(OR('Cleanup TMS'!BV177=0,'Cleanup TMS'!BV177=""),"-",'Cleanup TMS'!BV177)</f>
        <v>D</v>
      </c>
      <c r="AG177" s="73">
        <f>'Cleanup TMS'!CF177</f>
        <v>675</v>
      </c>
      <c r="AH177" s="73">
        <f t="shared" si="11"/>
        <v>458</v>
      </c>
      <c r="AI177" s="73">
        <f t="shared" si="12"/>
        <v>378</v>
      </c>
      <c r="AJ177" s="71">
        <f>IF(OR('Cleanup TMS'!CI177=0,'Cleanup TMS'!CI177=""),"-",'Cleanup TMS'!CI177)</f>
        <v>0.68</v>
      </c>
      <c r="AK177" s="75" t="str">
        <f>IF(OR('Cleanup TMS'!CJ177=0,'Cleanup TMS'!CJ177=""),"-",'Cleanup TMS'!CJ177)</f>
        <v>D</v>
      </c>
    </row>
    <row r="178" spans="1:37" ht="18.75" customHeight="1">
      <c r="A178" s="69">
        <f>'Cleanup TMS'!A178</f>
        <v>6000045</v>
      </c>
      <c r="B178" s="70">
        <f>'Cleanup TMS'!B178</f>
        <v>9</v>
      </c>
      <c r="C178" s="70" t="str">
        <f>IF('Cleanup TMS'!E178="","",'Cleanup TMS'!E178)</f>
        <v/>
      </c>
      <c r="D178" s="70" t="str">
        <f>'Cleanup TMS'!F178</f>
        <v>SUMTER</v>
      </c>
      <c r="E178" s="70">
        <f>'Cleanup TMS'!G178</f>
        <v>20</v>
      </c>
      <c r="F178" s="71">
        <f>ROUND('Cleanup TMS'!H178,2)</f>
        <v>0.51</v>
      </c>
      <c r="G178" s="72" t="str">
        <f>'Cleanup TMS'!I178</f>
        <v>BONITA BLVD</v>
      </c>
      <c r="H178" s="72" t="str">
        <f>'Cleanup TMS'!J178</f>
        <v>CANAL ST</v>
      </c>
      <c r="I178" s="72" t="str">
        <f>'Cleanup TMS'!K178</f>
        <v>MORSE BLVD N</v>
      </c>
      <c r="J178" s="70">
        <f>'Cleanup TMS'!L178</f>
        <v>2</v>
      </c>
      <c r="K178" s="70">
        <v>2</v>
      </c>
      <c r="L178" s="70" t="s">
        <v>646</v>
      </c>
      <c r="M178" s="70" t="s">
        <v>648</v>
      </c>
      <c r="N178" s="152" t="s">
        <v>651</v>
      </c>
      <c r="O178" s="152" t="s">
        <v>547</v>
      </c>
      <c r="P178" s="70" t="str">
        <f>'Cleanup TMS'!V178</f>
        <v>COUNTY</v>
      </c>
      <c r="Q178" s="70" t="str">
        <f>'Cleanup TMS'!W178</f>
        <v>UNINCORPORATED SUMTER COUNTY</v>
      </c>
      <c r="R178" s="70" t="s">
        <v>5</v>
      </c>
      <c r="S178" s="73">
        <f>IF('Cleanup TMS'!AO178=0,"-",'Cleanup TMS'!AO178)</f>
        <v>13320</v>
      </c>
      <c r="T178" s="73">
        <f>'Cleanup TMS'!AP178</f>
        <v>5040</v>
      </c>
      <c r="U178" s="71">
        <f>IF(OR('Cleanup TMS'!AQ178=0,'Cleanup TMS'!AQ178=""),"-",'Cleanup TMS'!AQ178)</f>
        <v>0.38</v>
      </c>
      <c r="V178" s="71" t="str">
        <f>IF(OR('Cleanup TMS'!AR178=0,'Cleanup TMS'!AR178=""),"-",'Cleanup TMS'!AR178)</f>
        <v>C</v>
      </c>
      <c r="W178" s="73">
        <f>IF('Cleanup TMS'!BB178=0,"-",'Cleanup TMS'!BB178)</f>
        <v>675</v>
      </c>
      <c r="X178" s="73">
        <f>'Cleanup TMS'!BC178</f>
        <v>260</v>
      </c>
      <c r="Y178" s="73">
        <f>'Cleanup TMS'!BD178</f>
        <v>227</v>
      </c>
      <c r="Z178" s="74">
        <f>IF(OR('Cleanup TMS'!BE178=0,'Cleanup TMS'!BE178=""),"-",'Cleanup TMS'!BE178)</f>
        <v>0.39</v>
      </c>
      <c r="AA178" s="74" t="str">
        <f>IF(OR('Cleanup TMS'!BF178=0,'Cleanup TMS'!BF178=""),"-",'Cleanup TMS'!BF178)</f>
        <v>C</v>
      </c>
      <c r="AB178" s="148">
        <f>IF(OR('Cleanup TMS'!BI178="",'Cleanup TMS'!BI178=0),"-",'Cleanup TMS'!BI178)</f>
        <v>6.25E-2</v>
      </c>
      <c r="AC178" s="73">
        <f>'Cleanup TMS'!BS178</f>
        <v>13320</v>
      </c>
      <c r="AD178" s="73">
        <f t="shared" si="10"/>
        <v>6825</v>
      </c>
      <c r="AE178" s="74">
        <f>IF(OR('Cleanup TMS'!BU178=0,'Cleanup TMS'!BU178=""),"-",'Cleanup TMS'!BU178)</f>
        <v>0.51</v>
      </c>
      <c r="AF178" s="74" t="str">
        <f>IF(OR('Cleanup TMS'!BV178=0,'Cleanup TMS'!BV178=""),"-",'Cleanup TMS'!BV178)</f>
        <v>D</v>
      </c>
      <c r="AG178" s="73">
        <f>'Cleanup TMS'!CF178</f>
        <v>675</v>
      </c>
      <c r="AH178" s="73">
        <f t="shared" si="11"/>
        <v>352</v>
      </c>
      <c r="AI178" s="73">
        <f t="shared" si="12"/>
        <v>307</v>
      </c>
      <c r="AJ178" s="71">
        <f>IF(OR('Cleanup TMS'!CI178=0,'Cleanup TMS'!CI178=""),"-",'Cleanup TMS'!CI178)</f>
        <v>0.52</v>
      </c>
      <c r="AK178" s="75" t="str">
        <f>IF(OR('Cleanup TMS'!CJ178=0,'Cleanup TMS'!CJ178=""),"-",'Cleanup TMS'!CJ178)</f>
        <v>D</v>
      </c>
    </row>
    <row r="179" spans="1:37" ht="18.75" customHeight="1">
      <c r="A179" s="69">
        <f>'Cleanup TMS'!A179</f>
        <v>6000050</v>
      </c>
      <c r="B179" s="70">
        <f>'Cleanup TMS'!B179</f>
        <v>8</v>
      </c>
      <c r="C179" s="70" t="str">
        <f>IF('Cleanup TMS'!E179="","",'Cleanup TMS'!E179)</f>
        <v/>
      </c>
      <c r="D179" s="70" t="str">
        <f>'Cleanup TMS'!F179</f>
        <v>SUMTER</v>
      </c>
      <c r="E179" s="70">
        <f>'Cleanup TMS'!G179</f>
        <v>20</v>
      </c>
      <c r="F179" s="71">
        <f>ROUND('Cleanup TMS'!H179,2)</f>
        <v>0.52</v>
      </c>
      <c r="G179" s="72" t="str">
        <f>'Cleanup TMS'!I179</f>
        <v>BONITA BLVD</v>
      </c>
      <c r="H179" s="72" t="str">
        <f>'Cleanup TMS'!J179</f>
        <v>BUENA VISTA BLVD</v>
      </c>
      <c r="I179" s="72" t="str">
        <f>'Cleanup TMS'!K179</f>
        <v>CANAL ST</v>
      </c>
      <c r="J179" s="70">
        <f>'Cleanup TMS'!L179</f>
        <v>2</v>
      </c>
      <c r="K179" s="70">
        <v>2</v>
      </c>
      <c r="L179" s="70" t="s">
        <v>646</v>
      </c>
      <c r="M179" s="70" t="s">
        <v>648</v>
      </c>
      <c r="N179" s="152" t="s">
        <v>651</v>
      </c>
      <c r="O179" s="152" t="s">
        <v>547</v>
      </c>
      <c r="P179" s="70" t="str">
        <f>'Cleanup TMS'!V179</f>
        <v>COUNTY</v>
      </c>
      <c r="Q179" s="70" t="str">
        <f>'Cleanup TMS'!W179</f>
        <v>UNINCORPORATED SUMTER COUNTY</v>
      </c>
      <c r="R179" s="70" t="s">
        <v>5</v>
      </c>
      <c r="S179" s="73">
        <f>IF('Cleanup TMS'!AO179=0,"-",'Cleanup TMS'!AO179)</f>
        <v>13320</v>
      </c>
      <c r="T179" s="73">
        <f>'Cleanup TMS'!AP179</f>
        <v>4689</v>
      </c>
      <c r="U179" s="71">
        <f>IF(OR('Cleanup TMS'!AQ179=0,'Cleanup TMS'!AQ179=""),"-",'Cleanup TMS'!AQ179)</f>
        <v>0.35</v>
      </c>
      <c r="V179" s="71" t="str">
        <f>IF(OR('Cleanup TMS'!AR179=0,'Cleanup TMS'!AR179=""),"-",'Cleanup TMS'!AR179)</f>
        <v>C</v>
      </c>
      <c r="W179" s="73">
        <f>IF('Cleanup TMS'!BB179=0,"-",'Cleanup TMS'!BB179)</f>
        <v>675</v>
      </c>
      <c r="X179" s="73">
        <f>'Cleanup TMS'!BC179</f>
        <v>243</v>
      </c>
      <c r="Y179" s="73">
        <f>'Cleanup TMS'!BD179</f>
        <v>218</v>
      </c>
      <c r="Z179" s="74">
        <f>IF(OR('Cleanup TMS'!BE179=0,'Cleanup TMS'!BE179=""),"-",'Cleanup TMS'!BE179)</f>
        <v>0.36</v>
      </c>
      <c r="AA179" s="74" t="str">
        <f>IF(OR('Cleanup TMS'!BF179=0,'Cleanup TMS'!BF179=""),"-",'Cleanup TMS'!BF179)</f>
        <v>C</v>
      </c>
      <c r="AB179" s="148">
        <f>IF(OR('Cleanup TMS'!BI179="",'Cleanup TMS'!BI179=0),"-",'Cleanup TMS'!BI179)</f>
        <v>2.2499999999999999E-2</v>
      </c>
      <c r="AC179" s="73">
        <f>'Cleanup TMS'!BS179</f>
        <v>13320</v>
      </c>
      <c r="AD179" s="73">
        <f t="shared" si="10"/>
        <v>5241</v>
      </c>
      <c r="AE179" s="74">
        <f>IF(OR('Cleanup TMS'!BU179=0,'Cleanup TMS'!BU179=""),"-",'Cleanup TMS'!BU179)</f>
        <v>0.39</v>
      </c>
      <c r="AF179" s="74" t="str">
        <f>IF(OR('Cleanup TMS'!BV179=0,'Cleanup TMS'!BV179=""),"-",'Cleanup TMS'!BV179)</f>
        <v>C</v>
      </c>
      <c r="AG179" s="73">
        <f>'Cleanup TMS'!CF179</f>
        <v>675</v>
      </c>
      <c r="AH179" s="73">
        <f t="shared" si="11"/>
        <v>272</v>
      </c>
      <c r="AI179" s="73">
        <f t="shared" si="12"/>
        <v>244</v>
      </c>
      <c r="AJ179" s="71">
        <f>IF(OR('Cleanup TMS'!CI179=0,'Cleanup TMS'!CI179=""),"-",'Cleanup TMS'!CI179)</f>
        <v>0.4</v>
      </c>
      <c r="AK179" s="75" t="str">
        <f>IF(OR('Cleanup TMS'!CJ179=0,'Cleanup TMS'!CJ179=""),"-",'Cleanup TMS'!CJ179)</f>
        <v>C</v>
      </c>
    </row>
    <row r="180" spans="1:37" ht="18.75" customHeight="1">
      <c r="A180" s="69">
        <f>'Cleanup TMS'!A180</f>
        <v>6000055</v>
      </c>
      <c r="B180" s="70">
        <f>'Cleanup TMS'!B180</f>
        <v>87</v>
      </c>
      <c r="C180" s="70" t="str">
        <f>IF('Cleanup TMS'!E180="","",'Cleanup TMS'!E180)</f>
        <v/>
      </c>
      <c r="D180" s="70" t="str">
        <f>'Cleanup TMS'!F180</f>
        <v>SUMTER</v>
      </c>
      <c r="E180" s="70">
        <f>'Cleanup TMS'!G180</f>
        <v>25</v>
      </c>
      <c r="F180" s="71">
        <f>ROUND('Cleanup TMS'!H180,2)</f>
        <v>0.49</v>
      </c>
      <c r="G180" s="72" t="str">
        <f>'Cleanup TMS'!I180</f>
        <v>CANAL ST</v>
      </c>
      <c r="H180" s="72" t="str">
        <f>'Cleanup TMS'!J180</f>
        <v>CR 466A</v>
      </c>
      <c r="I180" s="72" t="str">
        <f>'Cleanup TMS'!K180</f>
        <v>ODELL CIR (S)</v>
      </c>
      <c r="J180" s="70">
        <f>'Cleanup TMS'!L180</f>
        <v>2</v>
      </c>
      <c r="K180" s="70">
        <v>2</v>
      </c>
      <c r="L180" s="70" t="s">
        <v>646</v>
      </c>
      <c r="M180" s="70" t="s">
        <v>648</v>
      </c>
      <c r="N180" s="152" t="s">
        <v>651</v>
      </c>
      <c r="O180" s="152" t="s">
        <v>547</v>
      </c>
      <c r="P180" s="70" t="str">
        <f>'Cleanup TMS'!V180</f>
        <v>COUNTY</v>
      </c>
      <c r="Q180" s="70" t="str">
        <f>'Cleanup TMS'!W180</f>
        <v>UNINCORPORATED SUMTER COUNTY</v>
      </c>
      <c r="R180" s="70" t="s">
        <v>5</v>
      </c>
      <c r="S180" s="73">
        <f>IF('Cleanup TMS'!AO180=0,"-",'Cleanup TMS'!AO180)</f>
        <v>13320</v>
      </c>
      <c r="T180" s="73">
        <f>'Cleanup TMS'!AP180</f>
        <v>4010</v>
      </c>
      <c r="U180" s="71">
        <f>IF(OR('Cleanup TMS'!AQ180=0,'Cleanup TMS'!AQ180=""),"-",'Cleanup TMS'!AQ180)</f>
        <v>0.3</v>
      </c>
      <c r="V180" s="71" t="str">
        <f>IF(OR('Cleanup TMS'!AR180=0,'Cleanup TMS'!AR180=""),"-",'Cleanup TMS'!AR180)</f>
        <v>C</v>
      </c>
      <c r="W180" s="73">
        <f>IF('Cleanup TMS'!BB180=0,"-",'Cleanup TMS'!BB180)</f>
        <v>675</v>
      </c>
      <c r="X180" s="73">
        <f>'Cleanup TMS'!BC180</f>
        <v>214</v>
      </c>
      <c r="Y180" s="73">
        <f>'Cleanup TMS'!BD180</f>
        <v>202</v>
      </c>
      <c r="Z180" s="74">
        <f>IF(OR('Cleanup TMS'!BE180=0,'Cleanup TMS'!BE180=""),"-",'Cleanup TMS'!BE180)</f>
        <v>0.32</v>
      </c>
      <c r="AA180" s="74" t="str">
        <f>IF(OR('Cleanup TMS'!BF180=0,'Cleanup TMS'!BF180=""),"-",'Cleanup TMS'!BF180)</f>
        <v>C</v>
      </c>
      <c r="AB180" s="148">
        <f>IF(OR('Cleanup TMS'!BI180="",'Cleanup TMS'!BI180=0),"-",'Cleanup TMS'!BI180)</f>
        <v>0.01</v>
      </c>
      <c r="AC180" s="73">
        <f>'Cleanup TMS'!BS180</f>
        <v>13320</v>
      </c>
      <c r="AD180" s="73">
        <f t="shared" si="10"/>
        <v>4215</v>
      </c>
      <c r="AE180" s="74">
        <f>IF(OR('Cleanup TMS'!BU180=0,'Cleanup TMS'!BU180=""),"-",'Cleanup TMS'!BU180)</f>
        <v>0.32</v>
      </c>
      <c r="AF180" s="74" t="str">
        <f>IF(OR('Cleanup TMS'!BV180=0,'Cleanup TMS'!BV180=""),"-",'Cleanup TMS'!BV180)</f>
        <v>C</v>
      </c>
      <c r="AG180" s="73">
        <f>'Cleanup TMS'!CF180</f>
        <v>675</v>
      </c>
      <c r="AH180" s="73">
        <f t="shared" si="11"/>
        <v>225</v>
      </c>
      <c r="AI180" s="73">
        <f t="shared" si="12"/>
        <v>212</v>
      </c>
      <c r="AJ180" s="71">
        <f>IF(OR('Cleanup TMS'!CI180=0,'Cleanup TMS'!CI180=""),"-",'Cleanup TMS'!CI180)</f>
        <v>0.33</v>
      </c>
      <c r="AK180" s="75" t="str">
        <f>IF(OR('Cleanup TMS'!CJ180=0,'Cleanup TMS'!CJ180=""),"-",'Cleanup TMS'!CJ180)</f>
        <v>C</v>
      </c>
    </row>
    <row r="181" spans="1:37" ht="18.75" customHeight="1">
      <c r="A181" s="69">
        <f>'Cleanup TMS'!A181</f>
        <v>6000060</v>
      </c>
      <c r="B181" s="70">
        <f>'Cleanup TMS'!B181</f>
        <v>86</v>
      </c>
      <c r="C181" s="70" t="str">
        <f>IF('Cleanup TMS'!E181="","",'Cleanup TMS'!E181)</f>
        <v/>
      </c>
      <c r="D181" s="70" t="str">
        <f>'Cleanup TMS'!F181</f>
        <v>SUMTER</v>
      </c>
      <c r="E181" s="70">
        <f>'Cleanup TMS'!G181</f>
        <v>20</v>
      </c>
      <c r="F181" s="71">
        <f>ROUND('Cleanup TMS'!H181,2)</f>
        <v>0.63</v>
      </c>
      <c r="G181" s="72" t="str">
        <f>'Cleanup TMS'!I181</f>
        <v>CANAL ST</v>
      </c>
      <c r="H181" s="72" t="str">
        <f>'Cleanup TMS'!J181</f>
        <v>ODELL CIR S</v>
      </c>
      <c r="I181" s="72" t="str">
        <f>'Cleanup TMS'!K181</f>
        <v>BONITA BLVD</v>
      </c>
      <c r="J181" s="70">
        <f>'Cleanup TMS'!L181</f>
        <v>2</v>
      </c>
      <c r="K181" s="70">
        <v>2</v>
      </c>
      <c r="L181" s="70" t="s">
        <v>646</v>
      </c>
      <c r="M181" s="70" t="s">
        <v>648</v>
      </c>
      <c r="N181" s="152" t="s">
        <v>651</v>
      </c>
      <c r="O181" s="152" t="s">
        <v>547</v>
      </c>
      <c r="P181" s="70" t="str">
        <f>'Cleanup TMS'!V181</f>
        <v>COUNTY</v>
      </c>
      <c r="Q181" s="70" t="str">
        <f>'Cleanup TMS'!W181</f>
        <v>UNINCORPORATED SUMTER COUNTY</v>
      </c>
      <c r="R181" s="70" t="s">
        <v>5</v>
      </c>
      <c r="S181" s="73">
        <f>IF('Cleanup TMS'!AO181=0,"-",'Cleanup TMS'!AO181)</f>
        <v>13320</v>
      </c>
      <c r="T181" s="73">
        <f>'Cleanup TMS'!AP181</f>
        <v>4881</v>
      </c>
      <c r="U181" s="71">
        <f>IF(OR('Cleanup TMS'!AQ181=0,'Cleanup TMS'!AQ181=""),"-",'Cleanup TMS'!AQ181)</f>
        <v>0.37</v>
      </c>
      <c r="V181" s="71" t="str">
        <f>IF(OR('Cleanup TMS'!AR181=0,'Cleanup TMS'!AR181=""),"-",'Cleanup TMS'!AR181)</f>
        <v>C</v>
      </c>
      <c r="W181" s="73">
        <f>IF('Cleanup TMS'!BB181=0,"-",'Cleanup TMS'!BB181)</f>
        <v>675</v>
      </c>
      <c r="X181" s="73">
        <f>'Cleanup TMS'!BC181</f>
        <v>235</v>
      </c>
      <c r="Y181" s="73">
        <f>'Cleanup TMS'!BD181</f>
        <v>233</v>
      </c>
      <c r="Z181" s="74">
        <f>IF(OR('Cleanup TMS'!BE181=0,'Cleanup TMS'!BE181=""),"-",'Cleanup TMS'!BE181)</f>
        <v>0.35</v>
      </c>
      <c r="AA181" s="74" t="str">
        <f>IF(OR('Cleanup TMS'!BF181=0,'Cleanup TMS'!BF181=""),"-",'Cleanup TMS'!BF181)</f>
        <v>C</v>
      </c>
      <c r="AB181" s="148">
        <f>IF(OR('Cleanup TMS'!BI181="",'Cleanup TMS'!BI181=0),"-",'Cleanup TMS'!BI181)</f>
        <v>0.01</v>
      </c>
      <c r="AC181" s="73">
        <f>'Cleanup TMS'!BS181</f>
        <v>13320</v>
      </c>
      <c r="AD181" s="73">
        <f t="shared" si="10"/>
        <v>5130</v>
      </c>
      <c r="AE181" s="74">
        <f>IF(OR('Cleanup TMS'!BU181=0,'Cleanup TMS'!BU181=""),"-",'Cleanup TMS'!BU181)</f>
        <v>0.39</v>
      </c>
      <c r="AF181" s="74" t="str">
        <f>IF(OR('Cleanup TMS'!BV181=0,'Cleanup TMS'!BV181=""),"-",'Cleanup TMS'!BV181)</f>
        <v>C</v>
      </c>
      <c r="AG181" s="73">
        <f>'Cleanup TMS'!CF181</f>
        <v>675</v>
      </c>
      <c r="AH181" s="73">
        <f t="shared" si="11"/>
        <v>247</v>
      </c>
      <c r="AI181" s="73">
        <f t="shared" si="12"/>
        <v>245</v>
      </c>
      <c r="AJ181" s="71">
        <f>IF(OR('Cleanup TMS'!CI181=0,'Cleanup TMS'!CI181=""),"-",'Cleanup TMS'!CI181)</f>
        <v>0.37</v>
      </c>
      <c r="AK181" s="75" t="str">
        <f>IF(OR('Cleanup TMS'!CJ181=0,'Cleanup TMS'!CJ181=""),"-",'Cleanup TMS'!CJ181)</f>
        <v>C</v>
      </c>
    </row>
    <row r="182" spans="1:37" ht="18.75" customHeight="1">
      <c r="A182" s="69">
        <f>'Cleanup TMS'!A182</f>
        <v>6000065</v>
      </c>
      <c r="B182" s="70">
        <f>'Cleanup TMS'!B182</f>
        <v>85</v>
      </c>
      <c r="C182" s="70" t="str">
        <f>IF('Cleanup TMS'!E182="","",'Cleanup TMS'!E182)</f>
        <v/>
      </c>
      <c r="D182" s="70" t="str">
        <f>'Cleanup TMS'!F182</f>
        <v>SUMTER</v>
      </c>
      <c r="E182" s="70">
        <f>'Cleanup TMS'!G182</f>
        <v>30</v>
      </c>
      <c r="F182" s="71">
        <f>ROUND('Cleanup TMS'!H182,2)</f>
        <v>0.97</v>
      </c>
      <c r="G182" s="72" t="str">
        <f>'Cleanup TMS'!I182</f>
        <v>CANAL ST</v>
      </c>
      <c r="H182" s="72" t="str">
        <f>'Cleanup TMS'!J182</f>
        <v>BONITA BLVD</v>
      </c>
      <c r="I182" s="72" t="str">
        <f>'Cleanup TMS'!K182</f>
        <v>ODELL CIR (N)</v>
      </c>
      <c r="J182" s="70">
        <f>'Cleanup TMS'!L182</f>
        <v>2</v>
      </c>
      <c r="K182" s="70">
        <v>2</v>
      </c>
      <c r="L182" s="70" t="s">
        <v>646</v>
      </c>
      <c r="M182" s="70" t="s">
        <v>648</v>
      </c>
      <c r="N182" s="152" t="s">
        <v>651</v>
      </c>
      <c r="O182" s="152" t="s">
        <v>547</v>
      </c>
      <c r="P182" s="70" t="str">
        <f>'Cleanup TMS'!V182</f>
        <v>COUNTY</v>
      </c>
      <c r="Q182" s="70" t="str">
        <f>'Cleanup TMS'!W182</f>
        <v>UNINCORPORATED SUMTER COUNTY</v>
      </c>
      <c r="R182" s="70" t="s">
        <v>5</v>
      </c>
      <c r="S182" s="73">
        <f>IF('Cleanup TMS'!AO182=0,"-",'Cleanup TMS'!AO182)</f>
        <v>13320</v>
      </c>
      <c r="T182" s="73">
        <f>'Cleanup TMS'!AP182</f>
        <v>6251</v>
      </c>
      <c r="U182" s="71">
        <f>IF(OR('Cleanup TMS'!AQ182=0,'Cleanup TMS'!AQ182=""),"-",'Cleanup TMS'!AQ182)</f>
        <v>0.47</v>
      </c>
      <c r="V182" s="71" t="str">
        <f>IF(OR('Cleanup TMS'!AR182=0,'Cleanup TMS'!AR182=""),"-",'Cleanup TMS'!AR182)</f>
        <v>C</v>
      </c>
      <c r="W182" s="73">
        <f>IF('Cleanup TMS'!BB182=0,"-",'Cleanup TMS'!BB182)</f>
        <v>675</v>
      </c>
      <c r="X182" s="73">
        <f>'Cleanup TMS'!BC182</f>
        <v>287</v>
      </c>
      <c r="Y182" s="73">
        <f>'Cleanup TMS'!BD182</f>
        <v>332</v>
      </c>
      <c r="Z182" s="74">
        <f>IF(OR('Cleanup TMS'!BE182=0,'Cleanup TMS'!BE182=""),"-",'Cleanup TMS'!BE182)</f>
        <v>0.49</v>
      </c>
      <c r="AA182" s="74" t="str">
        <f>IF(OR('Cleanup TMS'!BF182=0,'Cleanup TMS'!BF182=""),"-",'Cleanup TMS'!BF182)</f>
        <v>C</v>
      </c>
      <c r="AB182" s="148">
        <f>IF(OR('Cleanup TMS'!BI182="",'Cleanup TMS'!BI182=0),"-",'Cleanup TMS'!BI182)</f>
        <v>1.4999999999999999E-2</v>
      </c>
      <c r="AC182" s="73">
        <f>'Cleanup TMS'!BS182</f>
        <v>13320</v>
      </c>
      <c r="AD182" s="73">
        <f t="shared" si="10"/>
        <v>6734</v>
      </c>
      <c r="AE182" s="74">
        <f>IF(OR('Cleanup TMS'!BU182=0,'Cleanup TMS'!BU182=""),"-",'Cleanup TMS'!BU182)</f>
        <v>0.51</v>
      </c>
      <c r="AF182" s="74" t="str">
        <f>IF(OR('Cleanup TMS'!BV182=0,'Cleanup TMS'!BV182=""),"-",'Cleanup TMS'!BV182)</f>
        <v>D</v>
      </c>
      <c r="AG182" s="73">
        <f>'Cleanup TMS'!CF182</f>
        <v>675</v>
      </c>
      <c r="AH182" s="73">
        <f t="shared" si="11"/>
        <v>309</v>
      </c>
      <c r="AI182" s="73">
        <f t="shared" si="12"/>
        <v>358</v>
      </c>
      <c r="AJ182" s="71">
        <f>IF(OR('Cleanup TMS'!CI182=0,'Cleanup TMS'!CI182=""),"-",'Cleanup TMS'!CI182)</f>
        <v>0.53</v>
      </c>
      <c r="AK182" s="75" t="str">
        <f>IF(OR('Cleanup TMS'!CJ182=0,'Cleanup TMS'!CJ182=""),"-",'Cleanup TMS'!CJ182)</f>
        <v>D</v>
      </c>
    </row>
    <row r="183" spans="1:37" ht="18.75" customHeight="1">
      <c r="A183" s="69">
        <f>'Cleanup TMS'!A183</f>
        <v>6000070</v>
      </c>
      <c r="B183" s="70" t="str">
        <f>'Cleanup TMS'!B183</f>
        <v>2020-198</v>
      </c>
      <c r="C183" s="70" t="str">
        <f>IF('Cleanup TMS'!E183="","",'Cleanup TMS'!E183)</f>
        <v/>
      </c>
      <c r="D183" s="70" t="str">
        <f>'Cleanup TMS'!F183</f>
        <v>SUMTER</v>
      </c>
      <c r="E183" s="70">
        <f>'Cleanup TMS'!G183</f>
        <v>35</v>
      </c>
      <c r="F183" s="71">
        <f>ROUND('Cleanup TMS'!H183,2)</f>
        <v>0.76</v>
      </c>
      <c r="G183" s="72" t="str">
        <f>'Cleanup TMS'!I183</f>
        <v>CANAL ST</v>
      </c>
      <c r="H183" s="72" t="str">
        <f>'Cleanup TMS'!J183</f>
        <v>ODELL CIR N</v>
      </c>
      <c r="I183" s="72" t="str">
        <f>'Cleanup TMS'!K183</f>
        <v>STILLWATER TRL</v>
      </c>
      <c r="J183" s="70">
        <f>'Cleanup TMS'!L183</f>
        <v>2</v>
      </c>
      <c r="K183" s="70">
        <v>2</v>
      </c>
      <c r="L183" s="70" t="s">
        <v>646</v>
      </c>
      <c r="M183" s="70" t="s">
        <v>648</v>
      </c>
      <c r="N183" s="152" t="s">
        <v>651</v>
      </c>
      <c r="O183" s="152" t="s">
        <v>547</v>
      </c>
      <c r="P183" s="70" t="str">
        <f>'Cleanup TMS'!V183</f>
        <v>COUNTY</v>
      </c>
      <c r="Q183" s="70" t="str">
        <f>'Cleanup TMS'!W183</f>
        <v>UNINCORPORATED SUMTER COUNTY</v>
      </c>
      <c r="R183" s="70" t="s">
        <v>5</v>
      </c>
      <c r="S183" s="73">
        <f>IF('Cleanup TMS'!AO183=0,"-",'Cleanup TMS'!AO183)</f>
        <v>13320</v>
      </c>
      <c r="T183" s="73">
        <f>'Cleanup TMS'!AP183</f>
        <v>5804.0800000000163</v>
      </c>
      <c r="U183" s="71">
        <f>IF(OR('Cleanup TMS'!AQ183=0,'Cleanup TMS'!AQ183=""),"-",'Cleanup TMS'!AQ183)</f>
        <v>0.44</v>
      </c>
      <c r="V183" s="71" t="str">
        <f>IF(OR('Cleanup TMS'!AR183=0,'Cleanup TMS'!AR183=""),"-",'Cleanup TMS'!AR183)</f>
        <v>C</v>
      </c>
      <c r="W183" s="73">
        <f>IF('Cleanup TMS'!BB183=0,"-",'Cleanup TMS'!BB183)</f>
        <v>675</v>
      </c>
      <c r="X183" s="73">
        <f>'Cleanup TMS'!BC183</f>
        <v>258</v>
      </c>
      <c r="Y183" s="73">
        <f>'Cleanup TMS'!BD183</f>
        <v>274</v>
      </c>
      <c r="Z183" s="74">
        <f>IF(OR('Cleanup TMS'!BE183=0,'Cleanup TMS'!BE183=""),"-",'Cleanup TMS'!BE183)</f>
        <v>0.41</v>
      </c>
      <c r="AA183" s="74" t="str">
        <f>IF(OR('Cleanup TMS'!BF183=0,'Cleanup TMS'!BF183=""),"-",'Cleanup TMS'!BF183)</f>
        <v>C</v>
      </c>
      <c r="AB183" s="148">
        <f>IF(OR('Cleanup TMS'!BI183="",'Cleanup TMS'!BI183=0),"-",'Cleanup TMS'!BI183)</f>
        <v>2.5000000000000001E-2</v>
      </c>
      <c r="AC183" s="73">
        <f>'Cleanup TMS'!BS183</f>
        <v>13320</v>
      </c>
      <c r="AD183" s="73">
        <f t="shared" si="10"/>
        <v>6567</v>
      </c>
      <c r="AE183" s="74">
        <f>IF(OR('Cleanup TMS'!BU183=0,'Cleanup TMS'!BU183=""),"-",'Cleanup TMS'!BU183)</f>
        <v>0.49</v>
      </c>
      <c r="AF183" s="74" t="str">
        <f>IF(OR('Cleanup TMS'!BV183=0,'Cleanup TMS'!BV183=""),"-",'Cleanup TMS'!BV183)</f>
        <v>C</v>
      </c>
      <c r="AG183" s="73">
        <f>'Cleanup TMS'!CF183</f>
        <v>675</v>
      </c>
      <c r="AH183" s="73">
        <f t="shared" si="11"/>
        <v>292</v>
      </c>
      <c r="AI183" s="73">
        <f t="shared" si="12"/>
        <v>310</v>
      </c>
      <c r="AJ183" s="71">
        <f>IF(OR('Cleanup TMS'!CI183=0,'Cleanup TMS'!CI183=""),"-",'Cleanup TMS'!CI183)</f>
        <v>0.46</v>
      </c>
      <c r="AK183" s="75" t="str">
        <f>IF(OR('Cleanup TMS'!CJ183=0,'Cleanup TMS'!CJ183=""),"-",'Cleanup TMS'!CJ183)</f>
        <v>C</v>
      </c>
    </row>
    <row r="184" spans="1:37" ht="18.75" customHeight="1">
      <c r="A184" s="69">
        <f>'Cleanup TMS'!A184</f>
        <v>6000080</v>
      </c>
      <c r="B184" s="70">
        <f>'Cleanup TMS'!B184</f>
        <v>0</v>
      </c>
      <c r="C184" s="70" t="str">
        <f>IF('Cleanup TMS'!E184="","",'Cleanup TMS'!E184)</f>
        <v/>
      </c>
      <c r="D184" s="70" t="str">
        <f>'Cleanup TMS'!F184</f>
        <v>NO COUNT</v>
      </c>
      <c r="E184" s="70">
        <f>'Cleanup TMS'!G184</f>
        <v>25</v>
      </c>
      <c r="F184" s="71">
        <f>ROUND('Cleanup TMS'!H184,2)</f>
        <v>0.62</v>
      </c>
      <c r="G184" s="72" t="str">
        <f>'Cleanup TMS'!I184</f>
        <v>CHURCHILL DOWNS</v>
      </c>
      <c r="H184" s="72" t="str">
        <f>'Cleanup TMS'!J184</f>
        <v>BELEVEDERE BLVD</v>
      </c>
      <c r="I184" s="72" t="str">
        <f>'Cleanup TMS'!K184</f>
        <v>MORVEN PARKWAY</v>
      </c>
      <c r="J184" s="70">
        <f>'Cleanup TMS'!L184</f>
        <v>2</v>
      </c>
      <c r="K184" s="70">
        <v>2</v>
      </c>
      <c r="L184" s="70" t="s">
        <v>646</v>
      </c>
      <c r="M184" s="70" t="s">
        <v>648</v>
      </c>
      <c r="N184" s="152" t="s">
        <v>651</v>
      </c>
      <c r="O184" s="152" t="s">
        <v>547</v>
      </c>
      <c r="P184" s="70" t="str">
        <f>'Cleanup TMS'!V184</f>
        <v>COUNTY</v>
      </c>
      <c r="Q184" s="70" t="str">
        <f>'Cleanup TMS'!W184</f>
        <v>UNINCORPORATED SUMTER COUNTY</v>
      </c>
      <c r="R184" s="70" t="s">
        <v>5</v>
      </c>
      <c r="S184" s="73">
        <f>IF('Cleanup TMS'!AO184=0,"-",'Cleanup TMS'!AO184)</f>
        <v>13320</v>
      </c>
      <c r="T184" s="73" t="str">
        <f>'Cleanup TMS'!AP184</f>
        <v>-</v>
      </c>
      <c r="U184" s="71" t="str">
        <f>IF(OR('Cleanup TMS'!AQ184=0,'Cleanup TMS'!AQ184=""),"-",'Cleanup TMS'!AQ184)</f>
        <v>-</v>
      </c>
      <c r="V184" s="71" t="str">
        <f>IF(OR('Cleanup TMS'!AR184=0,'Cleanup TMS'!AR184=""),"-",'Cleanup TMS'!AR184)</f>
        <v>-</v>
      </c>
      <c r="W184" s="73">
        <f>IF('Cleanup TMS'!BB184=0,"-",'Cleanup TMS'!BB184)</f>
        <v>675</v>
      </c>
      <c r="X184" s="73" t="str">
        <f>'Cleanup TMS'!BC184</f>
        <v>-</v>
      </c>
      <c r="Y184" s="73" t="str">
        <f>'Cleanup TMS'!BD184</f>
        <v>-</v>
      </c>
      <c r="Z184" s="74" t="str">
        <f>IF(OR('Cleanup TMS'!BE184=0,'Cleanup TMS'!BE184=""),"-",'Cleanup TMS'!BE184)</f>
        <v>-</v>
      </c>
      <c r="AA184" s="74" t="str">
        <f>IF(OR('Cleanup TMS'!BF184=0,'Cleanup TMS'!BF184=""),"-",'Cleanup TMS'!BF184)</f>
        <v>-</v>
      </c>
      <c r="AB184" s="148" t="str">
        <f>IF(OR('Cleanup TMS'!BI184="",'Cleanup TMS'!BI184=0),"-",'Cleanup TMS'!BI184)</f>
        <v>-</v>
      </c>
      <c r="AC184" s="73">
        <f>'Cleanup TMS'!BS184</f>
        <v>13320</v>
      </c>
      <c r="AD184" s="73" t="str">
        <f t="shared" si="10"/>
        <v>-</v>
      </c>
      <c r="AE184" s="74" t="str">
        <f>IF(OR('Cleanup TMS'!BU184=0,'Cleanup TMS'!BU184=""),"-",'Cleanup TMS'!BU184)</f>
        <v>-</v>
      </c>
      <c r="AF184" s="74" t="str">
        <f>IF(OR('Cleanup TMS'!BV184=0,'Cleanup TMS'!BV184=""),"-",'Cleanup TMS'!BV184)</f>
        <v>-</v>
      </c>
      <c r="AG184" s="73">
        <f>'Cleanup TMS'!CF184</f>
        <v>675</v>
      </c>
      <c r="AH184" s="73" t="str">
        <f t="shared" si="11"/>
        <v>-</v>
      </c>
      <c r="AI184" s="73" t="str">
        <f t="shared" si="12"/>
        <v>-</v>
      </c>
      <c r="AJ184" s="71" t="str">
        <f>IF(OR('Cleanup TMS'!CI184=0,'Cleanup TMS'!CI184=""),"-",'Cleanup TMS'!CI184)</f>
        <v>-</v>
      </c>
      <c r="AK184" s="75" t="str">
        <f>IF(OR('Cleanup TMS'!CJ184=0,'Cleanup TMS'!CJ184=""),"-",'Cleanup TMS'!CJ184)</f>
        <v>-</v>
      </c>
    </row>
    <row r="185" spans="1:37" ht="18.75" customHeight="1">
      <c r="A185" s="69">
        <f>'Cleanup TMS'!A185</f>
        <v>6000085</v>
      </c>
      <c r="B185" s="70">
        <f>'Cleanup TMS'!B185</f>
        <v>89</v>
      </c>
      <c r="C185" s="70" t="str">
        <f>IF('Cleanup TMS'!E185="","",'Cleanup TMS'!E185)</f>
        <v/>
      </c>
      <c r="D185" s="70" t="str">
        <f>'Cleanup TMS'!F185</f>
        <v>SUMTER</v>
      </c>
      <c r="E185" s="70">
        <f>'Cleanup TMS'!G185</f>
        <v>35</v>
      </c>
      <c r="F185" s="71">
        <f>ROUND('Cleanup TMS'!H185,2)</f>
        <v>2</v>
      </c>
      <c r="G185" s="72" t="str">
        <f>'Cleanup TMS'!I185</f>
        <v>NE 90TH ST (CR 100)</v>
      </c>
      <c r="H185" s="72" t="str">
        <f>'Cleanup TMS'!J185</f>
        <v>TERMINUS (LAKE ELLA RD)</v>
      </c>
      <c r="I185" s="72" t="str">
        <f>'Cleanup TMS'!K185</f>
        <v>CR 466</v>
      </c>
      <c r="J185" s="70">
        <f>'Cleanup TMS'!L185</f>
        <v>2</v>
      </c>
      <c r="K185" s="70">
        <v>2</v>
      </c>
      <c r="L185" s="70" t="s">
        <v>646</v>
      </c>
      <c r="M185" s="70" t="s">
        <v>648</v>
      </c>
      <c r="N185" s="152" t="s">
        <v>651</v>
      </c>
      <c r="O185" s="152" t="s">
        <v>547</v>
      </c>
      <c r="P185" s="70" t="str">
        <f>'Cleanup TMS'!V185</f>
        <v>COUNTY</v>
      </c>
      <c r="Q185" s="70" t="str">
        <f>'Cleanup TMS'!W185</f>
        <v>UNINCORPORATED SUMTER COUNTY</v>
      </c>
      <c r="R185" s="70" t="s">
        <v>5</v>
      </c>
      <c r="S185" s="73">
        <f>IF('Cleanup TMS'!AO185=0,"-",'Cleanup TMS'!AO185)</f>
        <v>10360</v>
      </c>
      <c r="T185" s="73">
        <f>'Cleanup TMS'!AP185</f>
        <v>3362</v>
      </c>
      <c r="U185" s="71">
        <f>IF(OR('Cleanup TMS'!AQ185=0,'Cleanup TMS'!AQ185=""),"-",'Cleanup TMS'!AQ185)</f>
        <v>0.32</v>
      </c>
      <c r="V185" s="71" t="str">
        <f>IF(OR('Cleanup TMS'!AR185=0,'Cleanup TMS'!AR185=""),"-",'Cleanup TMS'!AR185)</f>
        <v>C</v>
      </c>
      <c r="W185" s="73">
        <f>IF('Cleanup TMS'!BB185=0,"-",'Cleanup TMS'!BB185)</f>
        <v>525</v>
      </c>
      <c r="X185" s="73">
        <f>'Cleanup TMS'!BC185</f>
        <v>137</v>
      </c>
      <c r="Y185" s="73">
        <f>'Cleanup TMS'!BD185</f>
        <v>162</v>
      </c>
      <c r="Z185" s="74">
        <f>IF(OR('Cleanup TMS'!BE185=0,'Cleanup TMS'!BE185=""),"-",'Cleanup TMS'!BE185)</f>
        <v>0.31</v>
      </c>
      <c r="AA185" s="74" t="str">
        <f>IF(OR('Cleanup TMS'!BF185=0,'Cleanup TMS'!BF185=""),"-",'Cleanup TMS'!BF185)</f>
        <v>C</v>
      </c>
      <c r="AB185" s="148">
        <f>IF(OR('Cleanup TMS'!BI185="",'Cleanup TMS'!BI185=0),"-",'Cleanup TMS'!BI185)</f>
        <v>7.2499999999999995E-2</v>
      </c>
      <c r="AC185" s="73">
        <f>'Cleanup TMS'!BS185</f>
        <v>10360</v>
      </c>
      <c r="AD185" s="73">
        <f t="shared" si="10"/>
        <v>4771</v>
      </c>
      <c r="AE185" s="74">
        <f>IF(OR('Cleanup TMS'!BU185=0,'Cleanup TMS'!BU185=""),"-",'Cleanup TMS'!BU185)</f>
        <v>0.46</v>
      </c>
      <c r="AF185" s="74" t="str">
        <f>IF(OR('Cleanup TMS'!BV185=0,'Cleanup TMS'!BV185=""),"-",'Cleanup TMS'!BV185)</f>
        <v>C</v>
      </c>
      <c r="AG185" s="73">
        <f>'Cleanup TMS'!CF185</f>
        <v>525</v>
      </c>
      <c r="AH185" s="73">
        <f t="shared" si="11"/>
        <v>194</v>
      </c>
      <c r="AI185" s="73">
        <f t="shared" si="12"/>
        <v>230</v>
      </c>
      <c r="AJ185" s="71">
        <f>IF(OR('Cleanup TMS'!CI185=0,'Cleanup TMS'!CI185=""),"-",'Cleanup TMS'!CI185)</f>
        <v>0.44</v>
      </c>
      <c r="AK185" s="75" t="str">
        <f>IF(OR('Cleanup TMS'!CJ185=0,'Cleanup TMS'!CJ185=""),"-",'Cleanup TMS'!CJ185)</f>
        <v>C</v>
      </c>
    </row>
    <row r="186" spans="1:37" ht="18.75" customHeight="1">
      <c r="A186" s="69">
        <f>'Cleanup TMS'!A186</f>
        <v>6000090</v>
      </c>
      <c r="B186" s="70">
        <f>'Cleanup TMS'!B186</f>
        <v>188040</v>
      </c>
      <c r="C186" s="70">
        <f>IF('Cleanup TMS'!E186="","",'Cleanup TMS'!E186)</f>
        <v>188040</v>
      </c>
      <c r="D186" s="70" t="str">
        <f>'Cleanup TMS'!F186</f>
        <v>FDOT</v>
      </c>
      <c r="E186" s="70">
        <f>'Cleanup TMS'!G186</f>
        <v>35</v>
      </c>
      <c r="F186" s="71">
        <f>ROUND('Cleanup TMS'!H186,2)</f>
        <v>0.23</v>
      </c>
      <c r="G186" s="72" t="str">
        <f>'Cleanup TMS'!I186</f>
        <v>LYNNHAVEN LN</v>
      </c>
      <c r="H186" s="72" t="str">
        <f>'Cleanup TMS'!J186</f>
        <v>CR 472</v>
      </c>
      <c r="I186" s="72" t="str">
        <f>'Cleanup TMS'!K186</f>
        <v>CHURCHILL DOWNS</v>
      </c>
      <c r="J186" s="70">
        <f>'Cleanup TMS'!L186</f>
        <v>2</v>
      </c>
      <c r="K186" s="70">
        <v>2</v>
      </c>
      <c r="L186" s="70" t="s">
        <v>646</v>
      </c>
      <c r="M186" s="70" t="s">
        <v>648</v>
      </c>
      <c r="N186" s="152" t="s">
        <v>651</v>
      </c>
      <c r="O186" s="152" t="s">
        <v>547</v>
      </c>
      <c r="P186" s="70" t="str">
        <f>'Cleanup TMS'!V186</f>
        <v>COUNTY</v>
      </c>
      <c r="Q186" s="70" t="str">
        <f>'Cleanup TMS'!W186</f>
        <v>UNINCORPORATED SUMTER COUNTY</v>
      </c>
      <c r="R186" s="70" t="s">
        <v>5</v>
      </c>
      <c r="S186" s="73">
        <f>IF('Cleanup TMS'!AO186=0,"-",'Cleanup TMS'!AO186)</f>
        <v>13320</v>
      </c>
      <c r="T186" s="73">
        <f>'Cleanup TMS'!AP186</f>
        <v>1920</v>
      </c>
      <c r="U186" s="71">
        <f>IF(OR('Cleanup TMS'!AQ186=0,'Cleanup TMS'!AQ186=""),"-",'Cleanup TMS'!AQ186)</f>
        <v>0.14000000000000001</v>
      </c>
      <c r="V186" s="71" t="str">
        <f>IF(OR('Cleanup TMS'!AR186=0,'Cleanup TMS'!AR186=""),"-",'Cleanup TMS'!AR186)</f>
        <v>C</v>
      </c>
      <c r="W186" s="73">
        <f>IF('Cleanup TMS'!BB186=0,"-",'Cleanup TMS'!BB186)</f>
        <v>675</v>
      </c>
      <c r="X186" s="73">
        <f>'Cleanup TMS'!BC186</f>
        <v>164</v>
      </c>
      <c r="Y186" s="73">
        <f>'Cleanup TMS'!BD186</f>
        <v>149</v>
      </c>
      <c r="Z186" s="74">
        <f>IF(OR('Cleanup TMS'!BE186=0,'Cleanup TMS'!BE186=""),"-",'Cleanup TMS'!BE186)</f>
        <v>0.24</v>
      </c>
      <c r="AA186" s="74" t="str">
        <f>IF(OR('Cleanup TMS'!BF186=0,'Cleanup TMS'!BF186=""),"-",'Cleanup TMS'!BF186)</f>
        <v>C</v>
      </c>
      <c r="AB186" s="148">
        <f>IF(OR('Cleanup TMS'!BI186="",'Cleanup TMS'!BI186=0),"-",'Cleanup TMS'!BI186)</f>
        <v>0.01</v>
      </c>
      <c r="AC186" s="73">
        <f>'Cleanup TMS'!BS186</f>
        <v>13320</v>
      </c>
      <c r="AD186" s="73">
        <f t="shared" si="10"/>
        <v>2018</v>
      </c>
      <c r="AE186" s="74">
        <f>IF(OR('Cleanup TMS'!BU186=0,'Cleanup TMS'!BU186=""),"-",'Cleanup TMS'!BU186)</f>
        <v>0.15</v>
      </c>
      <c r="AF186" s="74" t="str">
        <f>IF(OR('Cleanup TMS'!BV186=0,'Cleanup TMS'!BV186=""),"-",'Cleanup TMS'!BV186)</f>
        <v>C</v>
      </c>
      <c r="AG186" s="73">
        <f>'Cleanup TMS'!CF186</f>
        <v>675</v>
      </c>
      <c r="AH186" s="73">
        <f t="shared" si="11"/>
        <v>172</v>
      </c>
      <c r="AI186" s="73">
        <f t="shared" si="12"/>
        <v>157</v>
      </c>
      <c r="AJ186" s="71">
        <f>IF(OR('Cleanup TMS'!CI186=0,'Cleanup TMS'!CI186=""),"-",'Cleanup TMS'!CI186)</f>
        <v>0.25</v>
      </c>
      <c r="AK186" s="75" t="str">
        <f>IF(OR('Cleanup TMS'!CJ186=0,'Cleanup TMS'!CJ186=""),"-",'Cleanup TMS'!CJ186)</f>
        <v>C</v>
      </c>
    </row>
    <row r="187" spans="1:37" ht="18.75" customHeight="1">
      <c r="A187" s="69">
        <f>'Cleanup TMS'!A187</f>
        <v>6000095</v>
      </c>
      <c r="B187" s="70">
        <f>'Cleanup TMS'!B187</f>
        <v>0</v>
      </c>
      <c r="C187" s="70" t="str">
        <f>IF('Cleanup TMS'!E187="","",'Cleanup TMS'!E187)</f>
        <v/>
      </c>
      <c r="D187" s="70" t="str">
        <f>'Cleanup TMS'!F187</f>
        <v>NO COUNT</v>
      </c>
      <c r="E187" s="70">
        <f>'Cleanup TMS'!G187</f>
        <v>35</v>
      </c>
      <c r="F187" s="71">
        <f>ROUND('Cleanup TMS'!H187,2)</f>
        <v>0.3</v>
      </c>
      <c r="G187" s="72" t="str">
        <f>'Cleanup TMS'!I187</f>
        <v>LYNNHAVEN LN</v>
      </c>
      <c r="H187" s="72" t="str">
        <f>'Cleanup TMS'!J187</f>
        <v>CHURCHILL DOWNS</v>
      </c>
      <c r="I187" s="72" t="str">
        <f>'Cleanup TMS'!K187</f>
        <v>BELVEDERE BLVD</v>
      </c>
      <c r="J187" s="70">
        <f>'Cleanup TMS'!L187</f>
        <v>2</v>
      </c>
      <c r="K187" s="70">
        <v>2</v>
      </c>
      <c r="L187" s="70" t="s">
        <v>646</v>
      </c>
      <c r="M187" s="70" t="s">
        <v>648</v>
      </c>
      <c r="N187" s="152" t="s">
        <v>651</v>
      </c>
      <c r="O187" s="152" t="s">
        <v>547</v>
      </c>
      <c r="P187" s="70" t="str">
        <f>'Cleanup TMS'!V187</f>
        <v>COUNTY</v>
      </c>
      <c r="Q187" s="70" t="str">
        <f>'Cleanup TMS'!W187</f>
        <v>UNINCORPORATED SUMTER COUNTY</v>
      </c>
      <c r="R187" s="70" t="s">
        <v>5</v>
      </c>
      <c r="S187" s="73">
        <f>IF('Cleanup TMS'!AO187=0,"-",'Cleanup TMS'!AO187)</f>
        <v>13320</v>
      </c>
      <c r="T187" s="73" t="str">
        <f>'Cleanup TMS'!AP187</f>
        <v>-</v>
      </c>
      <c r="U187" s="71" t="str">
        <f>IF(OR('Cleanup TMS'!AQ187=0,'Cleanup TMS'!AQ187=""),"-",'Cleanup TMS'!AQ187)</f>
        <v>-</v>
      </c>
      <c r="V187" s="71" t="str">
        <f>IF(OR('Cleanup TMS'!AR187=0,'Cleanup TMS'!AR187=""),"-",'Cleanup TMS'!AR187)</f>
        <v>-</v>
      </c>
      <c r="W187" s="73">
        <f>IF('Cleanup TMS'!BB187=0,"-",'Cleanup TMS'!BB187)</f>
        <v>675</v>
      </c>
      <c r="X187" s="73" t="str">
        <f>'Cleanup TMS'!BC187</f>
        <v>-</v>
      </c>
      <c r="Y187" s="73" t="str">
        <f>'Cleanup TMS'!BD187</f>
        <v>-</v>
      </c>
      <c r="Z187" s="74" t="str">
        <f>IF(OR('Cleanup TMS'!BE187=0,'Cleanup TMS'!BE187=""),"-",'Cleanup TMS'!BE187)</f>
        <v>-</v>
      </c>
      <c r="AA187" s="74" t="str">
        <f>IF(OR('Cleanup TMS'!BF187=0,'Cleanup TMS'!BF187=""),"-",'Cleanup TMS'!BF187)</f>
        <v>-</v>
      </c>
      <c r="AB187" s="148" t="str">
        <f>IF(OR('Cleanup TMS'!BI187="",'Cleanup TMS'!BI187=0),"-",'Cleanup TMS'!BI187)</f>
        <v>-</v>
      </c>
      <c r="AC187" s="73">
        <f>'Cleanup TMS'!BS187</f>
        <v>13320</v>
      </c>
      <c r="AD187" s="73" t="str">
        <f t="shared" si="10"/>
        <v>-</v>
      </c>
      <c r="AE187" s="74" t="str">
        <f>IF(OR('Cleanup TMS'!BU187=0,'Cleanup TMS'!BU187=""),"-",'Cleanup TMS'!BU187)</f>
        <v>-</v>
      </c>
      <c r="AF187" s="74" t="str">
        <f>IF(OR('Cleanup TMS'!BV187=0,'Cleanup TMS'!BV187=""),"-",'Cleanup TMS'!BV187)</f>
        <v>-</v>
      </c>
      <c r="AG187" s="73">
        <f>'Cleanup TMS'!CF187</f>
        <v>675</v>
      </c>
      <c r="AH187" s="73" t="str">
        <f t="shared" si="11"/>
        <v>-</v>
      </c>
      <c r="AI187" s="73" t="str">
        <f t="shared" si="12"/>
        <v>-</v>
      </c>
      <c r="AJ187" s="71" t="str">
        <f>IF(OR('Cleanup TMS'!CI187=0,'Cleanup TMS'!CI187=""),"-",'Cleanup TMS'!CI187)</f>
        <v>-</v>
      </c>
      <c r="AK187" s="75" t="str">
        <f>IF(OR('Cleanup TMS'!CJ187=0,'Cleanup TMS'!CJ187=""),"-",'Cleanup TMS'!CJ187)</f>
        <v>-</v>
      </c>
    </row>
    <row r="188" spans="1:37" ht="18.75" customHeight="1">
      <c r="A188" s="69">
        <f>'Cleanup TMS'!A188</f>
        <v>6000100</v>
      </c>
      <c r="B188" s="70">
        <f>'Cleanup TMS'!B188</f>
        <v>145</v>
      </c>
      <c r="C188" s="70" t="str">
        <f>IF('Cleanup TMS'!E188="","",'Cleanup TMS'!E188)</f>
        <v/>
      </c>
      <c r="D188" s="70" t="str">
        <f>'Cleanup TMS'!F188</f>
        <v>SUMTER</v>
      </c>
      <c r="E188" s="70">
        <f>'Cleanup TMS'!G188</f>
        <v>25</v>
      </c>
      <c r="F188" s="71">
        <f>ROUND('Cleanup TMS'!H188,2)</f>
        <v>0.44</v>
      </c>
      <c r="G188" s="72" t="str">
        <f>'Cleanup TMS'!I188</f>
        <v>ODELL CIR</v>
      </c>
      <c r="H188" s="72" t="str">
        <f>'Cleanup TMS'!J188</f>
        <v>BUENA VISTA BLVD S</v>
      </c>
      <c r="I188" s="72" t="str">
        <f>'Cleanup TMS'!K188</f>
        <v>BACKWATER WAY</v>
      </c>
      <c r="J188" s="70">
        <f>'Cleanup TMS'!L188</f>
        <v>2</v>
      </c>
      <c r="K188" s="70">
        <v>2</v>
      </c>
      <c r="L188" s="70" t="s">
        <v>646</v>
      </c>
      <c r="M188" s="70" t="s">
        <v>648</v>
      </c>
      <c r="N188" s="152" t="s">
        <v>651</v>
      </c>
      <c r="O188" s="152" t="s">
        <v>547</v>
      </c>
      <c r="P188" s="70" t="str">
        <f>'Cleanup TMS'!V188</f>
        <v>COUNTY</v>
      </c>
      <c r="Q188" s="70" t="str">
        <f>'Cleanup TMS'!W188</f>
        <v>UNINCORPORATED SUMTER COUNTY</v>
      </c>
      <c r="R188" s="70" t="s">
        <v>5</v>
      </c>
      <c r="S188" s="73">
        <f>IF('Cleanup TMS'!AO188=0,"-",'Cleanup TMS'!AO188)</f>
        <v>13320</v>
      </c>
      <c r="T188" s="73">
        <f>'Cleanup TMS'!AP188</f>
        <v>6500</v>
      </c>
      <c r="U188" s="71">
        <f>IF(OR('Cleanup TMS'!AQ188=0,'Cleanup TMS'!AQ188=""),"-",'Cleanup TMS'!AQ188)</f>
        <v>0.49</v>
      </c>
      <c r="V188" s="71" t="str">
        <f>IF(OR('Cleanup TMS'!AR188=0,'Cleanup TMS'!AR188=""),"-",'Cleanup TMS'!AR188)</f>
        <v>C</v>
      </c>
      <c r="W188" s="73">
        <f>IF('Cleanup TMS'!BB188=0,"-",'Cleanup TMS'!BB188)</f>
        <v>675</v>
      </c>
      <c r="X188" s="73">
        <f>'Cleanup TMS'!BC188</f>
        <v>296</v>
      </c>
      <c r="Y188" s="73">
        <f>'Cleanup TMS'!BD188</f>
        <v>396</v>
      </c>
      <c r="Z188" s="74">
        <f>IF(OR('Cleanup TMS'!BE188=0,'Cleanup TMS'!BE188=""),"-",'Cleanup TMS'!BE188)</f>
        <v>0.59</v>
      </c>
      <c r="AA188" s="74" t="str">
        <f>IF(OR('Cleanup TMS'!BF188=0,'Cleanup TMS'!BF188=""),"-",'Cleanup TMS'!BF188)</f>
        <v>D</v>
      </c>
      <c r="AB188" s="148">
        <f>IF(OR('Cleanup TMS'!BI188="",'Cleanup TMS'!BI188=0),"-",'Cleanup TMS'!BI188)</f>
        <v>0.01</v>
      </c>
      <c r="AC188" s="73">
        <f>'Cleanup TMS'!BS188</f>
        <v>13320</v>
      </c>
      <c r="AD188" s="73">
        <f t="shared" si="10"/>
        <v>6832</v>
      </c>
      <c r="AE188" s="74">
        <f>IF(OR('Cleanup TMS'!BU188=0,'Cleanup TMS'!BU188=""),"-",'Cleanup TMS'!BU188)</f>
        <v>0.51</v>
      </c>
      <c r="AF188" s="74" t="str">
        <f>IF(OR('Cleanup TMS'!BV188=0,'Cleanup TMS'!BV188=""),"-",'Cleanup TMS'!BV188)</f>
        <v>D</v>
      </c>
      <c r="AG188" s="73">
        <f>'Cleanup TMS'!CF188</f>
        <v>675</v>
      </c>
      <c r="AH188" s="73">
        <f t="shared" si="11"/>
        <v>311</v>
      </c>
      <c r="AI188" s="73">
        <f t="shared" si="12"/>
        <v>416</v>
      </c>
      <c r="AJ188" s="71">
        <f>IF(OR('Cleanup TMS'!CI188=0,'Cleanup TMS'!CI188=""),"-",'Cleanup TMS'!CI188)</f>
        <v>0.62</v>
      </c>
      <c r="AK188" s="75" t="str">
        <f>IF(OR('Cleanup TMS'!CJ188=0,'Cleanup TMS'!CJ188=""),"-",'Cleanup TMS'!CJ188)</f>
        <v>D</v>
      </c>
    </row>
    <row r="189" spans="1:37" ht="18.75" customHeight="1">
      <c r="A189" s="69">
        <f>'Cleanup TMS'!A189</f>
        <v>6000105</v>
      </c>
      <c r="B189" s="70">
        <f>'Cleanup TMS'!B189</f>
        <v>143</v>
      </c>
      <c r="C189" s="70" t="str">
        <f>IF('Cleanup TMS'!E189="","",'Cleanup TMS'!E189)</f>
        <v/>
      </c>
      <c r="D189" s="70" t="str">
        <f>'Cleanup TMS'!F189</f>
        <v>SUMTER</v>
      </c>
      <c r="E189" s="70">
        <f>'Cleanup TMS'!G189</f>
        <v>35</v>
      </c>
      <c r="F189" s="71">
        <f>ROUND('Cleanup TMS'!H189,2)</f>
        <v>0.38</v>
      </c>
      <c r="G189" s="72" t="str">
        <f>'Cleanup TMS'!I189</f>
        <v>ODELL CIR</v>
      </c>
      <c r="H189" s="72" t="str">
        <f>'Cleanup TMS'!J189</f>
        <v>CANAL ST S</v>
      </c>
      <c r="I189" s="72" t="str">
        <f>'Cleanup TMS'!K189</f>
        <v>ARVIN LN</v>
      </c>
      <c r="J189" s="70">
        <f>'Cleanup TMS'!L189</f>
        <v>2</v>
      </c>
      <c r="K189" s="70">
        <v>2</v>
      </c>
      <c r="L189" s="70" t="s">
        <v>646</v>
      </c>
      <c r="M189" s="70" t="s">
        <v>648</v>
      </c>
      <c r="N189" s="152" t="s">
        <v>651</v>
      </c>
      <c r="O189" s="152" t="s">
        <v>547</v>
      </c>
      <c r="P189" s="70" t="str">
        <f>'Cleanup TMS'!V189</f>
        <v>COUNTY</v>
      </c>
      <c r="Q189" s="70" t="str">
        <f>'Cleanup TMS'!W189</f>
        <v>UNINCORPORATED SUMTER COUNTY</v>
      </c>
      <c r="R189" s="70" t="s">
        <v>5</v>
      </c>
      <c r="S189" s="73">
        <f>IF('Cleanup TMS'!AO189=0,"-",'Cleanup TMS'!AO189)</f>
        <v>13320</v>
      </c>
      <c r="T189" s="73">
        <f>'Cleanup TMS'!AP189</f>
        <v>7015</v>
      </c>
      <c r="U189" s="71">
        <f>IF(OR('Cleanup TMS'!AQ189=0,'Cleanup TMS'!AQ189=""),"-",'Cleanup TMS'!AQ189)</f>
        <v>0.53</v>
      </c>
      <c r="V189" s="71" t="str">
        <f>IF(OR('Cleanup TMS'!AR189=0,'Cleanup TMS'!AR189=""),"-",'Cleanup TMS'!AR189)</f>
        <v>D</v>
      </c>
      <c r="W189" s="73">
        <f>IF('Cleanup TMS'!BB189=0,"-",'Cleanup TMS'!BB189)</f>
        <v>675</v>
      </c>
      <c r="X189" s="73">
        <f>'Cleanup TMS'!BC189</f>
        <v>379</v>
      </c>
      <c r="Y189" s="73">
        <f>'Cleanup TMS'!BD189</f>
        <v>366</v>
      </c>
      <c r="Z189" s="74">
        <f>IF(OR('Cleanup TMS'!BE189=0,'Cleanup TMS'!BE189=""),"-",'Cleanup TMS'!BE189)</f>
        <v>0.56000000000000005</v>
      </c>
      <c r="AA189" s="74" t="str">
        <f>IF(OR('Cleanup TMS'!BF189=0,'Cleanup TMS'!BF189=""),"-",'Cleanup TMS'!BF189)</f>
        <v>D</v>
      </c>
      <c r="AB189" s="148">
        <f>IF(OR('Cleanup TMS'!BI189="",'Cleanup TMS'!BI189=0),"-",'Cleanup TMS'!BI189)</f>
        <v>0.01</v>
      </c>
      <c r="AC189" s="73">
        <f>'Cleanup TMS'!BS189</f>
        <v>13320</v>
      </c>
      <c r="AD189" s="73">
        <f t="shared" si="10"/>
        <v>7373</v>
      </c>
      <c r="AE189" s="74">
        <f>IF(OR('Cleanup TMS'!BU189=0,'Cleanup TMS'!BU189=""),"-",'Cleanup TMS'!BU189)</f>
        <v>0.55000000000000004</v>
      </c>
      <c r="AF189" s="74" t="str">
        <f>IF(OR('Cleanup TMS'!BV189=0,'Cleanup TMS'!BV189=""),"-",'Cleanup TMS'!BV189)</f>
        <v>D</v>
      </c>
      <c r="AG189" s="73">
        <f>'Cleanup TMS'!CF189</f>
        <v>675</v>
      </c>
      <c r="AH189" s="73">
        <f t="shared" si="11"/>
        <v>398</v>
      </c>
      <c r="AI189" s="73">
        <f t="shared" si="12"/>
        <v>385</v>
      </c>
      <c r="AJ189" s="71">
        <f>IF(OR('Cleanup TMS'!CI189=0,'Cleanup TMS'!CI189=""),"-",'Cleanup TMS'!CI189)</f>
        <v>0.59</v>
      </c>
      <c r="AK189" s="75" t="str">
        <f>IF(OR('Cleanup TMS'!CJ189=0,'Cleanup TMS'!CJ189=""),"-",'Cleanup TMS'!CJ189)</f>
        <v>D</v>
      </c>
    </row>
    <row r="190" spans="1:37" ht="18.75" customHeight="1">
      <c r="A190" s="69">
        <f>'Cleanup TMS'!A190</f>
        <v>6000110</v>
      </c>
      <c r="B190" s="70">
        <f>'Cleanup TMS'!B190</f>
        <v>141</v>
      </c>
      <c r="C190" s="70" t="str">
        <f>IF('Cleanup TMS'!E190="","",'Cleanup TMS'!E190)</f>
        <v/>
      </c>
      <c r="D190" s="70" t="str">
        <f>'Cleanup TMS'!F190</f>
        <v>SUMTER</v>
      </c>
      <c r="E190" s="70">
        <f>'Cleanup TMS'!G190</f>
        <v>25</v>
      </c>
      <c r="F190" s="71">
        <f>ROUND('Cleanup TMS'!H190,2)</f>
        <v>0.51</v>
      </c>
      <c r="G190" s="72" t="str">
        <f>'Cleanup TMS'!I190</f>
        <v>ODELL CIR</v>
      </c>
      <c r="H190" s="72" t="str">
        <f>'Cleanup TMS'!J190</f>
        <v>MORSE BLVD N (S)</v>
      </c>
      <c r="I190" s="72" t="str">
        <f>'Cleanup TMS'!K190</f>
        <v>STILLWATER TRL</v>
      </c>
      <c r="J190" s="70">
        <f>'Cleanup TMS'!L190</f>
        <v>2</v>
      </c>
      <c r="K190" s="70">
        <v>2</v>
      </c>
      <c r="L190" s="70" t="s">
        <v>646</v>
      </c>
      <c r="M190" s="70" t="s">
        <v>648</v>
      </c>
      <c r="N190" s="152" t="s">
        <v>651</v>
      </c>
      <c r="O190" s="152" t="s">
        <v>547</v>
      </c>
      <c r="P190" s="70" t="str">
        <f>'Cleanup TMS'!V190</f>
        <v>COUNTY</v>
      </c>
      <c r="Q190" s="70" t="str">
        <f>'Cleanup TMS'!W190</f>
        <v>UNINCORPORATED SUMTER COUNTY</v>
      </c>
      <c r="R190" s="70" t="s">
        <v>5</v>
      </c>
      <c r="S190" s="73">
        <f>IF('Cleanup TMS'!AO190=0,"-",'Cleanup TMS'!AO190)</f>
        <v>13320</v>
      </c>
      <c r="T190" s="73">
        <f>'Cleanup TMS'!AP190</f>
        <v>6191</v>
      </c>
      <c r="U190" s="71">
        <f>IF(OR('Cleanup TMS'!AQ190=0,'Cleanup TMS'!AQ190=""),"-",'Cleanup TMS'!AQ190)</f>
        <v>0.46</v>
      </c>
      <c r="V190" s="71" t="str">
        <f>IF(OR('Cleanup TMS'!AR190=0,'Cleanup TMS'!AR190=""),"-",'Cleanup TMS'!AR190)</f>
        <v>C</v>
      </c>
      <c r="W190" s="73">
        <f>IF('Cleanup TMS'!BB190=0,"-",'Cleanup TMS'!BB190)</f>
        <v>675</v>
      </c>
      <c r="X190" s="73">
        <f>'Cleanup TMS'!BC190</f>
        <v>278</v>
      </c>
      <c r="Y190" s="73">
        <f>'Cleanup TMS'!BD190</f>
        <v>352</v>
      </c>
      <c r="Z190" s="74">
        <f>IF(OR('Cleanup TMS'!BE190=0,'Cleanup TMS'!BE190=""),"-",'Cleanup TMS'!BE190)</f>
        <v>0.52</v>
      </c>
      <c r="AA190" s="74" t="str">
        <f>IF(OR('Cleanup TMS'!BF190=0,'Cleanup TMS'!BF190=""),"-",'Cleanup TMS'!BF190)</f>
        <v>D</v>
      </c>
      <c r="AB190" s="148">
        <f>IF(OR('Cleanup TMS'!BI190="",'Cleanup TMS'!BI190=0),"-",'Cleanup TMS'!BI190)</f>
        <v>0.01</v>
      </c>
      <c r="AC190" s="73">
        <f>'Cleanup TMS'!BS190</f>
        <v>13320</v>
      </c>
      <c r="AD190" s="73">
        <f t="shared" si="10"/>
        <v>6507</v>
      </c>
      <c r="AE190" s="74">
        <f>IF(OR('Cleanup TMS'!BU190=0,'Cleanup TMS'!BU190=""),"-",'Cleanup TMS'!BU190)</f>
        <v>0.49</v>
      </c>
      <c r="AF190" s="74" t="str">
        <f>IF(OR('Cleanup TMS'!BV190=0,'Cleanup TMS'!BV190=""),"-",'Cleanup TMS'!BV190)</f>
        <v>C</v>
      </c>
      <c r="AG190" s="73">
        <f>'Cleanup TMS'!CF190</f>
        <v>675</v>
      </c>
      <c r="AH190" s="73">
        <f t="shared" si="11"/>
        <v>292</v>
      </c>
      <c r="AI190" s="73">
        <f t="shared" si="12"/>
        <v>370</v>
      </c>
      <c r="AJ190" s="71">
        <f>IF(OR('Cleanup TMS'!CI190=0,'Cleanup TMS'!CI190=""),"-",'Cleanup TMS'!CI190)</f>
        <v>0.55000000000000004</v>
      </c>
      <c r="AK190" s="75" t="str">
        <f>IF(OR('Cleanup TMS'!CJ190=0,'Cleanup TMS'!CJ190=""),"-",'Cleanup TMS'!CJ190)</f>
        <v>D</v>
      </c>
    </row>
    <row r="191" spans="1:37" ht="18.75" customHeight="1">
      <c r="A191" s="69">
        <f>'Cleanup TMS'!A191</f>
        <v>6000115</v>
      </c>
      <c r="B191" s="70">
        <f>'Cleanup TMS'!B191</f>
        <v>146</v>
      </c>
      <c r="C191" s="70" t="str">
        <f>IF('Cleanup TMS'!E191="","",'Cleanup TMS'!E191)</f>
        <v/>
      </c>
      <c r="D191" s="70" t="str">
        <f>'Cleanup TMS'!F191</f>
        <v>SUMTER</v>
      </c>
      <c r="E191" s="70">
        <f>'Cleanup TMS'!G191</f>
        <v>30</v>
      </c>
      <c r="F191" s="71">
        <f>ROUND('Cleanup TMS'!H191,2)</f>
        <v>1.55</v>
      </c>
      <c r="G191" s="72" t="str">
        <f>'Cleanup TMS'!I191</f>
        <v>ODELL CIR</v>
      </c>
      <c r="H191" s="72" t="str">
        <f>'Cleanup TMS'!J191</f>
        <v>STILLWATER TRL</v>
      </c>
      <c r="I191" s="72" t="str">
        <f>'Cleanup TMS'!K191</f>
        <v>MORSE BLVD N (N)</v>
      </c>
      <c r="J191" s="70">
        <f>'Cleanup TMS'!L191</f>
        <v>2</v>
      </c>
      <c r="K191" s="70">
        <v>2</v>
      </c>
      <c r="L191" s="70" t="s">
        <v>646</v>
      </c>
      <c r="M191" s="70" t="s">
        <v>648</v>
      </c>
      <c r="N191" s="152" t="s">
        <v>651</v>
      </c>
      <c r="O191" s="152" t="s">
        <v>547</v>
      </c>
      <c r="P191" s="70" t="str">
        <f>'Cleanup TMS'!V191</f>
        <v>COUNTY</v>
      </c>
      <c r="Q191" s="70" t="str">
        <f>'Cleanup TMS'!W191</f>
        <v>UNINCORPORATED SUMTER COUNTY</v>
      </c>
      <c r="R191" s="70" t="s">
        <v>5</v>
      </c>
      <c r="S191" s="73">
        <f>IF('Cleanup TMS'!AO191=0,"-",'Cleanup TMS'!AO191)</f>
        <v>13320</v>
      </c>
      <c r="T191" s="73">
        <f>'Cleanup TMS'!AP191</f>
        <v>11040</v>
      </c>
      <c r="U191" s="71">
        <f>IF(OR('Cleanup TMS'!AQ191=0,'Cleanup TMS'!AQ191=""),"-",'Cleanup TMS'!AQ191)</f>
        <v>0.83</v>
      </c>
      <c r="V191" s="71" t="str">
        <f>IF(OR('Cleanup TMS'!AR191=0,'Cleanup TMS'!AR191=""),"-",'Cleanup TMS'!AR191)</f>
        <v>D</v>
      </c>
      <c r="W191" s="73">
        <f>IF('Cleanup TMS'!BB191=0,"-",'Cleanup TMS'!BB191)</f>
        <v>675</v>
      </c>
      <c r="X191" s="73">
        <f>'Cleanup TMS'!BC191</f>
        <v>574</v>
      </c>
      <c r="Y191" s="73">
        <f>'Cleanup TMS'!BD191</f>
        <v>578</v>
      </c>
      <c r="Z191" s="74">
        <f>IF(OR('Cleanup TMS'!BE191=0,'Cleanup TMS'!BE191=""),"-",'Cleanup TMS'!BE191)</f>
        <v>0.86</v>
      </c>
      <c r="AA191" s="74" t="str">
        <f>IF(OR('Cleanup TMS'!BF191=0,'Cleanup TMS'!BF191=""),"-",'Cleanup TMS'!BF191)</f>
        <v>D</v>
      </c>
      <c r="AB191" s="148">
        <f>IF(OR('Cleanup TMS'!BI191="",'Cleanup TMS'!BI191=0),"-",'Cleanup TMS'!BI191)</f>
        <v>1.7500000000000002E-2</v>
      </c>
      <c r="AC191" s="73">
        <f>'Cleanup TMS'!BS191</f>
        <v>13320</v>
      </c>
      <c r="AD191" s="73">
        <f t="shared" si="10"/>
        <v>12040</v>
      </c>
      <c r="AE191" s="74">
        <f>IF(OR('Cleanup TMS'!BU191=0,'Cleanup TMS'!BU191=""),"-",'Cleanup TMS'!BU191)</f>
        <v>0.9</v>
      </c>
      <c r="AF191" s="74" t="str">
        <f>IF(OR('Cleanup TMS'!BV191=0,'Cleanup TMS'!BV191=""),"-",'Cleanup TMS'!BV191)</f>
        <v>D</v>
      </c>
      <c r="AG191" s="73">
        <f>'Cleanup TMS'!CF191</f>
        <v>675</v>
      </c>
      <c r="AH191" s="73">
        <f t="shared" si="11"/>
        <v>626</v>
      </c>
      <c r="AI191" s="73">
        <f t="shared" si="12"/>
        <v>630</v>
      </c>
      <c r="AJ191" s="71">
        <f>IF(OR('Cleanup TMS'!CI191=0,'Cleanup TMS'!CI191=""),"-",'Cleanup TMS'!CI191)</f>
        <v>0.93</v>
      </c>
      <c r="AK191" s="75" t="str">
        <f>IF(OR('Cleanup TMS'!CJ191=0,'Cleanup TMS'!CJ191=""),"-",'Cleanup TMS'!CJ191)</f>
        <v>D</v>
      </c>
    </row>
    <row r="192" spans="1:37" ht="18.75" customHeight="1">
      <c r="A192" s="69">
        <f>'Cleanup TMS'!A192</f>
        <v>6000120</v>
      </c>
      <c r="B192" s="70">
        <f>'Cleanup TMS'!B192</f>
        <v>140</v>
      </c>
      <c r="C192" s="70" t="str">
        <f>IF('Cleanup TMS'!E192="","",'Cleanup TMS'!E192)</f>
        <v/>
      </c>
      <c r="D192" s="70" t="str">
        <f>'Cleanup TMS'!F192</f>
        <v>SUMTER</v>
      </c>
      <c r="E192" s="70">
        <f>'Cleanup TMS'!G192</f>
        <v>30</v>
      </c>
      <c r="F192" s="71">
        <f>ROUND('Cleanup TMS'!H192,2)</f>
        <v>0.31</v>
      </c>
      <c r="G192" s="72" t="str">
        <f>'Cleanup TMS'!I192</f>
        <v>ODELL CIR</v>
      </c>
      <c r="H192" s="72" t="str">
        <f>'Cleanup TMS'!J192</f>
        <v xml:space="preserve">MORSE BLVD N </v>
      </c>
      <c r="I192" s="72" t="str">
        <f>'Cleanup TMS'!K192</f>
        <v>CANAL ST (N)</v>
      </c>
      <c r="J192" s="70">
        <f>'Cleanup TMS'!L192</f>
        <v>2</v>
      </c>
      <c r="K192" s="70">
        <v>2</v>
      </c>
      <c r="L192" s="70" t="s">
        <v>646</v>
      </c>
      <c r="M192" s="70" t="s">
        <v>648</v>
      </c>
      <c r="N192" s="152" t="s">
        <v>651</v>
      </c>
      <c r="O192" s="152" t="s">
        <v>547</v>
      </c>
      <c r="P192" s="70" t="str">
        <f>'Cleanup TMS'!V192</f>
        <v>COUNTY</v>
      </c>
      <c r="Q192" s="70" t="str">
        <f>'Cleanup TMS'!W192</f>
        <v>UNINCORPORATED SUMTER COUNTY</v>
      </c>
      <c r="R192" s="70" t="s">
        <v>5</v>
      </c>
      <c r="S192" s="73">
        <f>IF('Cleanup TMS'!AO192=0,"-",'Cleanup TMS'!AO192)</f>
        <v>13320</v>
      </c>
      <c r="T192" s="73">
        <f>'Cleanup TMS'!AP192</f>
        <v>5173</v>
      </c>
      <c r="U192" s="71">
        <f>IF(OR('Cleanup TMS'!AQ192=0,'Cleanup TMS'!AQ192=""),"-",'Cleanup TMS'!AQ192)</f>
        <v>0.39</v>
      </c>
      <c r="V192" s="71" t="str">
        <f>IF(OR('Cleanup TMS'!AR192=0,'Cleanup TMS'!AR192=""),"-",'Cleanup TMS'!AR192)</f>
        <v>C</v>
      </c>
      <c r="W192" s="73">
        <f>IF('Cleanup TMS'!BB192=0,"-",'Cleanup TMS'!BB192)</f>
        <v>675</v>
      </c>
      <c r="X192" s="73">
        <f>'Cleanup TMS'!BC192</f>
        <v>293</v>
      </c>
      <c r="Y192" s="73">
        <f>'Cleanup TMS'!BD192</f>
        <v>256</v>
      </c>
      <c r="Z192" s="74">
        <f>IF(OR('Cleanup TMS'!BE192=0,'Cleanup TMS'!BE192=""),"-",'Cleanup TMS'!BE192)</f>
        <v>0.43</v>
      </c>
      <c r="AA192" s="74" t="str">
        <f>IF(OR('Cleanup TMS'!BF192=0,'Cleanup TMS'!BF192=""),"-",'Cleanup TMS'!BF192)</f>
        <v>C</v>
      </c>
      <c r="AB192" s="148">
        <f>IF(OR('Cleanup TMS'!BI192="",'Cleanup TMS'!BI192=0),"-",'Cleanup TMS'!BI192)</f>
        <v>0.01</v>
      </c>
      <c r="AC192" s="73">
        <f>'Cleanup TMS'!BS192</f>
        <v>13320</v>
      </c>
      <c r="AD192" s="73">
        <f t="shared" si="10"/>
        <v>5437</v>
      </c>
      <c r="AE192" s="74">
        <f>IF(OR('Cleanup TMS'!BU192=0,'Cleanup TMS'!BU192=""),"-",'Cleanup TMS'!BU192)</f>
        <v>0.41</v>
      </c>
      <c r="AF192" s="74" t="str">
        <f>IF(OR('Cleanup TMS'!BV192=0,'Cleanup TMS'!BV192=""),"-",'Cleanup TMS'!BV192)</f>
        <v>C</v>
      </c>
      <c r="AG192" s="73">
        <f>'Cleanup TMS'!CF192</f>
        <v>675</v>
      </c>
      <c r="AH192" s="73">
        <f t="shared" si="11"/>
        <v>308</v>
      </c>
      <c r="AI192" s="73">
        <f t="shared" si="12"/>
        <v>269</v>
      </c>
      <c r="AJ192" s="71">
        <f>IF(OR('Cleanup TMS'!CI192=0,'Cleanup TMS'!CI192=""),"-",'Cleanup TMS'!CI192)</f>
        <v>0.46</v>
      </c>
      <c r="AK192" s="75" t="str">
        <f>IF(OR('Cleanup TMS'!CJ192=0,'Cleanup TMS'!CJ192=""),"-",'Cleanup TMS'!CJ192)</f>
        <v>C</v>
      </c>
    </row>
    <row r="193" spans="1:37" ht="18.75" customHeight="1">
      <c r="A193" s="69">
        <f>'Cleanup TMS'!A193</f>
        <v>6000125</v>
      </c>
      <c r="B193" s="70">
        <f>'Cleanup TMS'!B193</f>
        <v>139</v>
      </c>
      <c r="C193" s="70" t="str">
        <f>IF('Cleanup TMS'!E193="","",'Cleanup TMS'!E193)</f>
        <v/>
      </c>
      <c r="D193" s="70" t="str">
        <f>'Cleanup TMS'!F193</f>
        <v>SUMTER</v>
      </c>
      <c r="E193" s="70">
        <f>'Cleanup TMS'!G193</f>
        <v>30</v>
      </c>
      <c r="F193" s="71">
        <f>ROUND('Cleanup TMS'!H193,2)</f>
        <v>0.36</v>
      </c>
      <c r="G193" s="72" t="str">
        <f>'Cleanup TMS'!I193</f>
        <v>ODELL CIR</v>
      </c>
      <c r="H193" s="72" t="str">
        <f>'Cleanup TMS'!J193</f>
        <v>CANAL ST</v>
      </c>
      <c r="I193" s="72" t="str">
        <f>'Cleanup TMS'!K193</f>
        <v>BUENA VISTA BLVD (N)</v>
      </c>
      <c r="J193" s="70">
        <f>'Cleanup TMS'!L193</f>
        <v>2</v>
      </c>
      <c r="K193" s="70">
        <v>2</v>
      </c>
      <c r="L193" s="70" t="s">
        <v>646</v>
      </c>
      <c r="M193" s="70" t="s">
        <v>648</v>
      </c>
      <c r="N193" s="152" t="s">
        <v>651</v>
      </c>
      <c r="O193" s="152" t="s">
        <v>547</v>
      </c>
      <c r="P193" s="70" t="str">
        <f>'Cleanup TMS'!V193</f>
        <v>COUNTY</v>
      </c>
      <c r="Q193" s="70" t="str">
        <f>'Cleanup TMS'!W193</f>
        <v>UNINCORPORATED SUMTER COUNTY</v>
      </c>
      <c r="R193" s="70" t="s">
        <v>5</v>
      </c>
      <c r="S193" s="73">
        <f>IF('Cleanup TMS'!AO193=0,"-",'Cleanup TMS'!AO193)</f>
        <v>13320</v>
      </c>
      <c r="T193" s="73">
        <f>'Cleanup TMS'!AP193</f>
        <v>4669</v>
      </c>
      <c r="U193" s="71">
        <f>IF(OR('Cleanup TMS'!AQ193=0,'Cleanup TMS'!AQ193=""),"-",'Cleanup TMS'!AQ193)</f>
        <v>0.35</v>
      </c>
      <c r="V193" s="71" t="str">
        <f>IF(OR('Cleanup TMS'!AR193=0,'Cleanup TMS'!AR193=""),"-",'Cleanup TMS'!AR193)</f>
        <v>C</v>
      </c>
      <c r="W193" s="73">
        <f>IF('Cleanup TMS'!BB193=0,"-",'Cleanup TMS'!BB193)</f>
        <v>675</v>
      </c>
      <c r="X193" s="73">
        <f>'Cleanup TMS'!BC193</f>
        <v>265</v>
      </c>
      <c r="Y193" s="73">
        <f>'Cleanup TMS'!BD193</f>
        <v>268</v>
      </c>
      <c r="Z193" s="74">
        <f>IF(OR('Cleanup TMS'!BE193=0,'Cleanup TMS'!BE193=""),"-",'Cleanup TMS'!BE193)</f>
        <v>0.4</v>
      </c>
      <c r="AA193" s="74" t="str">
        <f>IF(OR('Cleanup TMS'!BF193=0,'Cleanup TMS'!BF193=""),"-",'Cleanup TMS'!BF193)</f>
        <v>C</v>
      </c>
      <c r="AB193" s="148">
        <f>IF(OR('Cleanup TMS'!BI193="",'Cleanup TMS'!BI193=0),"-",'Cleanup TMS'!BI193)</f>
        <v>0.01</v>
      </c>
      <c r="AC193" s="73">
        <f>'Cleanup TMS'!BS193</f>
        <v>13320</v>
      </c>
      <c r="AD193" s="73">
        <f t="shared" si="10"/>
        <v>4907</v>
      </c>
      <c r="AE193" s="74">
        <f>IF(OR('Cleanup TMS'!BU193=0,'Cleanup TMS'!BU193=""),"-",'Cleanup TMS'!BU193)</f>
        <v>0.37</v>
      </c>
      <c r="AF193" s="74" t="str">
        <f>IF(OR('Cleanup TMS'!BV193=0,'Cleanup TMS'!BV193=""),"-",'Cleanup TMS'!BV193)</f>
        <v>C</v>
      </c>
      <c r="AG193" s="73">
        <f>'Cleanup TMS'!CF193</f>
        <v>675</v>
      </c>
      <c r="AH193" s="73">
        <f t="shared" si="11"/>
        <v>279</v>
      </c>
      <c r="AI193" s="73">
        <f t="shared" si="12"/>
        <v>282</v>
      </c>
      <c r="AJ193" s="71">
        <f>IF(OR('Cleanup TMS'!CI193=0,'Cleanup TMS'!CI193=""),"-",'Cleanup TMS'!CI193)</f>
        <v>0.42</v>
      </c>
      <c r="AK193" s="75" t="str">
        <f>IF(OR('Cleanup TMS'!CJ193=0,'Cleanup TMS'!CJ193=""),"-",'Cleanup TMS'!CJ193)</f>
        <v>C</v>
      </c>
    </row>
    <row r="194" spans="1:37" ht="18.75" customHeight="1">
      <c r="A194" s="69">
        <f>'Cleanup TMS'!A194</f>
        <v>6000130</v>
      </c>
      <c r="B194" s="70">
        <f>'Cleanup TMS'!B194</f>
        <v>180</v>
      </c>
      <c r="C194" s="70" t="str">
        <f>IF('Cleanup TMS'!E194="","",'Cleanup TMS'!E194)</f>
        <v/>
      </c>
      <c r="D194" s="70" t="str">
        <f>'Cleanup TMS'!F194</f>
        <v>SUMTER</v>
      </c>
      <c r="E194" s="70">
        <f>'Cleanup TMS'!G194</f>
        <v>20</v>
      </c>
      <c r="F194" s="71">
        <f>ROUND('Cleanup TMS'!H194,2)</f>
        <v>0.39</v>
      </c>
      <c r="G194" s="72" t="str">
        <f>'Cleanup TMS'!I194</f>
        <v>STILLWATER TRL</v>
      </c>
      <c r="H194" s="72" t="str">
        <f>'Cleanup TMS'!J194</f>
        <v>CANAL ST</v>
      </c>
      <c r="I194" s="72" t="str">
        <f>'Cleanup TMS'!K194</f>
        <v>MORSE BLVD</v>
      </c>
      <c r="J194" s="70">
        <f>'Cleanup TMS'!L194</f>
        <v>4</v>
      </c>
      <c r="K194" s="70">
        <v>4</v>
      </c>
      <c r="L194" s="70" t="s">
        <v>646</v>
      </c>
      <c r="M194" s="70" t="s">
        <v>649</v>
      </c>
      <c r="N194" s="152" t="s">
        <v>651</v>
      </c>
      <c r="O194" s="152" t="s">
        <v>547</v>
      </c>
      <c r="P194" s="70" t="str">
        <f>'Cleanup TMS'!V194</f>
        <v>COUNTY</v>
      </c>
      <c r="Q194" s="70" t="str">
        <f>'Cleanup TMS'!W194</f>
        <v>UNINCORPORATED SUMTER COUNTY</v>
      </c>
      <c r="R194" s="70" t="s">
        <v>5</v>
      </c>
      <c r="S194" s="73">
        <f>IF('Cleanup TMS'!AO194=0,"-",'Cleanup TMS'!AO194)</f>
        <v>29160</v>
      </c>
      <c r="T194" s="73">
        <f>'Cleanup TMS'!AP194</f>
        <v>10488</v>
      </c>
      <c r="U194" s="71">
        <f>IF(OR('Cleanup TMS'!AQ194=0,'Cleanup TMS'!AQ194=""),"-",'Cleanup TMS'!AQ194)</f>
        <v>0.36</v>
      </c>
      <c r="V194" s="71" t="str">
        <f>IF(OR('Cleanup TMS'!AR194=0,'Cleanup TMS'!AR194=""),"-",'Cleanup TMS'!AR194)</f>
        <v>C</v>
      </c>
      <c r="W194" s="73">
        <f>IF('Cleanup TMS'!BB194=0,"-",'Cleanup TMS'!BB194)</f>
        <v>1467</v>
      </c>
      <c r="X194" s="73">
        <f>'Cleanup TMS'!BC194</f>
        <v>459</v>
      </c>
      <c r="Y194" s="73">
        <f>'Cleanup TMS'!BD194</f>
        <v>539</v>
      </c>
      <c r="Z194" s="74">
        <f>IF(OR('Cleanup TMS'!BE194=0,'Cleanup TMS'!BE194=""),"-",'Cleanup TMS'!BE194)</f>
        <v>0.37</v>
      </c>
      <c r="AA194" s="74" t="str">
        <f>IF(OR('Cleanup TMS'!BF194=0,'Cleanup TMS'!BF194=""),"-",'Cleanup TMS'!BF194)</f>
        <v>C</v>
      </c>
      <c r="AB194" s="148">
        <f>IF(OR('Cleanup TMS'!BI194="",'Cleanup TMS'!BI194=0),"-",'Cleanup TMS'!BI194)</f>
        <v>0.01</v>
      </c>
      <c r="AC194" s="73">
        <f>'Cleanup TMS'!BS194</f>
        <v>29160</v>
      </c>
      <c r="AD194" s="73">
        <f t="shared" si="10"/>
        <v>11023</v>
      </c>
      <c r="AE194" s="74">
        <f>IF(OR('Cleanup TMS'!BU194=0,'Cleanup TMS'!BU194=""),"-",'Cleanup TMS'!BU194)</f>
        <v>0.38</v>
      </c>
      <c r="AF194" s="74" t="str">
        <f>IF(OR('Cleanup TMS'!BV194=0,'Cleanup TMS'!BV194=""),"-",'Cleanup TMS'!BV194)</f>
        <v>C</v>
      </c>
      <c r="AG194" s="73">
        <f>'Cleanup TMS'!CF194</f>
        <v>1467</v>
      </c>
      <c r="AH194" s="73">
        <f t="shared" si="11"/>
        <v>482</v>
      </c>
      <c r="AI194" s="73">
        <f t="shared" si="12"/>
        <v>566</v>
      </c>
      <c r="AJ194" s="71">
        <f>IF(OR('Cleanup TMS'!CI194=0,'Cleanup TMS'!CI194=""),"-",'Cleanup TMS'!CI194)</f>
        <v>0.39</v>
      </c>
      <c r="AK194" s="75" t="str">
        <f>IF(OR('Cleanup TMS'!CJ194=0,'Cleanup TMS'!CJ194=""),"-",'Cleanup TMS'!CJ194)</f>
        <v>C</v>
      </c>
    </row>
    <row r="195" spans="1:37" ht="18.75" customHeight="1">
      <c r="A195" s="69">
        <f>'Cleanup TMS'!A195</f>
        <v>6000135</v>
      </c>
      <c r="B195" s="70">
        <f>'Cleanup TMS'!B195</f>
        <v>179</v>
      </c>
      <c r="C195" s="70" t="str">
        <f>IF('Cleanup TMS'!E195="","",'Cleanup TMS'!E195)</f>
        <v/>
      </c>
      <c r="D195" s="70" t="str">
        <f>'Cleanup TMS'!F195</f>
        <v>SUMTER</v>
      </c>
      <c r="E195" s="70">
        <f>'Cleanup TMS'!G195</f>
        <v>35</v>
      </c>
      <c r="F195" s="71">
        <f>ROUND('Cleanup TMS'!H195,2)</f>
        <v>0.35</v>
      </c>
      <c r="G195" s="72" t="str">
        <f>'Cleanup TMS'!I195</f>
        <v>STILLWATER TRL</v>
      </c>
      <c r="H195" s="72" t="str">
        <f>'Cleanup TMS'!J195</f>
        <v>BUENA VISTA BLVD</v>
      </c>
      <c r="I195" s="72" t="str">
        <f>'Cleanup TMS'!K195</f>
        <v>CANAL ST</v>
      </c>
      <c r="J195" s="70">
        <f>'Cleanup TMS'!L195</f>
        <v>4</v>
      </c>
      <c r="K195" s="70">
        <v>4</v>
      </c>
      <c r="L195" s="70" t="s">
        <v>646</v>
      </c>
      <c r="M195" s="70" t="s">
        <v>649</v>
      </c>
      <c r="N195" s="152" t="s">
        <v>651</v>
      </c>
      <c r="O195" s="152" t="s">
        <v>547</v>
      </c>
      <c r="P195" s="70" t="str">
        <f>'Cleanup TMS'!V195</f>
        <v>COUNTY</v>
      </c>
      <c r="Q195" s="70" t="str">
        <f>'Cleanup TMS'!W195</f>
        <v>UNINCORPORATED SUMTER COUNTY</v>
      </c>
      <c r="R195" s="70" t="s">
        <v>5</v>
      </c>
      <c r="S195" s="73">
        <f>IF('Cleanup TMS'!AO195=0,"-",'Cleanup TMS'!AO195)</f>
        <v>29160</v>
      </c>
      <c r="T195" s="73">
        <f>'Cleanup TMS'!AP195</f>
        <v>10322</v>
      </c>
      <c r="U195" s="71">
        <f>IF(OR('Cleanup TMS'!AQ195=0,'Cleanup TMS'!AQ195=""),"-",'Cleanup TMS'!AQ195)</f>
        <v>0.35</v>
      </c>
      <c r="V195" s="71" t="str">
        <f>IF(OR('Cleanup TMS'!AR195=0,'Cleanup TMS'!AR195=""),"-",'Cleanup TMS'!AR195)</f>
        <v>C</v>
      </c>
      <c r="W195" s="73">
        <f>IF('Cleanup TMS'!BB195=0,"-",'Cleanup TMS'!BB195)</f>
        <v>1467</v>
      </c>
      <c r="X195" s="73">
        <f>'Cleanup TMS'!BC195</f>
        <v>459</v>
      </c>
      <c r="Y195" s="73">
        <f>'Cleanup TMS'!BD195</f>
        <v>516</v>
      </c>
      <c r="Z195" s="74">
        <f>IF(OR('Cleanup TMS'!BE195=0,'Cleanup TMS'!BE195=""),"-",'Cleanup TMS'!BE195)</f>
        <v>0.35</v>
      </c>
      <c r="AA195" s="74" t="str">
        <f>IF(OR('Cleanup TMS'!BF195=0,'Cleanup TMS'!BF195=""),"-",'Cleanup TMS'!BF195)</f>
        <v>C</v>
      </c>
      <c r="AB195" s="148">
        <f>IF(OR('Cleanup TMS'!BI195="",'Cleanup TMS'!BI195=0),"-",'Cleanup TMS'!BI195)</f>
        <v>0.01</v>
      </c>
      <c r="AC195" s="73">
        <f>'Cleanup TMS'!BS195</f>
        <v>29160</v>
      </c>
      <c r="AD195" s="73">
        <f t="shared" si="10"/>
        <v>10849</v>
      </c>
      <c r="AE195" s="74">
        <f>IF(OR('Cleanup TMS'!BU195=0,'Cleanup TMS'!BU195=""),"-",'Cleanup TMS'!BU195)</f>
        <v>0.37</v>
      </c>
      <c r="AF195" s="74" t="str">
        <f>IF(OR('Cleanup TMS'!BV195=0,'Cleanup TMS'!BV195=""),"-",'Cleanup TMS'!BV195)</f>
        <v>C</v>
      </c>
      <c r="AG195" s="73">
        <f>'Cleanup TMS'!CF195</f>
        <v>1467</v>
      </c>
      <c r="AH195" s="73">
        <f t="shared" si="11"/>
        <v>482</v>
      </c>
      <c r="AI195" s="73">
        <f t="shared" si="12"/>
        <v>542</v>
      </c>
      <c r="AJ195" s="71">
        <f>IF(OR('Cleanup TMS'!CI195=0,'Cleanup TMS'!CI195=""),"-",'Cleanup TMS'!CI195)</f>
        <v>0.37</v>
      </c>
      <c r="AK195" s="75" t="str">
        <f>IF(OR('Cleanup TMS'!CJ195=0,'Cleanup TMS'!CJ195=""),"-",'Cleanup TMS'!CJ195)</f>
        <v>C</v>
      </c>
    </row>
    <row r="196" spans="1:37" ht="18.75" customHeight="1">
      <c r="A196" s="69">
        <f>'Cleanup TMS'!A196</f>
        <v>6000145</v>
      </c>
      <c r="B196" s="70">
        <f>'Cleanup TMS'!B196</f>
        <v>98</v>
      </c>
      <c r="C196" s="70" t="str">
        <f>IF('Cleanup TMS'!E196="","",'Cleanup TMS'!E196)</f>
        <v/>
      </c>
      <c r="D196" s="70" t="str">
        <f>'Cleanup TMS'!F196</f>
        <v>SUMTER</v>
      </c>
      <c r="E196" s="70">
        <f>'Cleanup TMS'!G196</f>
        <v>35</v>
      </c>
      <c r="F196" s="71">
        <f>ROUND('Cleanup TMS'!H196,2)</f>
        <v>0.51</v>
      </c>
      <c r="G196" s="72" t="str">
        <f>'Cleanup TMS'!I196</f>
        <v>CR 139 (POWELL RD)</v>
      </c>
      <c r="H196" s="72" t="str">
        <f>'Cleanup TMS'!J196</f>
        <v>SR 44</v>
      </c>
      <c r="I196" s="72" t="str">
        <f>'Cleanup TMS'!K196</f>
        <v>CR 44A</v>
      </c>
      <c r="J196" s="70">
        <f>'Cleanup TMS'!L196</f>
        <v>4</v>
      </c>
      <c r="K196" s="70">
        <v>4</v>
      </c>
      <c r="L196" s="70" t="s">
        <v>646</v>
      </c>
      <c r="M196" s="70" t="s">
        <v>649</v>
      </c>
      <c r="N196" s="152" t="s">
        <v>651</v>
      </c>
      <c r="O196" s="152" t="s">
        <v>547</v>
      </c>
      <c r="P196" s="70" t="str">
        <f>'Cleanup TMS'!V196</f>
        <v>COUNTY</v>
      </c>
      <c r="Q196" s="70" t="str">
        <f>'Cleanup TMS'!W196</f>
        <v>WILDWOOD</v>
      </c>
      <c r="R196" s="70" t="s">
        <v>5</v>
      </c>
      <c r="S196" s="73">
        <f>IF('Cleanup TMS'!AO196=0,"-",'Cleanup TMS'!AO196)</f>
        <v>30780</v>
      </c>
      <c r="T196" s="73">
        <f>'Cleanup TMS'!AP196</f>
        <v>12446</v>
      </c>
      <c r="U196" s="71">
        <f>IF(OR('Cleanup TMS'!AQ196=0,'Cleanup TMS'!AQ196=""),"-",'Cleanup TMS'!AQ196)</f>
        <v>0.4</v>
      </c>
      <c r="V196" s="71" t="str">
        <f>IF(OR('Cleanup TMS'!AR196=0,'Cleanup TMS'!AR196=""),"-",'Cleanup TMS'!AR196)</f>
        <v>C</v>
      </c>
      <c r="W196" s="73">
        <f>IF('Cleanup TMS'!BB196=0,"-",'Cleanup TMS'!BB196)</f>
        <v>1549</v>
      </c>
      <c r="X196" s="73">
        <f>'Cleanup TMS'!BC196</f>
        <v>482</v>
      </c>
      <c r="Y196" s="73">
        <f>'Cleanup TMS'!BD196</f>
        <v>629</v>
      </c>
      <c r="Z196" s="74">
        <f>IF(OR('Cleanup TMS'!BE196=0,'Cleanup TMS'!BE196=""),"-",'Cleanup TMS'!BE196)</f>
        <v>0.41</v>
      </c>
      <c r="AA196" s="74" t="str">
        <f>IF(OR('Cleanup TMS'!BF196=0,'Cleanup TMS'!BF196=""),"-",'Cleanup TMS'!BF196)</f>
        <v>C</v>
      </c>
      <c r="AB196" s="148">
        <f>IF(OR('Cleanup TMS'!BI196="",'Cleanup TMS'!BI196=0),"-",'Cleanup TMS'!BI196)</f>
        <v>4.4999999999999998E-2</v>
      </c>
      <c r="AC196" s="73">
        <f>'Cleanup TMS'!BS196</f>
        <v>30780</v>
      </c>
      <c r="AD196" s="73">
        <f t="shared" si="10"/>
        <v>15510</v>
      </c>
      <c r="AE196" s="74">
        <f>IF(OR('Cleanup TMS'!BU196=0,'Cleanup TMS'!BU196=""),"-",'Cleanup TMS'!BU196)</f>
        <v>0.5</v>
      </c>
      <c r="AF196" s="74" t="str">
        <f>IF(OR('Cleanup TMS'!BV196=0,'Cleanup TMS'!BV196=""),"-",'Cleanup TMS'!BV196)</f>
        <v>D</v>
      </c>
      <c r="AG196" s="73">
        <f>'Cleanup TMS'!CF196</f>
        <v>1549</v>
      </c>
      <c r="AH196" s="73">
        <f t="shared" si="11"/>
        <v>601</v>
      </c>
      <c r="AI196" s="73">
        <f t="shared" si="12"/>
        <v>784</v>
      </c>
      <c r="AJ196" s="71">
        <f>IF(OR('Cleanup TMS'!CI196=0,'Cleanup TMS'!CI196=""),"-",'Cleanup TMS'!CI196)</f>
        <v>0.51</v>
      </c>
      <c r="AK196" s="75" t="str">
        <f>IF(OR('Cleanup TMS'!CJ196=0,'Cleanup TMS'!CJ196=""),"-",'Cleanup TMS'!CJ196)</f>
        <v>D</v>
      </c>
    </row>
    <row r="197" spans="1:37" ht="18.75" customHeight="1">
      <c r="A197" s="69">
        <f>'Cleanup TMS'!A197</f>
        <v>32230001</v>
      </c>
      <c r="B197" s="70">
        <f>'Cleanup TMS'!B197</f>
        <v>114</v>
      </c>
      <c r="C197" s="70" t="str">
        <f>IF('Cleanup TMS'!E197="","",'Cleanup TMS'!E197)</f>
        <v/>
      </c>
      <c r="D197" s="70" t="str">
        <f>'Cleanup TMS'!F197</f>
        <v>SUMTER</v>
      </c>
      <c r="E197" s="70">
        <f>'Cleanup TMS'!G197</f>
        <v>40</v>
      </c>
      <c r="F197" s="71">
        <f>ROUND('Cleanup TMS'!H197,2)</f>
        <v>0.63</v>
      </c>
      <c r="G197" s="72" t="str">
        <f>'Cleanup TMS'!I197</f>
        <v>CR 673</v>
      </c>
      <c r="H197" s="72" t="str">
        <f>'Cleanup TMS'!J197</f>
        <v>CR 674</v>
      </c>
      <c r="I197" s="72" t="str">
        <f>'Cleanup TMS'!K197</f>
        <v>US 301/SR 35</v>
      </c>
      <c r="J197" s="70">
        <f>'Cleanup TMS'!L197</f>
        <v>2</v>
      </c>
      <c r="K197" s="70">
        <v>2</v>
      </c>
      <c r="L197" s="70" t="s">
        <v>647</v>
      </c>
      <c r="M197" s="70" t="s">
        <v>648</v>
      </c>
      <c r="N197" s="152" t="s">
        <v>652</v>
      </c>
      <c r="O197" s="152" t="s">
        <v>655</v>
      </c>
      <c r="P197" s="70" t="str">
        <f>'Cleanup TMS'!V197</f>
        <v>COUNTY</v>
      </c>
      <c r="Q197" s="70" t="str">
        <f>'Cleanup TMS'!W197</f>
        <v>UNINCORPORATED SUMTER COUNTY</v>
      </c>
      <c r="R197" s="70" t="s">
        <v>4</v>
      </c>
      <c r="S197" s="73">
        <f>IF('Cleanup TMS'!AO197=0,"-",'Cleanup TMS'!AO197)</f>
        <v>15700</v>
      </c>
      <c r="T197" s="73">
        <f>'Cleanup TMS'!AP197</f>
        <v>2532</v>
      </c>
      <c r="U197" s="71">
        <f>IF(OR('Cleanup TMS'!AQ197=0,'Cleanup TMS'!AQ197=""),"-",'Cleanup TMS'!AQ197)</f>
        <v>0.16</v>
      </c>
      <c r="V197" s="71" t="str">
        <f>IF(OR('Cleanup TMS'!AR197=0,'Cleanup TMS'!AR197=""),"-",'Cleanup TMS'!AR197)</f>
        <v>B</v>
      </c>
      <c r="W197" s="73">
        <f>IF('Cleanup TMS'!BB197=0,"-",'Cleanup TMS'!BB197)</f>
        <v>820</v>
      </c>
      <c r="X197" s="73">
        <f>'Cleanup TMS'!BC197</f>
        <v>103</v>
      </c>
      <c r="Y197" s="73">
        <f>'Cleanup TMS'!BD197</f>
        <v>125</v>
      </c>
      <c r="Z197" s="74">
        <f>IF(OR('Cleanup TMS'!BE197=0,'Cleanup TMS'!BE197=""),"-",'Cleanup TMS'!BE197)</f>
        <v>0.15</v>
      </c>
      <c r="AA197" s="74" t="str">
        <f>IF(OR('Cleanup TMS'!BF197=0,'Cleanup TMS'!BF197=""),"-",'Cleanup TMS'!BF197)</f>
        <v>B</v>
      </c>
      <c r="AB197" s="148">
        <f>IF(OR('Cleanup TMS'!BI197="",'Cleanup TMS'!BI197=0),"-",'Cleanup TMS'!BI197)</f>
        <v>0.03</v>
      </c>
      <c r="AC197" s="73">
        <f>'Cleanup TMS'!BS197</f>
        <v>15700</v>
      </c>
      <c r="AD197" s="73">
        <f t="shared" ref="AD197:AD260" si="13">IF(T197="-","-",ROUND(T197*(1+AB197)^5,0))</f>
        <v>2935</v>
      </c>
      <c r="AE197" s="74">
        <f>IF(OR('Cleanup TMS'!BU197=0,'Cleanup TMS'!BU197=""),"-",'Cleanup TMS'!BU197)</f>
        <v>0.19</v>
      </c>
      <c r="AF197" s="74" t="str">
        <f>IF(OR('Cleanup TMS'!BV197=0,'Cleanup TMS'!BV197=""),"-",'Cleanup TMS'!BV197)</f>
        <v>B</v>
      </c>
      <c r="AG197" s="73">
        <f>'Cleanup TMS'!CF197</f>
        <v>820</v>
      </c>
      <c r="AH197" s="73">
        <f t="shared" ref="AH197:AH260" si="14">IF(X197="-","-",ROUND(X197*(1+AB197)^5,0))</f>
        <v>119</v>
      </c>
      <c r="AI197" s="73">
        <f t="shared" ref="AI197:AI260" si="15">IF(Y197="-","-",ROUND(Y197*(1+AB197)^5,0))</f>
        <v>145</v>
      </c>
      <c r="AJ197" s="71">
        <f>IF(OR('Cleanup TMS'!CI197=0,'Cleanup TMS'!CI197=""),"-",'Cleanup TMS'!CI197)</f>
        <v>0.18</v>
      </c>
      <c r="AK197" s="75" t="str">
        <f>IF(OR('Cleanup TMS'!CJ197=0,'Cleanup TMS'!CJ197=""),"-",'Cleanup TMS'!CJ197)</f>
        <v>B</v>
      </c>
    </row>
    <row r="198" spans="1:37" ht="18.75" customHeight="1">
      <c r="A198" s="69">
        <f>'Cleanup TMS'!A198</f>
        <v>32531601</v>
      </c>
      <c r="B198" s="70">
        <f>'Cleanup TMS'!B198</f>
        <v>180088</v>
      </c>
      <c r="C198" s="70">
        <f>IF('Cleanup TMS'!E198="","",'Cleanup TMS'!E198)</f>
        <v>180088</v>
      </c>
      <c r="D198" s="70" t="str">
        <f>'Cleanup TMS'!F198</f>
        <v>FDOT</v>
      </c>
      <c r="E198" s="70">
        <f>'Cleanup TMS'!G198</f>
        <v>50</v>
      </c>
      <c r="F198" s="71">
        <f>ROUND('Cleanup TMS'!H198,2)</f>
        <v>5.6</v>
      </c>
      <c r="G198" s="72" t="str">
        <f>'Cleanup TMS'!I198</f>
        <v>US 301/SR 35</v>
      </c>
      <c r="H198" s="72" t="str">
        <f>'Cleanup TMS'!J198</f>
        <v>CR 542</v>
      </c>
      <c r="I198" s="72" t="str">
        <f>'Cleanup TMS'!K198</f>
        <v>CR 470 E (S)</v>
      </c>
      <c r="J198" s="70">
        <f>'Cleanup TMS'!L198</f>
        <v>2</v>
      </c>
      <c r="K198" s="70">
        <v>2</v>
      </c>
      <c r="L198" s="70" t="s">
        <v>646</v>
      </c>
      <c r="M198" s="70" t="s">
        <v>648</v>
      </c>
      <c r="N198" s="152" t="s">
        <v>652</v>
      </c>
      <c r="O198" s="152" t="s">
        <v>547</v>
      </c>
      <c r="P198" s="70" t="str">
        <f>'Cleanup TMS'!V198</f>
        <v>STATE</v>
      </c>
      <c r="Q198" s="70" t="str">
        <f>'Cleanup TMS'!W198</f>
        <v>UNINCORPORATED SUMTER COUNTY</v>
      </c>
      <c r="R198" s="70" t="s">
        <v>5</v>
      </c>
      <c r="S198" s="73">
        <f>IF('Cleanup TMS'!AO198=0,"-",'Cleanup TMS'!AO198)</f>
        <v>24200</v>
      </c>
      <c r="T198" s="73">
        <f>'Cleanup TMS'!AP198</f>
        <v>4850</v>
      </c>
      <c r="U198" s="71">
        <f>IF(OR('Cleanup TMS'!AQ198=0,'Cleanup TMS'!AQ198=""),"-",'Cleanup TMS'!AQ198)</f>
        <v>0.2</v>
      </c>
      <c r="V198" s="71" t="str">
        <f>IF(OR('Cleanup TMS'!AR198=0,'Cleanup TMS'!AR198=""),"-",'Cleanup TMS'!AR198)</f>
        <v>B</v>
      </c>
      <c r="W198" s="73">
        <f>IF('Cleanup TMS'!BB198=0,"-",'Cleanup TMS'!BB198)</f>
        <v>1200</v>
      </c>
      <c r="X198" s="73">
        <f>'Cleanup TMS'!BC198</f>
        <v>244</v>
      </c>
      <c r="Y198" s="73">
        <f>'Cleanup TMS'!BD198</f>
        <v>217</v>
      </c>
      <c r="Z198" s="74">
        <f>IF(OR('Cleanup TMS'!BE198=0,'Cleanup TMS'!BE198=""),"-",'Cleanup TMS'!BE198)</f>
        <v>0.2</v>
      </c>
      <c r="AA198" s="74" t="str">
        <f>IF(OR('Cleanup TMS'!BF198=0,'Cleanup TMS'!BF198=""),"-",'Cleanup TMS'!BF198)</f>
        <v>B</v>
      </c>
      <c r="AB198" s="148">
        <f>IF(OR('Cleanup TMS'!BI198="",'Cleanup TMS'!BI198=0),"-",'Cleanup TMS'!BI198)</f>
        <v>0.01</v>
      </c>
      <c r="AC198" s="73">
        <f>'Cleanup TMS'!BS198</f>
        <v>24200</v>
      </c>
      <c r="AD198" s="73">
        <f t="shared" si="13"/>
        <v>5097</v>
      </c>
      <c r="AE198" s="74">
        <f>IF(OR('Cleanup TMS'!BU198=0,'Cleanup TMS'!BU198=""),"-",'Cleanup TMS'!BU198)</f>
        <v>0.21</v>
      </c>
      <c r="AF198" s="74" t="str">
        <f>IF(OR('Cleanup TMS'!BV198=0,'Cleanup TMS'!BV198=""),"-",'Cleanup TMS'!BV198)</f>
        <v>B</v>
      </c>
      <c r="AG198" s="73">
        <f>'Cleanup TMS'!CF198</f>
        <v>1200</v>
      </c>
      <c r="AH198" s="73">
        <f t="shared" si="14"/>
        <v>256</v>
      </c>
      <c r="AI198" s="73">
        <f t="shared" si="15"/>
        <v>228</v>
      </c>
      <c r="AJ198" s="71">
        <f>IF(OR('Cleanup TMS'!CI198=0,'Cleanup TMS'!CI198=""),"-",'Cleanup TMS'!CI198)</f>
        <v>0.21</v>
      </c>
      <c r="AK198" s="75" t="str">
        <f>IF(OR('Cleanup TMS'!CJ198=0,'Cleanup TMS'!CJ198=""),"-",'Cleanup TMS'!CJ198)</f>
        <v>B</v>
      </c>
    </row>
    <row r="199" spans="1:37" ht="18.75" customHeight="1">
      <c r="A199" s="69">
        <f>'Cleanup TMS'!A199</f>
        <v>32531602</v>
      </c>
      <c r="B199" s="70" t="str">
        <f>'Cleanup TMS'!B199</f>
        <v>180001 180042</v>
      </c>
      <c r="C199" s="70" t="str">
        <f>IF('Cleanup TMS'!E199="","",'Cleanup TMS'!E199)</f>
        <v>180001 180042</v>
      </c>
      <c r="D199" s="70" t="str">
        <f>'Cleanup TMS'!F199</f>
        <v>FDOT</v>
      </c>
      <c r="E199" s="70">
        <f>'Cleanup TMS'!G199</f>
        <v>55</v>
      </c>
      <c r="F199" s="71">
        <f>ROUND('Cleanup TMS'!H199,2)</f>
        <v>1.36</v>
      </c>
      <c r="G199" s="72" t="str">
        <f>'Cleanup TMS'!I199</f>
        <v>US 301/SR 35</v>
      </c>
      <c r="H199" s="72" t="str">
        <f>'Cleanup TMS'!J199</f>
        <v>CR 476 (NOBLE AVE)</v>
      </c>
      <c r="I199" s="72" t="str">
        <f>'Cleanup TMS'!K199</f>
        <v>CR 542</v>
      </c>
      <c r="J199" s="70">
        <f>'Cleanup TMS'!L199</f>
        <v>2</v>
      </c>
      <c r="K199" s="70">
        <v>2</v>
      </c>
      <c r="L199" s="70" t="s">
        <v>646</v>
      </c>
      <c r="M199" s="70" t="s">
        <v>648</v>
      </c>
      <c r="N199" s="152" t="s">
        <v>651</v>
      </c>
      <c r="O199" s="152" t="s">
        <v>547</v>
      </c>
      <c r="P199" s="70" t="str">
        <f>'Cleanup TMS'!V199</f>
        <v>STATE</v>
      </c>
      <c r="Q199" s="70" t="str">
        <f>'Cleanup TMS'!W199</f>
        <v>BUSHNELL</v>
      </c>
      <c r="R199" s="70" t="s">
        <v>5</v>
      </c>
      <c r="S199" s="73">
        <f>IF('Cleanup TMS'!AO199=0,"-",'Cleanup TMS'!AO199)</f>
        <v>14160</v>
      </c>
      <c r="T199" s="73">
        <f>'Cleanup TMS'!AP199</f>
        <v>4160</v>
      </c>
      <c r="U199" s="71">
        <f>IF(OR('Cleanup TMS'!AQ199=0,'Cleanup TMS'!AQ199=""),"-",'Cleanup TMS'!AQ199)</f>
        <v>0.28999999999999998</v>
      </c>
      <c r="V199" s="71" t="str">
        <f>IF(OR('Cleanup TMS'!AR199=0,'Cleanup TMS'!AR199=""),"-",'Cleanup TMS'!AR199)</f>
        <v>C</v>
      </c>
      <c r="W199" s="73">
        <f>IF('Cleanup TMS'!BB199=0,"-",'Cleanup TMS'!BB199)</f>
        <v>704</v>
      </c>
      <c r="X199" s="73">
        <f>'Cleanup TMS'!BC199</f>
        <v>209.5</v>
      </c>
      <c r="Y199" s="73">
        <f>'Cleanup TMS'!BD199</f>
        <v>185.5</v>
      </c>
      <c r="Z199" s="74">
        <f>IF(OR('Cleanup TMS'!BE199=0,'Cleanup TMS'!BE199=""),"-",'Cleanup TMS'!BE199)</f>
        <v>0.3</v>
      </c>
      <c r="AA199" s="74" t="str">
        <f>IF(OR('Cleanup TMS'!BF199=0,'Cleanup TMS'!BF199=""),"-",'Cleanup TMS'!BF199)</f>
        <v>C</v>
      </c>
      <c r="AB199" s="148">
        <f>IF(OR('Cleanup TMS'!BI199="",'Cleanup TMS'!BI199=0),"-",'Cleanup TMS'!BI199)</f>
        <v>0.01</v>
      </c>
      <c r="AC199" s="73">
        <f>'Cleanup TMS'!BS199</f>
        <v>14160</v>
      </c>
      <c r="AD199" s="73">
        <f t="shared" si="13"/>
        <v>4372</v>
      </c>
      <c r="AE199" s="74">
        <f>IF(OR('Cleanup TMS'!BU199=0,'Cleanup TMS'!BU199=""),"-",'Cleanup TMS'!BU199)</f>
        <v>0.31</v>
      </c>
      <c r="AF199" s="74" t="str">
        <f>IF(OR('Cleanup TMS'!BV199=0,'Cleanup TMS'!BV199=""),"-",'Cleanup TMS'!BV199)</f>
        <v>C</v>
      </c>
      <c r="AG199" s="73">
        <f>'Cleanup TMS'!CF199</f>
        <v>704</v>
      </c>
      <c r="AH199" s="73">
        <f t="shared" si="14"/>
        <v>220</v>
      </c>
      <c r="AI199" s="73">
        <f t="shared" si="15"/>
        <v>195</v>
      </c>
      <c r="AJ199" s="71">
        <f>IF(OR('Cleanup TMS'!CI199=0,'Cleanup TMS'!CI199=""),"-",'Cleanup TMS'!CI199)</f>
        <v>0.31</v>
      </c>
      <c r="AK199" s="75" t="str">
        <f>IF(OR('Cleanup TMS'!CJ199=0,'Cleanup TMS'!CJ199=""),"-",'Cleanup TMS'!CJ199)</f>
        <v>C</v>
      </c>
    </row>
    <row r="200" spans="1:37" ht="18.75" customHeight="1">
      <c r="A200" s="69">
        <f>'Cleanup TMS'!A200</f>
        <v>32532601</v>
      </c>
      <c r="B200" s="70">
        <f>'Cleanup TMS'!B200</f>
        <v>185008</v>
      </c>
      <c r="C200" s="70">
        <f>IF('Cleanup TMS'!E200="","",'Cleanup TMS'!E200)</f>
        <v>185008</v>
      </c>
      <c r="D200" s="70" t="str">
        <f>'Cleanup TMS'!F200</f>
        <v>FDOT</v>
      </c>
      <c r="E200" s="70">
        <f>'Cleanup TMS'!G200</f>
        <v>40</v>
      </c>
      <c r="F200" s="71">
        <f>ROUND('Cleanup TMS'!H200,2)</f>
        <v>1.28</v>
      </c>
      <c r="G200" s="72" t="str">
        <f>'Cleanup TMS'!I200</f>
        <v>US 301/SR 35</v>
      </c>
      <c r="H200" s="72" t="str">
        <f>'Cleanup TMS'!J200</f>
        <v>CR 466A (CLEVELAND AVE)</v>
      </c>
      <c r="I200" s="72" t="str">
        <f>'Cleanup TMS'!K200</f>
        <v>CR 462 (S)</v>
      </c>
      <c r="J200" s="70">
        <f>'Cleanup TMS'!L200</f>
        <v>4</v>
      </c>
      <c r="K200" s="70">
        <v>4</v>
      </c>
      <c r="L200" s="70" t="s">
        <v>646</v>
      </c>
      <c r="M200" s="70" t="s">
        <v>649</v>
      </c>
      <c r="N200" s="152" t="s">
        <v>651</v>
      </c>
      <c r="O200" s="152" t="s">
        <v>547</v>
      </c>
      <c r="P200" s="70" t="str">
        <f>'Cleanup TMS'!V200</f>
        <v>STATE</v>
      </c>
      <c r="Q200" s="70" t="str">
        <f>'Cleanup TMS'!W200</f>
        <v>WILDWOOD</v>
      </c>
      <c r="R200" s="70" t="s">
        <v>5</v>
      </c>
      <c r="S200" s="73">
        <f>IF('Cleanup TMS'!AO200=0,"-",'Cleanup TMS'!AO200)</f>
        <v>39800</v>
      </c>
      <c r="T200" s="73">
        <f>'Cleanup TMS'!AP200</f>
        <v>30650</v>
      </c>
      <c r="U200" s="71">
        <f>IF(OR('Cleanup TMS'!AQ200=0,'Cleanup TMS'!AQ200=""),"-",'Cleanup TMS'!AQ200)</f>
        <v>0.77</v>
      </c>
      <c r="V200" s="71" t="str">
        <f>IF(OR('Cleanup TMS'!AR200=0,'Cleanup TMS'!AR200=""),"-",'Cleanup TMS'!AR200)</f>
        <v>C</v>
      </c>
      <c r="W200" s="73">
        <f>IF('Cleanup TMS'!BB200=0,"-",'Cleanup TMS'!BB200)</f>
        <v>2000</v>
      </c>
      <c r="X200" s="73">
        <f>'Cleanup TMS'!BC200</f>
        <v>1249</v>
      </c>
      <c r="Y200" s="73">
        <f>'Cleanup TMS'!BD200</f>
        <v>1093</v>
      </c>
      <c r="Z200" s="74">
        <f>IF(OR('Cleanup TMS'!BE200=0,'Cleanup TMS'!BE200=""),"-",'Cleanup TMS'!BE200)</f>
        <v>0.62</v>
      </c>
      <c r="AA200" s="74" t="str">
        <f>IF(OR('Cleanup TMS'!BF200=0,'Cleanup TMS'!BF200=""),"-",'Cleanup TMS'!BF200)</f>
        <v>C</v>
      </c>
      <c r="AB200" s="148">
        <f>IF(OR('Cleanup TMS'!BI200="",'Cleanup TMS'!BI200=0),"-",'Cleanup TMS'!BI200)</f>
        <v>7.2499999999999995E-2</v>
      </c>
      <c r="AC200" s="73">
        <f>'Cleanup TMS'!BS200</f>
        <v>39800</v>
      </c>
      <c r="AD200" s="73">
        <f t="shared" si="13"/>
        <v>43493</v>
      </c>
      <c r="AE200" s="74">
        <f>IF(OR('Cleanup TMS'!BU200=0,'Cleanup TMS'!BU200=""),"-",'Cleanup TMS'!BU200)</f>
        <v>1.0900000000000001</v>
      </c>
      <c r="AF200" s="74" t="str">
        <f>IF(OR('Cleanup TMS'!BV200=0,'Cleanup TMS'!BV200=""),"-",'Cleanup TMS'!BV200)</f>
        <v>F</v>
      </c>
      <c r="AG200" s="73">
        <f>'Cleanup TMS'!CF200</f>
        <v>2000</v>
      </c>
      <c r="AH200" s="73">
        <f t="shared" si="14"/>
        <v>1772</v>
      </c>
      <c r="AI200" s="73">
        <f t="shared" si="15"/>
        <v>1551</v>
      </c>
      <c r="AJ200" s="71">
        <f>IF(OR('Cleanup TMS'!CI200=0,'Cleanup TMS'!CI200=""),"-",'Cleanup TMS'!CI200)</f>
        <v>0.89</v>
      </c>
      <c r="AK200" s="75" t="str">
        <f>IF(OR('Cleanup TMS'!CJ200=0,'Cleanup TMS'!CJ200=""),"-",'Cleanup TMS'!CJ200)</f>
        <v>C</v>
      </c>
    </row>
    <row r="201" spans="1:37" ht="18.75" customHeight="1">
      <c r="A201" s="69">
        <f>'Cleanup TMS'!A201</f>
        <v>32533001</v>
      </c>
      <c r="B201" s="70">
        <f>'Cleanup TMS'!B201</f>
        <v>180210</v>
      </c>
      <c r="C201" s="70">
        <f>IF('Cleanup TMS'!E201="","",'Cleanup TMS'!E201)</f>
        <v>180210</v>
      </c>
      <c r="D201" s="70" t="str">
        <f>'Cleanup TMS'!F201</f>
        <v>FDOT</v>
      </c>
      <c r="E201" s="70">
        <f>'Cleanup TMS'!G201</f>
        <v>45</v>
      </c>
      <c r="F201" s="71">
        <f>ROUND('Cleanup TMS'!H201,2)</f>
        <v>1.26</v>
      </c>
      <c r="G201" s="72" t="str">
        <f>'Cleanup TMS'!I201</f>
        <v>US 301/SR 35</v>
      </c>
      <c r="H201" s="72" t="str">
        <f>'Cleanup TMS'!J201</f>
        <v>CR 472</v>
      </c>
      <c r="I201" s="72" t="str">
        <f>'Cleanup TMS'!K201</f>
        <v>CR 466</v>
      </c>
      <c r="J201" s="70">
        <f>'Cleanup TMS'!L201</f>
        <v>4</v>
      </c>
      <c r="K201" s="70">
        <v>4</v>
      </c>
      <c r="L201" s="70" t="s">
        <v>646</v>
      </c>
      <c r="M201" s="70" t="s">
        <v>649</v>
      </c>
      <c r="N201" s="152" t="s">
        <v>651</v>
      </c>
      <c r="O201" s="152" t="s">
        <v>547</v>
      </c>
      <c r="P201" s="70" t="str">
        <f>'Cleanup TMS'!V201</f>
        <v>STATE</v>
      </c>
      <c r="Q201" s="70" t="str">
        <f>'Cleanup TMS'!W201</f>
        <v>WILDWOOD</v>
      </c>
      <c r="R201" s="70" t="s">
        <v>5</v>
      </c>
      <c r="S201" s="73">
        <f>IF('Cleanup TMS'!AO201=0,"-",'Cleanup TMS'!AO201)</f>
        <v>41790</v>
      </c>
      <c r="T201" s="73">
        <f>'Cleanup TMS'!AP201</f>
        <v>31100</v>
      </c>
      <c r="U201" s="71">
        <f>IF(OR('Cleanup TMS'!AQ201=0,'Cleanup TMS'!AQ201=""),"-",'Cleanup TMS'!AQ201)</f>
        <v>0.74</v>
      </c>
      <c r="V201" s="71" t="str">
        <f>IF(OR('Cleanup TMS'!AR201=0,'Cleanup TMS'!AR201=""),"-",'Cleanup TMS'!AR201)</f>
        <v>C</v>
      </c>
      <c r="W201" s="73">
        <f>IF('Cleanup TMS'!BB201=0,"-",'Cleanup TMS'!BB201)</f>
        <v>2100</v>
      </c>
      <c r="X201" s="73">
        <f>'Cleanup TMS'!BC201</f>
        <v>1311</v>
      </c>
      <c r="Y201" s="73">
        <f>'Cleanup TMS'!BD201</f>
        <v>1013</v>
      </c>
      <c r="Z201" s="74">
        <f>IF(OR('Cleanup TMS'!BE201=0,'Cleanup TMS'!BE201=""),"-",'Cleanup TMS'!BE201)</f>
        <v>0.62</v>
      </c>
      <c r="AA201" s="74" t="str">
        <f>IF(OR('Cleanup TMS'!BF201=0,'Cleanup TMS'!BF201=""),"-",'Cleanup TMS'!BF201)</f>
        <v>C</v>
      </c>
      <c r="AB201" s="148">
        <f>IF(OR('Cleanup TMS'!BI201="",'Cleanup TMS'!BI201=0),"-",'Cleanup TMS'!BI201)</f>
        <v>2.75E-2</v>
      </c>
      <c r="AC201" s="73">
        <f>'Cleanup TMS'!BS201</f>
        <v>41790</v>
      </c>
      <c r="AD201" s="73">
        <f t="shared" si="13"/>
        <v>35618</v>
      </c>
      <c r="AE201" s="74">
        <f>IF(OR('Cleanup TMS'!BU201=0,'Cleanup TMS'!BU201=""),"-",'Cleanup TMS'!BU201)</f>
        <v>0.85</v>
      </c>
      <c r="AF201" s="74" t="str">
        <f>IF(OR('Cleanup TMS'!BV201=0,'Cleanup TMS'!BV201=""),"-",'Cleanup TMS'!BV201)</f>
        <v>C</v>
      </c>
      <c r="AG201" s="73">
        <f>'Cleanup TMS'!CF201</f>
        <v>2100</v>
      </c>
      <c r="AH201" s="73">
        <f t="shared" si="14"/>
        <v>1501</v>
      </c>
      <c r="AI201" s="73">
        <f t="shared" si="15"/>
        <v>1160</v>
      </c>
      <c r="AJ201" s="71">
        <f>IF(OR('Cleanup TMS'!CI201=0,'Cleanup TMS'!CI201=""),"-",'Cleanup TMS'!CI201)</f>
        <v>0.71</v>
      </c>
      <c r="AK201" s="75" t="str">
        <f>IF(OR('Cleanup TMS'!CJ201=0,'Cleanup TMS'!CJ201=""),"-",'Cleanup TMS'!CJ201)</f>
        <v>C</v>
      </c>
    </row>
    <row r="202" spans="1:37" ht="18.75" customHeight="1">
      <c r="A202" s="69">
        <f>'Cleanup TMS'!A202</f>
        <v>32533101</v>
      </c>
      <c r="B202" s="70">
        <f>'Cleanup TMS'!B202</f>
        <v>180100</v>
      </c>
      <c r="C202" s="70">
        <f>IF('Cleanup TMS'!E202="","",'Cleanup TMS'!E202)</f>
        <v>180100</v>
      </c>
      <c r="D202" s="70" t="str">
        <f>'Cleanup TMS'!F202</f>
        <v>FDOT</v>
      </c>
      <c r="E202" s="70">
        <f>'Cleanup TMS'!G202</f>
        <v>45</v>
      </c>
      <c r="F202" s="71">
        <f>ROUND('Cleanup TMS'!H202,2)</f>
        <v>0.75</v>
      </c>
      <c r="G202" s="72" t="str">
        <f>'Cleanup TMS'!I202</f>
        <v>US 301/SR 35</v>
      </c>
      <c r="H202" s="72" t="str">
        <f>'Cleanup TMS'!J202</f>
        <v>CR 466</v>
      </c>
      <c r="I202" s="72" t="str">
        <f>'Cleanup TMS'!K202</f>
        <v>CR 204</v>
      </c>
      <c r="J202" s="70">
        <f>'Cleanup TMS'!L202</f>
        <v>4</v>
      </c>
      <c r="K202" s="70">
        <v>4</v>
      </c>
      <c r="L202" s="70" t="s">
        <v>646</v>
      </c>
      <c r="M202" s="70" t="s">
        <v>649</v>
      </c>
      <c r="N202" s="152" t="s">
        <v>651</v>
      </c>
      <c r="O202" s="152" t="s">
        <v>547</v>
      </c>
      <c r="P202" s="70" t="str">
        <f>'Cleanup TMS'!V202</f>
        <v>STATE</v>
      </c>
      <c r="Q202" s="70" t="str">
        <f>'Cleanup TMS'!W202</f>
        <v>WILDWOOD</v>
      </c>
      <c r="R202" s="70" t="s">
        <v>5</v>
      </c>
      <c r="S202" s="73">
        <f>IF('Cleanup TMS'!AO202=0,"-",'Cleanup TMS'!AO202)</f>
        <v>39800</v>
      </c>
      <c r="T202" s="73">
        <f>'Cleanup TMS'!AP202</f>
        <v>19580</v>
      </c>
      <c r="U202" s="71">
        <f>IF(OR('Cleanup TMS'!AQ202=0,'Cleanup TMS'!AQ202=""),"-",'Cleanup TMS'!AQ202)</f>
        <v>0.49</v>
      </c>
      <c r="V202" s="71" t="str">
        <f>IF(OR('Cleanup TMS'!AR202=0,'Cleanup TMS'!AR202=""),"-",'Cleanup TMS'!AR202)</f>
        <v>C</v>
      </c>
      <c r="W202" s="73">
        <f>IF('Cleanup TMS'!BB202=0,"-",'Cleanup TMS'!BB202)</f>
        <v>2000</v>
      </c>
      <c r="X202" s="73">
        <f>'Cleanup TMS'!BC202</f>
        <v>1173</v>
      </c>
      <c r="Y202" s="73">
        <f>'Cleanup TMS'!BD202</f>
        <v>729</v>
      </c>
      <c r="Z202" s="74">
        <f>IF(OR('Cleanup TMS'!BE202=0,'Cleanup TMS'!BE202=""),"-",'Cleanup TMS'!BE202)</f>
        <v>0.59</v>
      </c>
      <c r="AA202" s="74" t="str">
        <f>IF(OR('Cleanup TMS'!BF202=0,'Cleanup TMS'!BF202=""),"-",'Cleanup TMS'!BF202)</f>
        <v>C</v>
      </c>
      <c r="AB202" s="148">
        <f>IF(OR('Cleanup TMS'!BI202="",'Cleanup TMS'!BI202=0),"-",'Cleanup TMS'!BI202)</f>
        <v>0.01</v>
      </c>
      <c r="AC202" s="73">
        <f>'Cleanup TMS'!BS202</f>
        <v>39800</v>
      </c>
      <c r="AD202" s="73">
        <f t="shared" si="13"/>
        <v>20579</v>
      </c>
      <c r="AE202" s="74">
        <f>IF(OR('Cleanup TMS'!BU202=0,'Cleanup TMS'!BU202=""),"-",'Cleanup TMS'!BU202)</f>
        <v>0.52</v>
      </c>
      <c r="AF202" s="74" t="str">
        <f>IF(OR('Cleanup TMS'!BV202=0,'Cleanup TMS'!BV202=""),"-",'Cleanup TMS'!BV202)</f>
        <v>C</v>
      </c>
      <c r="AG202" s="73">
        <f>'Cleanup TMS'!CF202</f>
        <v>2000</v>
      </c>
      <c r="AH202" s="73">
        <f t="shared" si="14"/>
        <v>1233</v>
      </c>
      <c r="AI202" s="73">
        <f t="shared" si="15"/>
        <v>766</v>
      </c>
      <c r="AJ202" s="71">
        <f>IF(OR('Cleanup TMS'!CI202=0,'Cleanup TMS'!CI202=""),"-",'Cleanup TMS'!CI202)</f>
        <v>0.62</v>
      </c>
      <c r="AK202" s="75" t="str">
        <f>IF(OR('Cleanup TMS'!CJ202=0,'Cleanup TMS'!CJ202=""),"-",'Cleanup TMS'!CJ202)</f>
        <v>C</v>
      </c>
    </row>
    <row r="203" spans="1:37" ht="18.75" customHeight="1">
      <c r="A203" s="69">
        <f>'Cleanup TMS'!A203</f>
        <v>32533102</v>
      </c>
      <c r="B203" s="70">
        <f>'Cleanup TMS'!B203</f>
        <v>180100</v>
      </c>
      <c r="C203" s="70">
        <f>IF('Cleanup TMS'!E203="","",'Cleanup TMS'!E203)</f>
        <v>180100</v>
      </c>
      <c r="D203" s="70" t="str">
        <f>'Cleanup TMS'!F203</f>
        <v>FDOT</v>
      </c>
      <c r="E203" s="70">
        <f>'Cleanup TMS'!G203</f>
        <v>45</v>
      </c>
      <c r="F203" s="71">
        <f>ROUND('Cleanup TMS'!H203,2)</f>
        <v>1.52</v>
      </c>
      <c r="G203" s="72" t="str">
        <f>'Cleanup TMS'!I203</f>
        <v>US 301/SR 35</v>
      </c>
      <c r="H203" s="72" t="str">
        <f>'Cleanup TMS'!J203</f>
        <v>CR 204</v>
      </c>
      <c r="I203" s="72" t="str">
        <f>'Cleanup TMS'!K203</f>
        <v>MARION COUNTY BOUNDARY</v>
      </c>
      <c r="J203" s="70">
        <f>'Cleanup TMS'!L203</f>
        <v>4</v>
      </c>
      <c r="K203" s="70">
        <v>4</v>
      </c>
      <c r="L203" s="70" t="s">
        <v>646</v>
      </c>
      <c r="M203" s="70" t="s">
        <v>649</v>
      </c>
      <c r="N203" s="152" t="s">
        <v>651</v>
      </c>
      <c r="O203" s="152" t="s">
        <v>547</v>
      </c>
      <c r="P203" s="70" t="str">
        <f>'Cleanup TMS'!V203</f>
        <v>STATE</v>
      </c>
      <c r="Q203" s="70" t="str">
        <f>'Cleanup TMS'!W203</f>
        <v>WILDWOOD</v>
      </c>
      <c r="R203" s="70" t="s">
        <v>5</v>
      </c>
      <c r="S203" s="73">
        <f>IF('Cleanup TMS'!AO203=0,"-",'Cleanup TMS'!AO203)</f>
        <v>39800</v>
      </c>
      <c r="T203" s="73">
        <f>'Cleanup TMS'!AP203</f>
        <v>19580</v>
      </c>
      <c r="U203" s="71">
        <f>IF(OR('Cleanup TMS'!AQ203=0,'Cleanup TMS'!AQ203=""),"-",'Cleanup TMS'!AQ203)</f>
        <v>0.49</v>
      </c>
      <c r="V203" s="71" t="str">
        <f>IF(OR('Cleanup TMS'!AR203=0,'Cleanup TMS'!AR203=""),"-",'Cleanup TMS'!AR203)</f>
        <v>C</v>
      </c>
      <c r="W203" s="73">
        <f>IF('Cleanup TMS'!BB203=0,"-",'Cleanup TMS'!BB203)</f>
        <v>2000</v>
      </c>
      <c r="X203" s="73">
        <f>'Cleanup TMS'!BC203</f>
        <v>1173</v>
      </c>
      <c r="Y203" s="73">
        <f>'Cleanup TMS'!BD203</f>
        <v>729</v>
      </c>
      <c r="Z203" s="74">
        <f>IF(OR('Cleanup TMS'!BE203=0,'Cleanup TMS'!BE203=""),"-",'Cleanup TMS'!BE203)</f>
        <v>0.59</v>
      </c>
      <c r="AA203" s="74" t="str">
        <f>IF(OR('Cleanup TMS'!BF203=0,'Cleanup TMS'!BF203=""),"-",'Cleanup TMS'!BF203)</f>
        <v>C</v>
      </c>
      <c r="AB203" s="148">
        <f>IF(OR('Cleanup TMS'!BI203="",'Cleanup TMS'!BI203=0),"-",'Cleanup TMS'!BI203)</f>
        <v>0.01</v>
      </c>
      <c r="AC203" s="73">
        <f>'Cleanup TMS'!BS203</f>
        <v>39800</v>
      </c>
      <c r="AD203" s="73">
        <f t="shared" si="13"/>
        <v>20579</v>
      </c>
      <c r="AE203" s="74">
        <f>IF(OR('Cleanup TMS'!BU203=0,'Cleanup TMS'!BU203=""),"-",'Cleanup TMS'!BU203)</f>
        <v>0.52</v>
      </c>
      <c r="AF203" s="74" t="str">
        <f>IF(OR('Cleanup TMS'!BV203=0,'Cleanup TMS'!BV203=""),"-",'Cleanup TMS'!BV203)</f>
        <v>C</v>
      </c>
      <c r="AG203" s="73">
        <f>'Cleanup TMS'!CF203</f>
        <v>2000</v>
      </c>
      <c r="AH203" s="73">
        <f t="shared" si="14"/>
        <v>1233</v>
      </c>
      <c r="AI203" s="73">
        <f t="shared" si="15"/>
        <v>766</v>
      </c>
      <c r="AJ203" s="71">
        <f>IF(OR('Cleanup TMS'!CI203=0,'Cleanup TMS'!CI203=""),"-",'Cleanup TMS'!CI203)</f>
        <v>0.62</v>
      </c>
      <c r="AK203" s="75" t="str">
        <f>IF(OR('Cleanup TMS'!CJ203=0,'Cleanup TMS'!CJ203=""),"-",'Cleanup TMS'!CJ203)</f>
        <v>C</v>
      </c>
    </row>
    <row r="204" spans="1:37" ht="18.75" customHeight="1">
      <c r="A204" s="69">
        <f>'Cleanup TMS'!A204</f>
        <v>33000001</v>
      </c>
      <c r="B204" s="70">
        <f>'Cleanup TMS'!B204</f>
        <v>163</v>
      </c>
      <c r="C204" s="70" t="str">
        <f>IF('Cleanup TMS'!E204="","",'Cleanup TMS'!E204)</f>
        <v/>
      </c>
      <c r="D204" s="70" t="str">
        <f>'Cleanup TMS'!F204</f>
        <v>SUMTER</v>
      </c>
      <c r="E204" s="70">
        <f>'Cleanup TMS'!G204</f>
        <v>20</v>
      </c>
      <c r="F204" s="71">
        <f>ROUND('Cleanup TMS'!H204,2)</f>
        <v>0.33</v>
      </c>
      <c r="G204" s="72" t="str">
        <f>'Cleanup TMS'!I204</f>
        <v>BUENA VISTA BLVD</v>
      </c>
      <c r="H204" s="72" t="str">
        <f>'Cleanup TMS'!J204</f>
        <v>BELVEDERE BLVD</v>
      </c>
      <c r="I204" s="72" t="str">
        <f>'Cleanup TMS'!K204</f>
        <v>TALL TREES LN</v>
      </c>
      <c r="J204" s="70">
        <f>'Cleanup TMS'!L204</f>
        <v>4</v>
      </c>
      <c r="K204" s="70">
        <v>4</v>
      </c>
      <c r="L204" s="70" t="s">
        <v>646</v>
      </c>
      <c r="M204" s="70" t="s">
        <v>649</v>
      </c>
      <c r="N204" s="152" t="s">
        <v>651</v>
      </c>
      <c r="O204" s="152" t="s">
        <v>547</v>
      </c>
      <c r="P204" s="70" t="str">
        <f>'Cleanup TMS'!V204</f>
        <v>COUNTY</v>
      </c>
      <c r="Q204" s="70" t="str">
        <f>'Cleanup TMS'!W204</f>
        <v>UNINCORPORATED SUMTER COUNTY</v>
      </c>
      <c r="R204" s="70" t="s">
        <v>5</v>
      </c>
      <c r="S204" s="73">
        <f>IF('Cleanup TMS'!AO204=0,"-",'Cleanup TMS'!AO204)</f>
        <v>29160</v>
      </c>
      <c r="T204" s="73">
        <f>'Cleanup TMS'!AP204</f>
        <v>18280</v>
      </c>
      <c r="U204" s="71">
        <f>IF(OR('Cleanup TMS'!AQ204=0,'Cleanup TMS'!AQ204=""),"-",'Cleanup TMS'!AQ204)</f>
        <v>0.63</v>
      </c>
      <c r="V204" s="71" t="str">
        <f>IF(OR('Cleanup TMS'!AR204=0,'Cleanup TMS'!AR204=""),"-",'Cleanup TMS'!AR204)</f>
        <v>D</v>
      </c>
      <c r="W204" s="73">
        <f>IF('Cleanup TMS'!BB204=0,"-",'Cleanup TMS'!BB204)</f>
        <v>1467</v>
      </c>
      <c r="X204" s="73">
        <f>'Cleanup TMS'!BC204</f>
        <v>955</v>
      </c>
      <c r="Y204" s="73">
        <f>'Cleanup TMS'!BD204</f>
        <v>845</v>
      </c>
      <c r="Z204" s="74">
        <f>IF(OR('Cleanup TMS'!BE204=0,'Cleanup TMS'!BE204=""),"-",'Cleanup TMS'!BE204)</f>
        <v>0.65</v>
      </c>
      <c r="AA204" s="74" t="str">
        <f>IF(OR('Cleanup TMS'!BF204=0,'Cleanup TMS'!BF204=""),"-",'Cleanup TMS'!BF204)</f>
        <v>D</v>
      </c>
      <c r="AB204" s="148">
        <f>IF(OR('Cleanup TMS'!BI204="",'Cleanup TMS'!BI204=0),"-",'Cleanup TMS'!BI204)</f>
        <v>0.01</v>
      </c>
      <c r="AC204" s="73">
        <f>'Cleanup TMS'!BS204</f>
        <v>29160</v>
      </c>
      <c r="AD204" s="73">
        <f t="shared" si="13"/>
        <v>19212</v>
      </c>
      <c r="AE204" s="74">
        <f>IF(OR('Cleanup TMS'!BU204=0,'Cleanup TMS'!BU204=""),"-",'Cleanup TMS'!BU204)</f>
        <v>0.66</v>
      </c>
      <c r="AF204" s="74" t="str">
        <f>IF(OR('Cleanup TMS'!BV204=0,'Cleanup TMS'!BV204=""),"-",'Cleanup TMS'!BV204)</f>
        <v>D</v>
      </c>
      <c r="AG204" s="73">
        <f>'Cleanup TMS'!CF204</f>
        <v>1467</v>
      </c>
      <c r="AH204" s="73">
        <f t="shared" si="14"/>
        <v>1004</v>
      </c>
      <c r="AI204" s="73">
        <f t="shared" si="15"/>
        <v>888</v>
      </c>
      <c r="AJ204" s="71">
        <f>IF(OR('Cleanup TMS'!CI204=0,'Cleanup TMS'!CI204=""),"-",'Cleanup TMS'!CI204)</f>
        <v>0.68</v>
      </c>
      <c r="AK204" s="75" t="str">
        <f>IF(OR('Cleanup TMS'!CJ204=0,'Cleanup TMS'!CJ204=""),"-",'Cleanup TMS'!CJ204)</f>
        <v>D</v>
      </c>
    </row>
    <row r="205" spans="1:37" ht="18.75" customHeight="1">
      <c r="A205" s="69">
        <f>'Cleanup TMS'!A205</f>
        <v>33000002</v>
      </c>
      <c r="B205" s="70">
        <f>'Cleanup TMS'!B205</f>
        <v>162</v>
      </c>
      <c r="C205" s="70" t="str">
        <f>IF('Cleanup TMS'!E205="","",'Cleanup TMS'!E205)</f>
        <v/>
      </c>
      <c r="D205" s="70" t="str">
        <f>'Cleanup TMS'!F205</f>
        <v>SUMTER</v>
      </c>
      <c r="E205" s="70">
        <f>'Cleanup TMS'!G205</f>
        <v>35</v>
      </c>
      <c r="F205" s="71">
        <f>ROUND('Cleanup TMS'!H205,2)</f>
        <v>0.23</v>
      </c>
      <c r="G205" s="72" t="str">
        <f>'Cleanup TMS'!I205</f>
        <v>BUENA VISTA BLVD</v>
      </c>
      <c r="H205" s="72" t="str">
        <f>'Cleanup TMS'!J205</f>
        <v>TALL TREES LN</v>
      </c>
      <c r="I205" s="72" t="str">
        <f>'Cleanup TMS'!K205</f>
        <v>LAUREL MANOR DR</v>
      </c>
      <c r="J205" s="70">
        <f>'Cleanup TMS'!L205</f>
        <v>4</v>
      </c>
      <c r="K205" s="70">
        <v>4</v>
      </c>
      <c r="L205" s="70" t="s">
        <v>646</v>
      </c>
      <c r="M205" s="70" t="s">
        <v>649</v>
      </c>
      <c r="N205" s="152" t="s">
        <v>651</v>
      </c>
      <c r="O205" s="152" t="s">
        <v>547</v>
      </c>
      <c r="P205" s="70" t="str">
        <f>'Cleanup TMS'!V205</f>
        <v>COUNTY</v>
      </c>
      <c r="Q205" s="70" t="str">
        <f>'Cleanup TMS'!W205</f>
        <v>UNINCORPORATED SUMTER COUNTY</v>
      </c>
      <c r="R205" s="70" t="s">
        <v>5</v>
      </c>
      <c r="S205" s="73">
        <f>IF('Cleanup TMS'!AO205=0,"-",'Cleanup TMS'!AO205)</f>
        <v>29160</v>
      </c>
      <c r="T205" s="73">
        <f>'Cleanup TMS'!AP205</f>
        <v>18301</v>
      </c>
      <c r="U205" s="71">
        <f>IF(OR('Cleanup TMS'!AQ205=0,'Cleanup TMS'!AQ205=""),"-",'Cleanup TMS'!AQ205)</f>
        <v>0.63</v>
      </c>
      <c r="V205" s="71" t="str">
        <f>IF(OR('Cleanup TMS'!AR205=0,'Cleanup TMS'!AR205=""),"-",'Cleanup TMS'!AR205)</f>
        <v>D</v>
      </c>
      <c r="W205" s="73">
        <f>IF('Cleanup TMS'!BB205=0,"-",'Cleanup TMS'!BB205)</f>
        <v>1467</v>
      </c>
      <c r="X205" s="73">
        <f>'Cleanup TMS'!BC205</f>
        <v>914</v>
      </c>
      <c r="Y205" s="73">
        <f>'Cleanup TMS'!BD205</f>
        <v>814</v>
      </c>
      <c r="Z205" s="74">
        <f>IF(OR('Cleanup TMS'!BE205=0,'Cleanup TMS'!BE205=""),"-",'Cleanup TMS'!BE205)</f>
        <v>0.62</v>
      </c>
      <c r="AA205" s="74" t="str">
        <f>IF(OR('Cleanup TMS'!BF205=0,'Cleanup TMS'!BF205=""),"-",'Cleanup TMS'!BF205)</f>
        <v>D</v>
      </c>
      <c r="AB205" s="148">
        <f>IF(OR('Cleanup TMS'!BI205="",'Cleanup TMS'!BI205=0),"-",'Cleanup TMS'!BI205)</f>
        <v>1.4999999999999999E-2</v>
      </c>
      <c r="AC205" s="73">
        <f>'Cleanup TMS'!BS205</f>
        <v>29160</v>
      </c>
      <c r="AD205" s="73">
        <f t="shared" si="13"/>
        <v>19715</v>
      </c>
      <c r="AE205" s="74">
        <f>IF(OR('Cleanup TMS'!BU205=0,'Cleanup TMS'!BU205=""),"-",'Cleanup TMS'!BU205)</f>
        <v>0.68</v>
      </c>
      <c r="AF205" s="74" t="str">
        <f>IF(OR('Cleanup TMS'!BV205=0,'Cleanup TMS'!BV205=""),"-",'Cleanup TMS'!BV205)</f>
        <v>D</v>
      </c>
      <c r="AG205" s="73">
        <f>'Cleanup TMS'!CF205</f>
        <v>1467</v>
      </c>
      <c r="AH205" s="73">
        <f t="shared" si="14"/>
        <v>985</v>
      </c>
      <c r="AI205" s="73">
        <f t="shared" si="15"/>
        <v>877</v>
      </c>
      <c r="AJ205" s="71">
        <f>IF(OR('Cleanup TMS'!CI205=0,'Cleanup TMS'!CI205=""),"-",'Cleanup TMS'!CI205)</f>
        <v>0.67</v>
      </c>
      <c r="AK205" s="75" t="str">
        <f>IF(OR('Cleanup TMS'!CJ205=0,'Cleanup TMS'!CJ205=""),"-",'Cleanup TMS'!CJ205)</f>
        <v>D</v>
      </c>
    </row>
    <row r="206" spans="1:37" ht="18.75" customHeight="1">
      <c r="A206" s="69">
        <f>'Cleanup TMS'!A206</f>
        <v>33000003</v>
      </c>
      <c r="B206" s="70">
        <f>'Cleanup TMS'!B206</f>
        <v>156</v>
      </c>
      <c r="C206" s="70" t="str">
        <f>IF('Cleanup TMS'!E206="","",'Cleanup TMS'!E206)</f>
        <v/>
      </c>
      <c r="D206" s="70" t="str">
        <f>'Cleanup TMS'!F206</f>
        <v>SUMTER</v>
      </c>
      <c r="E206" s="70">
        <f>'Cleanup TMS'!G206</f>
        <v>35</v>
      </c>
      <c r="F206" s="71">
        <f>ROUND('Cleanup TMS'!H206,2)</f>
        <v>0.15</v>
      </c>
      <c r="G206" s="72" t="str">
        <f>'Cleanup TMS'!I206</f>
        <v>BUENA VISTA BLVD</v>
      </c>
      <c r="H206" s="72" t="str">
        <f>'Cleanup TMS'!J206</f>
        <v>LAUREL MANOR DR</v>
      </c>
      <c r="I206" s="72" t="str">
        <f>'Cleanup TMS'!K206</f>
        <v>CR 466</v>
      </c>
      <c r="J206" s="70">
        <f>'Cleanup TMS'!L206</f>
        <v>4</v>
      </c>
      <c r="K206" s="70">
        <v>4</v>
      </c>
      <c r="L206" s="70" t="s">
        <v>646</v>
      </c>
      <c r="M206" s="70" t="s">
        <v>649</v>
      </c>
      <c r="N206" s="152" t="s">
        <v>651</v>
      </c>
      <c r="O206" s="152" t="s">
        <v>547</v>
      </c>
      <c r="P206" s="70" t="str">
        <f>'Cleanup TMS'!V206</f>
        <v>COUNTY</v>
      </c>
      <c r="Q206" s="70" t="str">
        <f>'Cleanup TMS'!W206</f>
        <v>UNINCORPORATED SUMTER COUNTY</v>
      </c>
      <c r="R206" s="70" t="s">
        <v>5</v>
      </c>
      <c r="S206" s="73">
        <f>IF('Cleanup TMS'!AO206=0,"-",'Cleanup TMS'!AO206)</f>
        <v>29160</v>
      </c>
      <c r="T206" s="73">
        <f>'Cleanup TMS'!AP206</f>
        <v>15658</v>
      </c>
      <c r="U206" s="71">
        <f>IF(OR('Cleanup TMS'!AQ206=0,'Cleanup TMS'!AQ206=""),"-",'Cleanup TMS'!AQ206)</f>
        <v>0.54</v>
      </c>
      <c r="V206" s="71" t="str">
        <f>IF(OR('Cleanup TMS'!AR206=0,'Cleanup TMS'!AR206=""),"-",'Cleanup TMS'!AR206)</f>
        <v>D</v>
      </c>
      <c r="W206" s="73">
        <f>IF('Cleanup TMS'!BB206=0,"-",'Cleanup TMS'!BB206)</f>
        <v>1467</v>
      </c>
      <c r="X206" s="73">
        <f>'Cleanup TMS'!BC206</f>
        <v>725</v>
      </c>
      <c r="Y206" s="73">
        <f>'Cleanup TMS'!BD206</f>
        <v>729</v>
      </c>
      <c r="Z206" s="74">
        <f>IF(OR('Cleanup TMS'!BE206=0,'Cleanup TMS'!BE206=""),"-",'Cleanup TMS'!BE206)</f>
        <v>0.5</v>
      </c>
      <c r="AA206" s="74" t="str">
        <f>IF(OR('Cleanup TMS'!BF206=0,'Cleanup TMS'!BF206=""),"-",'Cleanup TMS'!BF206)</f>
        <v>D</v>
      </c>
      <c r="AB206" s="148">
        <f>IF(OR('Cleanup TMS'!BI206="",'Cleanup TMS'!BI206=0),"-",'Cleanup TMS'!BI206)</f>
        <v>0.01</v>
      </c>
      <c r="AC206" s="73">
        <f>'Cleanup TMS'!BS206</f>
        <v>29160</v>
      </c>
      <c r="AD206" s="73">
        <f t="shared" si="13"/>
        <v>16457</v>
      </c>
      <c r="AE206" s="74">
        <f>IF(OR('Cleanup TMS'!BU206=0,'Cleanup TMS'!BU206=""),"-",'Cleanup TMS'!BU206)</f>
        <v>0.56000000000000005</v>
      </c>
      <c r="AF206" s="74" t="str">
        <f>IF(OR('Cleanup TMS'!BV206=0,'Cleanup TMS'!BV206=""),"-",'Cleanup TMS'!BV206)</f>
        <v>D</v>
      </c>
      <c r="AG206" s="73">
        <f>'Cleanup TMS'!CF206</f>
        <v>1467</v>
      </c>
      <c r="AH206" s="73">
        <f t="shared" si="14"/>
        <v>762</v>
      </c>
      <c r="AI206" s="73">
        <f t="shared" si="15"/>
        <v>766</v>
      </c>
      <c r="AJ206" s="71">
        <f>IF(OR('Cleanup TMS'!CI206=0,'Cleanup TMS'!CI206=""),"-",'Cleanup TMS'!CI206)</f>
        <v>0.52</v>
      </c>
      <c r="AK206" s="75" t="str">
        <f>IF(OR('Cleanup TMS'!CJ206=0,'Cleanup TMS'!CJ206=""),"-",'Cleanup TMS'!CJ206)</f>
        <v>D</v>
      </c>
    </row>
    <row r="207" spans="1:37" ht="18.75" customHeight="1">
      <c r="A207" s="69">
        <f>'Cleanup TMS'!A207</f>
        <v>35270001</v>
      </c>
      <c r="B207" s="70">
        <f>'Cleanup TMS'!B207</f>
        <v>188014</v>
      </c>
      <c r="C207" s="70">
        <f>IF('Cleanup TMS'!E207="","",'Cleanup TMS'!E207)</f>
        <v>188014</v>
      </c>
      <c r="D207" s="70" t="str">
        <f>'Cleanup TMS'!F207</f>
        <v>FDOT</v>
      </c>
      <c r="E207" s="70">
        <f>'Cleanup TMS'!G207</f>
        <v>55</v>
      </c>
      <c r="F207" s="71">
        <f>ROUND('Cleanup TMS'!H207,2)</f>
        <v>2.4500000000000002</v>
      </c>
      <c r="G207" s="72" t="str">
        <f>'Cleanup TMS'!I207</f>
        <v>CR 470 E</v>
      </c>
      <c r="H207" s="72" t="str">
        <f>'Cleanup TMS'!J207</f>
        <v>US 301/SR 35</v>
      </c>
      <c r="I207" s="72" t="str">
        <f>'Cleanup TMS'!K207</f>
        <v>NE 50TH WAY</v>
      </c>
      <c r="J207" s="70">
        <f>'Cleanup TMS'!L207</f>
        <v>2</v>
      </c>
      <c r="K207" s="70">
        <v>0</v>
      </c>
      <c r="L207" s="70" t="s">
        <v>646</v>
      </c>
      <c r="M207" s="70" t="s">
        <v>648</v>
      </c>
      <c r="N207" s="152" t="s">
        <v>652</v>
      </c>
      <c r="O207" s="152" t="s">
        <v>547</v>
      </c>
      <c r="P207" s="70" t="str">
        <f>'Cleanup TMS'!V207</f>
        <v>COUNTY</v>
      </c>
      <c r="Q207" s="70" t="str">
        <f>'Cleanup TMS'!W207</f>
        <v>UNINCORPORATED SUMTER COUNTY</v>
      </c>
      <c r="R207" s="70" t="s">
        <v>5</v>
      </c>
      <c r="S207" s="73">
        <f>IF('Cleanup TMS'!AO207=0,"-",'Cleanup TMS'!AO207)</f>
        <v>24200</v>
      </c>
      <c r="T207" s="73">
        <f>'Cleanup TMS'!AP207</f>
        <v>8380</v>
      </c>
      <c r="U207" s="71">
        <f>IF(OR('Cleanup TMS'!AQ207=0,'Cleanup TMS'!AQ207=""),"-",'Cleanup TMS'!AQ207)</f>
        <v>0.35</v>
      </c>
      <c r="V207" s="71" t="str">
        <f>IF(OR('Cleanup TMS'!AR207=0,'Cleanup TMS'!AR207=""),"-",'Cleanup TMS'!AR207)</f>
        <v>B</v>
      </c>
      <c r="W207" s="73">
        <f>IF('Cleanup TMS'!BB207=0,"-",'Cleanup TMS'!BB207)</f>
        <v>1200</v>
      </c>
      <c r="X207" s="73">
        <f>'Cleanup TMS'!BC207</f>
        <v>422</v>
      </c>
      <c r="Y207" s="73">
        <f>'Cleanup TMS'!BD207</f>
        <v>374</v>
      </c>
      <c r="Z207" s="74">
        <f>IF(OR('Cleanup TMS'!BE207=0,'Cleanup TMS'!BE207=""),"-",'Cleanup TMS'!BE207)</f>
        <v>0.35</v>
      </c>
      <c r="AA207" s="74" t="str">
        <f>IF(OR('Cleanup TMS'!BF207=0,'Cleanup TMS'!BF207=""),"-",'Cleanup TMS'!BF207)</f>
        <v>B</v>
      </c>
      <c r="AB207" s="148">
        <f>IF(OR('Cleanup TMS'!BI207="",'Cleanup TMS'!BI207=0),"-",'Cleanup TMS'!BI207)</f>
        <v>2.2499999999999999E-2</v>
      </c>
      <c r="AC207" s="73">
        <f>'Cleanup TMS'!BS207</f>
        <v>0</v>
      </c>
      <c r="AD207" s="73">
        <f t="shared" si="13"/>
        <v>9366</v>
      </c>
      <c r="AE207" s="74" t="str">
        <f>IF(OR('Cleanup TMS'!BU207=0,'Cleanup TMS'!BU207=""),"-",'Cleanup TMS'!BU207)</f>
        <v>-</v>
      </c>
      <c r="AF207" s="74" t="str">
        <f>IF(OR('Cleanup TMS'!BV207=0,'Cleanup TMS'!BV207=""),"-",'Cleanup TMS'!BV207)</f>
        <v>-</v>
      </c>
      <c r="AG207" s="73">
        <f>'Cleanup TMS'!CF207</f>
        <v>0</v>
      </c>
      <c r="AH207" s="73">
        <f t="shared" si="14"/>
        <v>472</v>
      </c>
      <c r="AI207" s="73">
        <f t="shared" si="15"/>
        <v>418</v>
      </c>
      <c r="AJ207" s="71" t="str">
        <f>IF(OR('Cleanup TMS'!CI207=0,'Cleanup TMS'!CI207=""),"-",'Cleanup TMS'!CI207)</f>
        <v>-</v>
      </c>
      <c r="AK207" s="75" t="str">
        <f>IF(OR('Cleanup TMS'!CJ207=0,'Cleanup TMS'!CJ207=""),"-",'Cleanup TMS'!CJ207)</f>
        <v>-</v>
      </c>
    </row>
    <row r="208" spans="1:37" ht="18.75" customHeight="1">
      <c r="A208" s="69">
        <f>'Cleanup TMS'!A208</f>
        <v>35270002</v>
      </c>
      <c r="B208" s="70">
        <f>'Cleanup TMS'!B208</f>
        <v>40</v>
      </c>
      <c r="C208" s="70" t="str">
        <f>IF('Cleanup TMS'!E208="","",'Cleanup TMS'!E208)</f>
        <v/>
      </c>
      <c r="D208" s="70" t="str">
        <f>'Cleanup TMS'!F208</f>
        <v>SUMTER</v>
      </c>
      <c r="E208" s="70">
        <f>'Cleanup TMS'!G208</f>
        <v>55</v>
      </c>
      <c r="F208" s="71">
        <f>ROUND('Cleanup TMS'!H208,2)</f>
        <v>1.49</v>
      </c>
      <c r="G208" s="72" t="str">
        <f>'Cleanup TMS'!I208</f>
        <v>CR 470 E</v>
      </c>
      <c r="H208" s="72" t="str">
        <f>'Cleanup TMS'!J208</f>
        <v>NE 50TH WAY</v>
      </c>
      <c r="I208" s="72" t="str">
        <f>'Cleanup TMS'!K208</f>
        <v>CR 501</v>
      </c>
      <c r="J208" s="70">
        <f>'Cleanup TMS'!L208</f>
        <v>2</v>
      </c>
      <c r="K208" s="70">
        <v>0</v>
      </c>
      <c r="L208" s="70" t="s">
        <v>646</v>
      </c>
      <c r="M208" s="70" t="s">
        <v>648</v>
      </c>
      <c r="N208" s="152" t="s">
        <v>652</v>
      </c>
      <c r="O208" s="152" t="s">
        <v>547</v>
      </c>
      <c r="P208" s="70" t="str">
        <f>'Cleanup TMS'!V208</f>
        <v>COUNTY</v>
      </c>
      <c r="Q208" s="70" t="str">
        <f>'Cleanup TMS'!W208</f>
        <v>WILDWOOD</v>
      </c>
      <c r="R208" s="70" t="s">
        <v>5</v>
      </c>
      <c r="S208" s="73">
        <f>IF('Cleanup TMS'!AO208=0,"-",'Cleanup TMS'!AO208)</f>
        <v>24200</v>
      </c>
      <c r="T208" s="73">
        <f>'Cleanup TMS'!AP208</f>
        <v>15678</v>
      </c>
      <c r="U208" s="71">
        <f>IF(OR('Cleanup TMS'!AQ208=0,'Cleanup TMS'!AQ208=""),"-",'Cleanup TMS'!AQ208)</f>
        <v>0.65</v>
      </c>
      <c r="V208" s="71" t="str">
        <f>IF(OR('Cleanup TMS'!AR208=0,'Cleanup TMS'!AR208=""),"-",'Cleanup TMS'!AR208)</f>
        <v>C</v>
      </c>
      <c r="W208" s="73">
        <f>IF('Cleanup TMS'!BB208=0,"-",'Cleanup TMS'!BB208)</f>
        <v>1200</v>
      </c>
      <c r="X208" s="73">
        <f>'Cleanup TMS'!BC208</f>
        <v>647</v>
      </c>
      <c r="Y208" s="73">
        <f>'Cleanup TMS'!BD208</f>
        <v>465</v>
      </c>
      <c r="Z208" s="74">
        <f>IF(OR('Cleanup TMS'!BE208=0,'Cleanup TMS'!BE208=""),"-",'Cleanup TMS'!BE208)</f>
        <v>0.54</v>
      </c>
      <c r="AA208" s="74" t="str">
        <f>IF(OR('Cleanup TMS'!BF208=0,'Cleanup TMS'!BF208=""),"-",'Cleanup TMS'!BF208)</f>
        <v>C</v>
      </c>
      <c r="AB208" s="148">
        <f>IF(OR('Cleanup TMS'!BI208="",'Cleanup TMS'!BI208=0),"-",'Cleanup TMS'!BI208)</f>
        <v>5.5E-2</v>
      </c>
      <c r="AC208" s="73">
        <f>'Cleanup TMS'!BS208</f>
        <v>0</v>
      </c>
      <c r="AD208" s="73">
        <f t="shared" si="13"/>
        <v>20491</v>
      </c>
      <c r="AE208" s="74" t="str">
        <f>IF(OR('Cleanup TMS'!BU208=0,'Cleanup TMS'!BU208=""),"-",'Cleanup TMS'!BU208)</f>
        <v>-</v>
      </c>
      <c r="AF208" s="74" t="str">
        <f>IF(OR('Cleanup TMS'!BV208=0,'Cleanup TMS'!BV208=""),"-",'Cleanup TMS'!BV208)</f>
        <v>-</v>
      </c>
      <c r="AG208" s="73">
        <f>'Cleanup TMS'!CF208</f>
        <v>0</v>
      </c>
      <c r="AH208" s="73">
        <f t="shared" si="14"/>
        <v>846</v>
      </c>
      <c r="AI208" s="73">
        <f t="shared" si="15"/>
        <v>608</v>
      </c>
      <c r="AJ208" s="71" t="str">
        <f>IF(OR('Cleanup TMS'!CI208=0,'Cleanup TMS'!CI208=""),"-",'Cleanup TMS'!CI208)</f>
        <v>-</v>
      </c>
      <c r="AK208" s="75" t="str">
        <f>IF(OR('Cleanup TMS'!CJ208=0,'Cleanup TMS'!CJ208=""),"-",'Cleanup TMS'!CJ208)</f>
        <v>-</v>
      </c>
    </row>
    <row r="209" spans="1:37" ht="18.75" customHeight="1">
      <c r="A209" s="69">
        <f>'Cleanup TMS'!A209</f>
        <v>35270003</v>
      </c>
      <c r="B209" s="70">
        <f>'Cleanup TMS'!B209</f>
        <v>41</v>
      </c>
      <c r="C209" s="70" t="str">
        <f>IF('Cleanup TMS'!E209="","",'Cleanup TMS'!E209)</f>
        <v/>
      </c>
      <c r="D209" s="70" t="str">
        <f>'Cleanup TMS'!F209</f>
        <v>SUMTER</v>
      </c>
      <c r="E209" s="70">
        <f>'Cleanup TMS'!G209</f>
        <v>55</v>
      </c>
      <c r="F209" s="71">
        <f>ROUND('Cleanup TMS'!H209,2)</f>
        <v>2.56</v>
      </c>
      <c r="G209" s="72" t="str">
        <f>'Cleanup TMS'!I209</f>
        <v>CR 470 E</v>
      </c>
      <c r="H209" s="72" t="str">
        <f>'Cleanup TMS'!J209</f>
        <v>CR 501</v>
      </c>
      <c r="I209" s="72" t="str">
        <f>'Cleanup TMS'!K209</f>
        <v>LAKE COUNTY BOUNDARY</v>
      </c>
      <c r="J209" s="70">
        <f>'Cleanup TMS'!L209</f>
        <v>2</v>
      </c>
      <c r="K209" s="70">
        <v>0</v>
      </c>
      <c r="L209" s="70" t="s">
        <v>646</v>
      </c>
      <c r="M209" s="70" t="s">
        <v>648</v>
      </c>
      <c r="N209" s="152" t="s">
        <v>652</v>
      </c>
      <c r="O209" s="152" t="s">
        <v>547</v>
      </c>
      <c r="P209" s="70" t="str">
        <f>'Cleanup TMS'!V209</f>
        <v>COUNTY</v>
      </c>
      <c r="Q209" s="70" t="str">
        <f>'Cleanup TMS'!W209</f>
        <v>WILDWOOD</v>
      </c>
      <c r="R209" s="70" t="s">
        <v>5</v>
      </c>
      <c r="S209" s="73">
        <f>IF('Cleanup TMS'!AO209=0,"-",'Cleanup TMS'!AO209)</f>
        <v>24200</v>
      </c>
      <c r="T209" s="73">
        <f>'Cleanup TMS'!AP209</f>
        <v>15563</v>
      </c>
      <c r="U209" s="71">
        <f>IF(OR('Cleanup TMS'!AQ209=0,'Cleanup TMS'!AQ209=""),"-",'Cleanup TMS'!AQ209)</f>
        <v>0.64</v>
      </c>
      <c r="V209" s="71" t="str">
        <f>IF(OR('Cleanup TMS'!AR209=0,'Cleanup TMS'!AR209=""),"-",'Cleanup TMS'!AR209)</f>
        <v>C</v>
      </c>
      <c r="W209" s="73">
        <f>IF('Cleanup TMS'!BB209=0,"-",'Cleanup TMS'!BB209)</f>
        <v>1200</v>
      </c>
      <c r="X209" s="73">
        <f>'Cleanup TMS'!BC209</f>
        <v>691</v>
      </c>
      <c r="Y209" s="73">
        <f>'Cleanup TMS'!BD209</f>
        <v>529</v>
      </c>
      <c r="Z209" s="74">
        <f>IF(OR('Cleanup TMS'!BE209=0,'Cleanup TMS'!BE209=""),"-",'Cleanup TMS'!BE209)</f>
        <v>0.57999999999999996</v>
      </c>
      <c r="AA209" s="74" t="str">
        <f>IF(OR('Cleanup TMS'!BF209=0,'Cleanup TMS'!BF209=""),"-",'Cleanup TMS'!BF209)</f>
        <v>C</v>
      </c>
      <c r="AB209" s="148">
        <f>IF(OR('Cleanup TMS'!BI209="",'Cleanup TMS'!BI209=0),"-",'Cleanup TMS'!BI209)</f>
        <v>5.5E-2</v>
      </c>
      <c r="AC209" s="73">
        <f>'Cleanup TMS'!BS209</f>
        <v>0</v>
      </c>
      <c r="AD209" s="73">
        <f t="shared" si="13"/>
        <v>20340</v>
      </c>
      <c r="AE209" s="74" t="str">
        <f>IF(OR('Cleanup TMS'!BU209=0,'Cleanup TMS'!BU209=""),"-",'Cleanup TMS'!BU209)</f>
        <v>-</v>
      </c>
      <c r="AF209" s="74" t="str">
        <f>IF(OR('Cleanup TMS'!BV209=0,'Cleanup TMS'!BV209=""),"-",'Cleanup TMS'!BV209)</f>
        <v>-</v>
      </c>
      <c r="AG209" s="73">
        <f>'Cleanup TMS'!CF209</f>
        <v>0</v>
      </c>
      <c r="AH209" s="73">
        <f t="shared" si="14"/>
        <v>903</v>
      </c>
      <c r="AI209" s="73">
        <f t="shared" si="15"/>
        <v>691</v>
      </c>
      <c r="AJ209" s="71" t="str">
        <f>IF(OR('Cleanup TMS'!CI209=0,'Cleanup TMS'!CI209=""),"-",'Cleanup TMS'!CI209)</f>
        <v>-</v>
      </c>
      <c r="AK209" s="75" t="str">
        <f>IF(OR('Cleanup TMS'!CJ209=0,'Cleanup TMS'!CJ209=""),"-",'Cleanup TMS'!CJ209)</f>
        <v>-</v>
      </c>
    </row>
    <row r="210" spans="1:37" ht="18.75" customHeight="1">
      <c r="A210" s="69">
        <f>'Cleanup TMS'!A210</f>
        <v>35281102</v>
      </c>
      <c r="B210" s="70">
        <f>'Cleanup TMS'!B210</f>
        <v>12</v>
      </c>
      <c r="C210" s="70" t="str">
        <f>IF('Cleanup TMS'!E210="","",'Cleanup TMS'!E210)</f>
        <v/>
      </c>
      <c r="D210" s="70" t="str">
        <f>'Cleanup TMS'!F210</f>
        <v>SUMTER</v>
      </c>
      <c r="E210" s="70">
        <f>'Cleanup TMS'!G210</f>
        <v>35</v>
      </c>
      <c r="F210" s="71">
        <f>ROUND('Cleanup TMS'!H210,2)</f>
        <v>1.54</v>
      </c>
      <c r="G210" s="72" t="str">
        <f>'Cleanup TMS'!I210</f>
        <v>CR 44A</v>
      </c>
      <c r="H210" s="72" t="str">
        <f>'Cleanup TMS'!J210</f>
        <v>SR 44 W</v>
      </c>
      <c r="I210" s="72" t="str">
        <f>'Cleanup TMS'!K210</f>
        <v>CR 213</v>
      </c>
      <c r="J210" s="70">
        <f>'Cleanup TMS'!L210</f>
        <v>2</v>
      </c>
      <c r="K210" s="70">
        <v>2</v>
      </c>
      <c r="L210" s="70" t="s">
        <v>646</v>
      </c>
      <c r="M210" s="70" t="s">
        <v>648</v>
      </c>
      <c r="N210" s="152" t="s">
        <v>652</v>
      </c>
      <c r="O210" s="152" t="s">
        <v>547</v>
      </c>
      <c r="P210" s="70" t="str">
        <f>'Cleanup TMS'!V210</f>
        <v>COUNTY</v>
      </c>
      <c r="Q210" s="70" t="str">
        <f>'Cleanup TMS'!W210</f>
        <v>UNINCORPORATED SUMTER COUNTY</v>
      </c>
      <c r="R210" s="70" t="s">
        <v>5</v>
      </c>
      <c r="S210" s="73">
        <f>IF('Cleanup TMS'!AO210=0,"-",'Cleanup TMS'!AO210)</f>
        <v>24200</v>
      </c>
      <c r="T210" s="73">
        <f>'Cleanup TMS'!AP210</f>
        <v>1599</v>
      </c>
      <c r="U210" s="71">
        <f>IF(OR('Cleanup TMS'!AQ210=0,'Cleanup TMS'!AQ210=""),"-",'Cleanup TMS'!AQ210)</f>
        <v>7.0000000000000007E-2</v>
      </c>
      <c r="V210" s="71" t="str">
        <f>IF(OR('Cleanup TMS'!AR210=0,'Cleanup TMS'!AR210=""),"-",'Cleanup TMS'!AR210)</f>
        <v>B</v>
      </c>
      <c r="W210" s="73">
        <f>IF('Cleanup TMS'!BB210=0,"-",'Cleanup TMS'!BB210)</f>
        <v>1200</v>
      </c>
      <c r="X210" s="73">
        <f>'Cleanup TMS'!BC210</f>
        <v>65</v>
      </c>
      <c r="Y210" s="73">
        <f>'Cleanup TMS'!BD210</f>
        <v>103</v>
      </c>
      <c r="Z210" s="74">
        <f>IF(OR('Cleanup TMS'!BE210=0,'Cleanup TMS'!BE210=""),"-",'Cleanup TMS'!BE210)</f>
        <v>0.09</v>
      </c>
      <c r="AA210" s="74" t="str">
        <f>IF(OR('Cleanup TMS'!BF210=0,'Cleanup TMS'!BF210=""),"-",'Cleanup TMS'!BF210)</f>
        <v>B</v>
      </c>
      <c r="AB210" s="148">
        <f>IF(OR('Cleanup TMS'!BI210="",'Cleanup TMS'!BI210=0),"-",'Cleanup TMS'!BI210)</f>
        <v>7.4999999999999997E-2</v>
      </c>
      <c r="AC210" s="73">
        <f>'Cleanup TMS'!BS210</f>
        <v>24200</v>
      </c>
      <c r="AD210" s="73">
        <f t="shared" si="13"/>
        <v>2296</v>
      </c>
      <c r="AE210" s="74">
        <f>IF(OR('Cleanup TMS'!BU210=0,'Cleanup TMS'!BU210=""),"-",'Cleanup TMS'!BU210)</f>
        <v>0.09</v>
      </c>
      <c r="AF210" s="74" t="str">
        <f>IF(OR('Cleanup TMS'!BV210=0,'Cleanup TMS'!BV210=""),"-",'Cleanup TMS'!BV210)</f>
        <v>B</v>
      </c>
      <c r="AG210" s="73">
        <f>'Cleanup TMS'!CF210</f>
        <v>1200</v>
      </c>
      <c r="AH210" s="73">
        <f t="shared" si="14"/>
        <v>93</v>
      </c>
      <c r="AI210" s="73">
        <f t="shared" si="15"/>
        <v>148</v>
      </c>
      <c r="AJ210" s="71">
        <f>IF(OR('Cleanup TMS'!CI210=0,'Cleanup TMS'!CI210=""),"-",'Cleanup TMS'!CI210)</f>
        <v>0.12</v>
      </c>
      <c r="AK210" s="75" t="str">
        <f>IF(OR('Cleanup TMS'!CJ210=0,'Cleanup TMS'!CJ210=""),"-",'Cleanup TMS'!CJ210)</f>
        <v>B</v>
      </c>
    </row>
    <row r="211" spans="1:37" ht="18.75" customHeight="1">
      <c r="A211" s="69">
        <f>'Cleanup TMS'!A211</f>
        <v>35281103</v>
      </c>
      <c r="B211" s="70" t="str">
        <f>'Cleanup TMS'!B211</f>
        <v>2020-1100</v>
      </c>
      <c r="C211" s="70" t="str">
        <f>IF('Cleanup TMS'!E211="","",'Cleanup TMS'!E211)</f>
        <v/>
      </c>
      <c r="D211" s="70" t="str">
        <f>'Cleanup TMS'!F211</f>
        <v>WILDWOOD</v>
      </c>
      <c r="E211" s="70">
        <f>'Cleanup TMS'!G211</f>
        <v>35</v>
      </c>
      <c r="F211" s="71">
        <f>ROUND('Cleanup TMS'!H211,2)</f>
        <v>1.1299999999999999</v>
      </c>
      <c r="G211" s="72" t="str">
        <f>'Cleanup TMS'!I211</f>
        <v>CR 44A</v>
      </c>
      <c r="H211" s="72" t="str">
        <f>'Cleanup TMS'!J211</f>
        <v>CR 213</v>
      </c>
      <c r="I211" s="72" t="str">
        <f>'Cleanup TMS'!K211</f>
        <v>US 301/SR 35</v>
      </c>
      <c r="J211" s="70">
        <f>'Cleanup TMS'!L211</f>
        <v>2</v>
      </c>
      <c r="K211" s="70">
        <v>2</v>
      </c>
      <c r="L211" s="70" t="s">
        <v>646</v>
      </c>
      <c r="M211" s="70" t="s">
        <v>648</v>
      </c>
      <c r="N211" s="152" t="s">
        <v>652</v>
      </c>
      <c r="O211" s="152" t="s">
        <v>547</v>
      </c>
      <c r="P211" s="70" t="str">
        <f>'Cleanup TMS'!V211</f>
        <v>COUNTY</v>
      </c>
      <c r="Q211" s="70" t="str">
        <f>'Cleanup TMS'!W211</f>
        <v>WILDWOOD</v>
      </c>
      <c r="R211" s="70" t="s">
        <v>5</v>
      </c>
      <c r="S211" s="73">
        <f>IF('Cleanup TMS'!AO211=0,"-",'Cleanup TMS'!AO211)</f>
        <v>24200</v>
      </c>
      <c r="T211" s="73">
        <f>'Cleanup TMS'!AP211</f>
        <v>16340.600000000093</v>
      </c>
      <c r="U211" s="71">
        <f>IF(OR('Cleanup TMS'!AQ211=0,'Cleanup TMS'!AQ211=""),"-",'Cleanup TMS'!AQ211)</f>
        <v>0.68</v>
      </c>
      <c r="V211" s="71" t="str">
        <f>IF(OR('Cleanup TMS'!AR211=0,'Cleanup TMS'!AR211=""),"-",'Cleanup TMS'!AR211)</f>
        <v>C</v>
      </c>
      <c r="W211" s="73">
        <f>IF('Cleanup TMS'!BB211=0,"-",'Cleanup TMS'!BB211)</f>
        <v>1200</v>
      </c>
      <c r="X211" s="73">
        <f>'Cleanup TMS'!BC211</f>
        <v>406</v>
      </c>
      <c r="Y211" s="73">
        <f>'Cleanup TMS'!BD211</f>
        <v>725</v>
      </c>
      <c r="Z211" s="74">
        <f>IF(OR('Cleanup TMS'!BE211=0,'Cleanup TMS'!BE211=""),"-",'Cleanup TMS'!BE211)</f>
        <v>0.6</v>
      </c>
      <c r="AA211" s="74" t="str">
        <f>IF(OR('Cleanup TMS'!BF211=0,'Cleanup TMS'!BF211=""),"-",'Cleanup TMS'!BF211)</f>
        <v>C</v>
      </c>
      <c r="AB211" s="148">
        <f>IF(OR('Cleanup TMS'!BI211="",'Cleanup TMS'!BI211=0),"-",'Cleanup TMS'!BI211)</f>
        <v>0.08</v>
      </c>
      <c r="AC211" s="73">
        <f>'Cleanup TMS'!BS211</f>
        <v>24200</v>
      </c>
      <c r="AD211" s="73">
        <f t="shared" si="13"/>
        <v>24010</v>
      </c>
      <c r="AE211" s="74">
        <f>IF(OR('Cleanup TMS'!BU211=0,'Cleanup TMS'!BU211=""),"-",'Cleanup TMS'!BU211)</f>
        <v>0.99</v>
      </c>
      <c r="AF211" s="74" t="str">
        <f>IF(OR('Cleanup TMS'!BV211=0,'Cleanup TMS'!BV211=""),"-",'Cleanup TMS'!BV211)</f>
        <v>D</v>
      </c>
      <c r="AG211" s="73">
        <f>'Cleanup TMS'!CF211</f>
        <v>1200</v>
      </c>
      <c r="AH211" s="73">
        <f t="shared" si="14"/>
        <v>597</v>
      </c>
      <c r="AI211" s="73">
        <f t="shared" si="15"/>
        <v>1065</v>
      </c>
      <c r="AJ211" s="71">
        <f>IF(OR('Cleanup TMS'!CI211=0,'Cleanup TMS'!CI211=""),"-",'Cleanup TMS'!CI211)</f>
        <v>0.89</v>
      </c>
      <c r="AK211" s="75" t="str">
        <f>IF(OR('Cleanup TMS'!CJ211=0,'Cleanup TMS'!CJ211=""),"-",'Cleanup TMS'!CJ211)</f>
        <v>D</v>
      </c>
    </row>
    <row r="212" spans="1:37" ht="18.75" customHeight="1">
      <c r="A212" s="69">
        <f>'Cleanup TMS'!A212</f>
        <v>35281301</v>
      </c>
      <c r="B212" s="70">
        <f>'Cleanup TMS'!B212</f>
        <v>13</v>
      </c>
      <c r="C212" s="70" t="str">
        <f>IF('Cleanup TMS'!E212="","",'Cleanup TMS'!E212)</f>
        <v>-</v>
      </c>
      <c r="D212" s="70" t="str">
        <f>'Cleanup TMS'!F212</f>
        <v>SUMTER</v>
      </c>
      <c r="E212" s="70">
        <f>'Cleanup TMS'!G212</f>
        <v>35</v>
      </c>
      <c r="F212" s="71">
        <f>ROUND('Cleanup TMS'!H212,2)</f>
        <v>0.52</v>
      </c>
      <c r="G212" s="72" t="str">
        <f>'Cleanup TMS'!I212</f>
        <v>CR 44A</v>
      </c>
      <c r="H212" s="72" t="str">
        <f>'Cleanup TMS'!J212</f>
        <v>CR 139</v>
      </c>
      <c r="I212" s="72" t="str">
        <f>'Cleanup TMS'!K212</f>
        <v>BUENA VISTA BLVD</v>
      </c>
      <c r="J212" s="70">
        <f>'Cleanup TMS'!L212</f>
        <v>4</v>
      </c>
      <c r="K212" s="70">
        <v>4</v>
      </c>
      <c r="L212" s="70" t="s">
        <v>646</v>
      </c>
      <c r="M212" s="70" t="s">
        <v>649</v>
      </c>
      <c r="N212" s="152" t="s">
        <v>651</v>
      </c>
      <c r="O212" s="152" t="s">
        <v>547</v>
      </c>
      <c r="P212" s="70" t="str">
        <f>'Cleanup TMS'!V212</f>
        <v>COUNTY</v>
      </c>
      <c r="Q212" s="70" t="str">
        <f>'Cleanup TMS'!W212</f>
        <v>WILDWOOD</v>
      </c>
      <c r="R212" s="70" t="s">
        <v>5</v>
      </c>
      <c r="S212" s="73">
        <f>IF('Cleanup TMS'!AO212=0,"-",'Cleanup TMS'!AO212)</f>
        <v>30780</v>
      </c>
      <c r="T212" s="73">
        <f>'Cleanup TMS'!AP212</f>
        <v>7827</v>
      </c>
      <c r="U212" s="71">
        <f>IF(OR('Cleanup TMS'!AQ212=0,'Cleanup TMS'!AQ212=""),"-",'Cleanup TMS'!AQ212)</f>
        <v>0.25</v>
      </c>
      <c r="V212" s="71" t="str">
        <f>IF(OR('Cleanup TMS'!AR212=0,'Cleanup TMS'!AR212=""),"-",'Cleanup TMS'!AR212)</f>
        <v>C</v>
      </c>
      <c r="W212" s="73">
        <f>IF('Cleanup TMS'!BB212=0,"-",'Cleanup TMS'!BB212)</f>
        <v>1549</v>
      </c>
      <c r="X212" s="73">
        <f>'Cleanup TMS'!BC212</f>
        <v>307</v>
      </c>
      <c r="Y212" s="73">
        <f>'Cleanup TMS'!BD212</f>
        <v>374</v>
      </c>
      <c r="Z212" s="74">
        <f>IF(OR('Cleanup TMS'!BE212=0,'Cleanup TMS'!BE212=""),"-",'Cleanup TMS'!BE212)</f>
        <v>0.24</v>
      </c>
      <c r="AA212" s="74" t="str">
        <f>IF(OR('Cleanup TMS'!BF212=0,'Cleanup TMS'!BF212=""),"-",'Cleanup TMS'!BF212)</f>
        <v>C</v>
      </c>
      <c r="AB212" s="148">
        <f>IF(OR('Cleanup TMS'!BI212="",'Cleanup TMS'!BI212=0),"-",'Cleanup TMS'!BI212)</f>
        <v>0.01</v>
      </c>
      <c r="AC212" s="73">
        <f>'Cleanup TMS'!BS212</f>
        <v>30780</v>
      </c>
      <c r="AD212" s="73">
        <f t="shared" si="13"/>
        <v>8226</v>
      </c>
      <c r="AE212" s="74">
        <f>IF(OR('Cleanup TMS'!BU212=0,'Cleanup TMS'!BU212=""),"-",'Cleanup TMS'!BU212)</f>
        <v>0.27</v>
      </c>
      <c r="AF212" s="74" t="str">
        <f>IF(OR('Cleanup TMS'!BV212=0,'Cleanup TMS'!BV212=""),"-",'Cleanup TMS'!BV212)</f>
        <v>C</v>
      </c>
      <c r="AG212" s="73">
        <f>'Cleanup TMS'!CF212</f>
        <v>1549</v>
      </c>
      <c r="AH212" s="73">
        <f t="shared" si="14"/>
        <v>323</v>
      </c>
      <c r="AI212" s="73">
        <f t="shared" si="15"/>
        <v>393</v>
      </c>
      <c r="AJ212" s="71">
        <f>IF(OR('Cleanup TMS'!CI212=0,'Cleanup TMS'!CI212=""),"-",'Cleanup TMS'!CI212)</f>
        <v>0.25</v>
      </c>
      <c r="AK212" s="75" t="str">
        <f>IF(OR('Cleanup TMS'!CJ212=0,'Cleanup TMS'!CJ212=""),"-",'Cleanup TMS'!CJ212)</f>
        <v>C</v>
      </c>
    </row>
    <row r="213" spans="1:37" ht="18.75" customHeight="1">
      <c r="A213" s="69">
        <f>'Cleanup TMS'!A213</f>
        <v>35281302</v>
      </c>
      <c r="B213" s="70">
        <f>'Cleanup TMS'!B213</f>
        <v>14</v>
      </c>
      <c r="C213" s="70" t="str">
        <f>IF('Cleanup TMS'!E213="","",'Cleanup TMS'!E213)</f>
        <v/>
      </c>
      <c r="D213" s="70" t="str">
        <f>'Cleanup TMS'!F213</f>
        <v>SUMTER</v>
      </c>
      <c r="E213" s="70">
        <f>'Cleanup TMS'!G213</f>
        <v>25</v>
      </c>
      <c r="F213" s="71">
        <f>ROUND('Cleanup TMS'!H213,2)</f>
        <v>2.8</v>
      </c>
      <c r="G213" s="72" t="str">
        <f>'Cleanup TMS'!I213</f>
        <v>CR 44A</v>
      </c>
      <c r="H213" s="72" t="str">
        <f>'Cleanup TMS'!J213</f>
        <v>BUENA VISTA BLVD</v>
      </c>
      <c r="I213" s="72" t="str">
        <f>'Cleanup TMS'!K213</f>
        <v>SR 44 (E)</v>
      </c>
      <c r="J213" s="70">
        <f>'Cleanup TMS'!L213</f>
        <v>2</v>
      </c>
      <c r="K213" s="70">
        <v>2</v>
      </c>
      <c r="L213" s="70" t="s">
        <v>646</v>
      </c>
      <c r="M213" s="70" t="s">
        <v>648</v>
      </c>
      <c r="N213" s="152" t="s">
        <v>652</v>
      </c>
      <c r="O213" s="152" t="s">
        <v>547</v>
      </c>
      <c r="P213" s="70" t="str">
        <f>'Cleanup TMS'!V213</f>
        <v>COUNTY</v>
      </c>
      <c r="Q213" s="70" t="str">
        <f>'Cleanup TMS'!W213</f>
        <v>UNINCORPORATED SUMTER COUNTY</v>
      </c>
      <c r="R213" s="70" t="s">
        <v>5</v>
      </c>
      <c r="S213" s="73">
        <f>IF('Cleanup TMS'!AO213=0,"-",'Cleanup TMS'!AO213)</f>
        <v>24200</v>
      </c>
      <c r="T213" s="73">
        <f>'Cleanup TMS'!AP213</f>
        <v>3155</v>
      </c>
      <c r="U213" s="71">
        <f>IF(OR('Cleanup TMS'!AQ213=0,'Cleanup TMS'!AQ213=""),"-",'Cleanup TMS'!AQ213)</f>
        <v>0.13</v>
      </c>
      <c r="V213" s="71" t="str">
        <f>IF(OR('Cleanup TMS'!AR213=0,'Cleanup TMS'!AR213=""),"-",'Cleanup TMS'!AR213)</f>
        <v>B</v>
      </c>
      <c r="W213" s="73">
        <f>IF('Cleanup TMS'!BB213=0,"-",'Cleanup TMS'!BB213)</f>
        <v>1200</v>
      </c>
      <c r="X213" s="73">
        <f>'Cleanup TMS'!BC213</f>
        <v>119</v>
      </c>
      <c r="Y213" s="73">
        <f>'Cleanup TMS'!BD213</f>
        <v>174</v>
      </c>
      <c r="Z213" s="74">
        <f>IF(OR('Cleanup TMS'!BE213=0,'Cleanup TMS'!BE213=""),"-",'Cleanup TMS'!BE213)</f>
        <v>0.15</v>
      </c>
      <c r="AA213" s="74" t="str">
        <f>IF(OR('Cleanup TMS'!BF213=0,'Cleanup TMS'!BF213=""),"-",'Cleanup TMS'!BF213)</f>
        <v>B</v>
      </c>
      <c r="AB213" s="148">
        <f>IF(OR('Cleanup TMS'!BI213="",'Cleanup TMS'!BI213=0),"-",'Cleanup TMS'!BI213)</f>
        <v>9.2499999999999999E-2</v>
      </c>
      <c r="AC213" s="73">
        <f>'Cleanup TMS'!BS213</f>
        <v>24200</v>
      </c>
      <c r="AD213" s="73">
        <f t="shared" si="13"/>
        <v>4910</v>
      </c>
      <c r="AE213" s="74">
        <f>IF(OR('Cleanup TMS'!BU213=0,'Cleanup TMS'!BU213=""),"-",'Cleanup TMS'!BU213)</f>
        <v>0.2</v>
      </c>
      <c r="AF213" s="74" t="str">
        <f>IF(OR('Cleanup TMS'!BV213=0,'Cleanup TMS'!BV213=""),"-",'Cleanup TMS'!BV213)</f>
        <v>B</v>
      </c>
      <c r="AG213" s="73">
        <f>'Cleanup TMS'!CF213</f>
        <v>1200</v>
      </c>
      <c r="AH213" s="73">
        <f t="shared" si="14"/>
        <v>185</v>
      </c>
      <c r="AI213" s="73">
        <f t="shared" si="15"/>
        <v>271</v>
      </c>
      <c r="AJ213" s="71">
        <f>IF(OR('Cleanup TMS'!CI213=0,'Cleanup TMS'!CI213=""),"-",'Cleanup TMS'!CI213)</f>
        <v>0.23</v>
      </c>
      <c r="AK213" s="75" t="str">
        <f>IF(OR('Cleanup TMS'!CJ213=0,'Cleanup TMS'!CJ213=""),"-",'Cleanup TMS'!CJ213)</f>
        <v>B</v>
      </c>
    </row>
    <row r="214" spans="1:37" ht="18.75" customHeight="1">
      <c r="A214" s="69">
        <f>'Cleanup TMS'!A214</f>
        <v>35310001</v>
      </c>
      <c r="B214" s="70">
        <f>'Cleanup TMS'!B214</f>
        <v>187006</v>
      </c>
      <c r="C214" s="70">
        <f>IF('Cleanup TMS'!E214="","",'Cleanup TMS'!E214)</f>
        <v>187006</v>
      </c>
      <c r="D214" s="70" t="str">
        <f>'Cleanup TMS'!F214</f>
        <v>SUMTER</v>
      </c>
      <c r="E214" s="70">
        <f>'Cleanup TMS'!G214</f>
        <v>35</v>
      </c>
      <c r="F214" s="71">
        <f>ROUND('Cleanup TMS'!H214,2)</f>
        <v>0.43</v>
      </c>
      <c r="G214" s="72" t="str">
        <f>'Cleanup TMS'!I214</f>
        <v>CR 475 S (MAIN STREET)</v>
      </c>
      <c r="H214" s="72" t="str">
        <f>'Cleanup TMS'!J214</f>
        <v>SR 48 W</v>
      </c>
      <c r="I214" s="72" t="str">
        <f>'Cleanup TMS'!K214</f>
        <v>JUMPER DR S</v>
      </c>
      <c r="J214" s="70">
        <f>'Cleanup TMS'!L214</f>
        <v>4</v>
      </c>
      <c r="K214" s="70">
        <v>4</v>
      </c>
      <c r="L214" s="70" t="s">
        <v>646</v>
      </c>
      <c r="M214" s="70" t="s">
        <v>648</v>
      </c>
      <c r="N214" s="152" t="s">
        <v>651</v>
      </c>
      <c r="O214" s="152" t="s">
        <v>547</v>
      </c>
      <c r="P214" s="70" t="str">
        <f>'Cleanup TMS'!V214</f>
        <v>COUNTY</v>
      </c>
      <c r="Q214" s="70" t="str">
        <f>'Cleanup TMS'!W214</f>
        <v>BUSHNELL</v>
      </c>
      <c r="R214" s="70" t="s">
        <v>5</v>
      </c>
      <c r="S214" s="73">
        <f>IF('Cleanup TMS'!AO214=0,"-",'Cleanup TMS'!AO214)</f>
        <v>30780</v>
      </c>
      <c r="T214" s="73">
        <f>'Cleanup TMS'!AP214</f>
        <v>6470</v>
      </c>
      <c r="U214" s="71">
        <f>IF(OR('Cleanup TMS'!AQ214=0,'Cleanup TMS'!AQ214=""),"-",'Cleanup TMS'!AQ214)</f>
        <v>0.21</v>
      </c>
      <c r="V214" s="71" t="str">
        <f>IF(OR('Cleanup TMS'!AR214=0,'Cleanup TMS'!AR214=""),"-",'Cleanup TMS'!AR214)</f>
        <v>C</v>
      </c>
      <c r="W214" s="73">
        <f>IF('Cleanup TMS'!BB214=0,"-",'Cleanup TMS'!BB214)</f>
        <v>1549</v>
      </c>
      <c r="X214" s="73">
        <f>'Cleanup TMS'!BC214</f>
        <v>326</v>
      </c>
      <c r="Y214" s="73">
        <f>'Cleanup TMS'!BD214</f>
        <v>289</v>
      </c>
      <c r="Z214" s="74">
        <f>IF(OR('Cleanup TMS'!BE214=0,'Cleanup TMS'!BE214=""),"-",'Cleanup TMS'!BE214)</f>
        <v>0.21</v>
      </c>
      <c r="AA214" s="74" t="str">
        <f>IF(OR('Cleanup TMS'!BF214=0,'Cleanup TMS'!BF214=""),"-",'Cleanup TMS'!BF214)</f>
        <v>C</v>
      </c>
      <c r="AB214" s="148">
        <f>IF(OR('Cleanup TMS'!BI214="",'Cleanup TMS'!BI214=0),"-",'Cleanup TMS'!BI214)</f>
        <v>0.01</v>
      </c>
      <c r="AC214" s="73">
        <f>'Cleanup TMS'!BS214</f>
        <v>30780</v>
      </c>
      <c r="AD214" s="73">
        <f t="shared" si="13"/>
        <v>6800</v>
      </c>
      <c r="AE214" s="74">
        <f>IF(OR('Cleanup TMS'!BU214=0,'Cleanup TMS'!BU214=""),"-",'Cleanup TMS'!BU214)</f>
        <v>0.22</v>
      </c>
      <c r="AF214" s="74" t="str">
        <f>IF(OR('Cleanup TMS'!BV214=0,'Cleanup TMS'!BV214=""),"-",'Cleanup TMS'!BV214)</f>
        <v>C</v>
      </c>
      <c r="AG214" s="73">
        <f>'Cleanup TMS'!CF214</f>
        <v>1549</v>
      </c>
      <c r="AH214" s="73">
        <f t="shared" si="14"/>
        <v>343</v>
      </c>
      <c r="AI214" s="73">
        <f t="shared" si="15"/>
        <v>304</v>
      </c>
      <c r="AJ214" s="71">
        <f>IF(OR('Cleanup TMS'!CI214=0,'Cleanup TMS'!CI214=""),"-",'Cleanup TMS'!CI214)</f>
        <v>0.22</v>
      </c>
      <c r="AK214" s="75" t="str">
        <f>IF(OR('Cleanup TMS'!CJ214=0,'Cleanup TMS'!CJ214=""),"-",'Cleanup TMS'!CJ214)</f>
        <v>C</v>
      </c>
    </row>
    <row r="215" spans="1:37" ht="18.75" customHeight="1">
      <c r="A215" s="69">
        <f>'Cleanup TMS'!A215</f>
        <v>35310002</v>
      </c>
      <c r="B215" s="70">
        <f>'Cleanup TMS'!B215</f>
        <v>52</v>
      </c>
      <c r="C215" s="70" t="str">
        <f>IF('Cleanup TMS'!E215="","",'Cleanup TMS'!E215)</f>
        <v/>
      </c>
      <c r="D215" s="70" t="str">
        <f>'Cleanup TMS'!F215</f>
        <v>SUMTER</v>
      </c>
      <c r="E215" s="70">
        <f>'Cleanup TMS'!G215</f>
        <v>45</v>
      </c>
      <c r="F215" s="71">
        <f>ROUND('Cleanup TMS'!H215,2)</f>
        <v>0.56999999999999995</v>
      </c>
      <c r="G215" s="72" t="str">
        <f>'Cleanup TMS'!I215</f>
        <v>CR 475 S (MAIN STREET)</v>
      </c>
      <c r="H215" s="72" t="str">
        <f>'Cleanup TMS'!J215</f>
        <v>JUMPER DR S</v>
      </c>
      <c r="I215" s="72" t="str">
        <f>'Cleanup TMS'!K215</f>
        <v>CR 542 W</v>
      </c>
      <c r="J215" s="70">
        <f>'Cleanup TMS'!L215</f>
        <v>4</v>
      </c>
      <c r="K215" s="70">
        <v>4</v>
      </c>
      <c r="L215" s="70" t="s">
        <v>646</v>
      </c>
      <c r="M215" s="70" t="s">
        <v>648</v>
      </c>
      <c r="N215" s="152" t="s">
        <v>651</v>
      </c>
      <c r="O215" s="152" t="s">
        <v>547</v>
      </c>
      <c r="P215" s="70" t="str">
        <f>'Cleanup TMS'!V215</f>
        <v>COUNTY</v>
      </c>
      <c r="Q215" s="70" t="str">
        <f>'Cleanup TMS'!W215</f>
        <v>BUSHNELL</v>
      </c>
      <c r="R215" s="70" t="s">
        <v>5</v>
      </c>
      <c r="S215" s="73">
        <f>IF('Cleanup TMS'!AO215=0,"-",'Cleanup TMS'!AO215)</f>
        <v>37810</v>
      </c>
      <c r="T215" s="73">
        <f>'Cleanup TMS'!AP215</f>
        <v>5951</v>
      </c>
      <c r="U215" s="71">
        <f>IF(OR('Cleanup TMS'!AQ215=0,'Cleanup TMS'!AQ215=""),"-",'Cleanup TMS'!AQ215)</f>
        <v>0.16</v>
      </c>
      <c r="V215" s="71" t="str">
        <f>IF(OR('Cleanup TMS'!AR215=0,'Cleanup TMS'!AR215=""),"-",'Cleanup TMS'!AR215)</f>
        <v>C</v>
      </c>
      <c r="W215" s="73">
        <f>IF('Cleanup TMS'!BB215=0,"-",'Cleanup TMS'!BB215)</f>
        <v>1900</v>
      </c>
      <c r="X215" s="73">
        <f>'Cleanup TMS'!BC215</f>
        <v>286</v>
      </c>
      <c r="Y215" s="73">
        <f>'Cleanup TMS'!BD215</f>
        <v>258</v>
      </c>
      <c r="Z215" s="74">
        <f>IF(OR('Cleanup TMS'!BE215=0,'Cleanup TMS'!BE215=""),"-",'Cleanup TMS'!BE215)</f>
        <v>0.15</v>
      </c>
      <c r="AA215" s="74" t="str">
        <f>IF(OR('Cleanup TMS'!BF215=0,'Cleanup TMS'!BF215=""),"-",'Cleanup TMS'!BF215)</f>
        <v>C</v>
      </c>
      <c r="AB215" s="148">
        <f>IF(OR('Cleanup TMS'!BI215="",'Cleanup TMS'!BI215=0),"-",'Cleanup TMS'!BI215)</f>
        <v>0.01</v>
      </c>
      <c r="AC215" s="73">
        <f>'Cleanup TMS'!BS215</f>
        <v>37810</v>
      </c>
      <c r="AD215" s="73">
        <f t="shared" si="13"/>
        <v>6255</v>
      </c>
      <c r="AE215" s="74">
        <f>IF(OR('Cleanup TMS'!BU215=0,'Cleanup TMS'!BU215=""),"-",'Cleanup TMS'!BU215)</f>
        <v>0.17</v>
      </c>
      <c r="AF215" s="74" t="str">
        <f>IF(OR('Cleanup TMS'!BV215=0,'Cleanup TMS'!BV215=""),"-",'Cleanup TMS'!BV215)</f>
        <v>C</v>
      </c>
      <c r="AG215" s="73">
        <f>'Cleanup TMS'!CF215</f>
        <v>1900</v>
      </c>
      <c r="AH215" s="73">
        <f t="shared" si="14"/>
        <v>301</v>
      </c>
      <c r="AI215" s="73">
        <f t="shared" si="15"/>
        <v>271</v>
      </c>
      <c r="AJ215" s="71">
        <f>IF(OR('Cleanup TMS'!CI215=0,'Cleanup TMS'!CI215=""),"-",'Cleanup TMS'!CI215)</f>
        <v>0.16</v>
      </c>
      <c r="AK215" s="75" t="str">
        <f>IF(OR('Cleanup TMS'!CJ215=0,'Cleanup TMS'!CJ215=""),"-",'Cleanup TMS'!CJ215)</f>
        <v>C</v>
      </c>
    </row>
    <row r="216" spans="1:37" ht="18.75" customHeight="1">
      <c r="A216" s="69">
        <f>'Cleanup TMS'!A216</f>
        <v>35310003</v>
      </c>
      <c r="B216" s="70">
        <f>'Cleanup TMS'!B216</f>
        <v>51</v>
      </c>
      <c r="C216" s="70" t="str">
        <f>IF('Cleanup TMS'!E216="","",'Cleanup TMS'!E216)</f>
        <v>-</v>
      </c>
      <c r="D216" s="70" t="str">
        <f>'Cleanup TMS'!F216</f>
        <v>CONSTRUCTION</v>
      </c>
      <c r="E216" s="70">
        <f>'Cleanup TMS'!G216</f>
        <v>55</v>
      </c>
      <c r="F216" s="71">
        <f>ROUND('Cleanup TMS'!H216,2)</f>
        <v>1.27</v>
      </c>
      <c r="G216" s="72" t="str">
        <f>'Cleanup TMS'!I216</f>
        <v>CR 475 S (MAIN STREET)</v>
      </c>
      <c r="H216" s="72" t="str">
        <f>'Cleanup TMS'!J216</f>
        <v>CR 542 W</v>
      </c>
      <c r="I216" s="72" t="str">
        <f>'Cleanup TMS'!K216</f>
        <v>CR 532 W</v>
      </c>
      <c r="J216" s="70">
        <f>'Cleanup TMS'!L216</f>
        <v>2</v>
      </c>
      <c r="K216" s="70">
        <v>2</v>
      </c>
      <c r="L216" s="70" t="s">
        <v>646</v>
      </c>
      <c r="M216" s="70" t="s">
        <v>648</v>
      </c>
      <c r="N216" s="152" t="s">
        <v>652</v>
      </c>
      <c r="O216" s="152" t="s">
        <v>547</v>
      </c>
      <c r="P216" s="70" t="str">
        <f>'Cleanup TMS'!V216</f>
        <v>COUNTY</v>
      </c>
      <c r="Q216" s="70" t="str">
        <f>'Cleanup TMS'!W216</f>
        <v>BUSHNELL</v>
      </c>
      <c r="R216" s="70" t="s">
        <v>5</v>
      </c>
      <c r="S216" s="73">
        <f>IF('Cleanup TMS'!AO216=0,"-",'Cleanup TMS'!AO216)</f>
        <v>24200</v>
      </c>
      <c r="T216" s="73">
        <f>'Cleanup TMS'!AP216</f>
        <v>5681</v>
      </c>
      <c r="U216" s="71">
        <f>IF(OR('Cleanup TMS'!AQ216=0,'Cleanup TMS'!AQ216=""),"-",'Cleanup TMS'!AQ216)</f>
        <v>0.23</v>
      </c>
      <c r="V216" s="71" t="str">
        <f>IF(OR('Cleanup TMS'!AR216=0,'Cleanup TMS'!AR216=""),"-",'Cleanup TMS'!AR216)</f>
        <v>B</v>
      </c>
      <c r="W216" s="73">
        <f>IF('Cleanup TMS'!BB216=0,"-",'Cleanup TMS'!BB216)</f>
        <v>1200</v>
      </c>
      <c r="X216" s="73">
        <f>'Cleanup TMS'!BC216</f>
        <v>308</v>
      </c>
      <c r="Y216" s="73">
        <f>'Cleanup TMS'!BD216</f>
        <v>223</v>
      </c>
      <c r="Z216" s="74">
        <f>IF(OR('Cleanup TMS'!BE216=0,'Cleanup TMS'!BE216=""),"-",'Cleanup TMS'!BE216)</f>
        <v>0.26</v>
      </c>
      <c r="AA216" s="74" t="str">
        <f>IF(OR('Cleanup TMS'!BF216=0,'Cleanup TMS'!BF216=""),"-",'Cleanup TMS'!BF216)</f>
        <v>B</v>
      </c>
      <c r="AB216" s="148">
        <f>IF(OR('Cleanup TMS'!BI216="",'Cleanup TMS'!BI216=0),"-",'Cleanup TMS'!BI216)</f>
        <v>2.2499999999999999E-2</v>
      </c>
      <c r="AC216" s="73">
        <f>'Cleanup TMS'!BS216</f>
        <v>24200</v>
      </c>
      <c r="AD216" s="73">
        <f t="shared" si="13"/>
        <v>6350</v>
      </c>
      <c r="AE216" s="74">
        <f>IF(OR('Cleanup TMS'!BU216=0,'Cleanup TMS'!BU216=""),"-",'Cleanup TMS'!BU216)</f>
        <v>0.26</v>
      </c>
      <c r="AF216" s="74" t="str">
        <f>IF(OR('Cleanup TMS'!BV216=0,'Cleanup TMS'!BV216=""),"-",'Cleanup TMS'!BV216)</f>
        <v>B</v>
      </c>
      <c r="AG216" s="73">
        <f>'Cleanup TMS'!CF216</f>
        <v>1200</v>
      </c>
      <c r="AH216" s="73">
        <f t="shared" si="14"/>
        <v>344</v>
      </c>
      <c r="AI216" s="73">
        <f t="shared" si="15"/>
        <v>249</v>
      </c>
      <c r="AJ216" s="71">
        <f>IF(OR('Cleanup TMS'!CI216=0,'Cleanup TMS'!CI216=""),"-",'Cleanup TMS'!CI216)</f>
        <v>0.28999999999999998</v>
      </c>
      <c r="AK216" s="75" t="str">
        <f>IF(OR('Cleanup TMS'!CJ216=0,'Cleanup TMS'!CJ216=""),"-",'Cleanup TMS'!CJ216)</f>
        <v>B</v>
      </c>
    </row>
    <row r="217" spans="1:37" ht="18.75" customHeight="1">
      <c r="A217" s="69">
        <f>'Cleanup TMS'!A217</f>
        <v>35310004</v>
      </c>
      <c r="B217" s="70">
        <f>'Cleanup TMS'!B217</f>
        <v>50</v>
      </c>
      <c r="C217" s="70" t="str">
        <f>IF('Cleanup TMS'!E217="","",'Cleanup TMS'!E217)</f>
        <v>-</v>
      </c>
      <c r="D217" s="70" t="str">
        <f>'Cleanup TMS'!F217</f>
        <v>CONSTRUCTION</v>
      </c>
      <c r="E217" s="70">
        <f>'Cleanup TMS'!G217</f>
        <v>55</v>
      </c>
      <c r="F217" s="71">
        <f>ROUND('Cleanup TMS'!H217,2)</f>
        <v>3.69</v>
      </c>
      <c r="G217" s="72" t="str">
        <f>'Cleanup TMS'!I217</f>
        <v>CR 475 S (MAIN STREET)</v>
      </c>
      <c r="H217" s="72" t="str">
        <f>'Cleanup TMS'!J217</f>
        <v>CR 532 W</v>
      </c>
      <c r="I217" s="72" t="str">
        <f>'Cleanup TMS'!K217</f>
        <v>CR 470 E</v>
      </c>
      <c r="J217" s="70">
        <f>'Cleanup TMS'!L217</f>
        <v>2</v>
      </c>
      <c r="K217" s="70">
        <v>2</v>
      </c>
      <c r="L217" s="70" t="s">
        <v>646</v>
      </c>
      <c r="M217" s="70" t="s">
        <v>648</v>
      </c>
      <c r="N217" s="152" t="s">
        <v>652</v>
      </c>
      <c r="O217" s="152" t="s">
        <v>547</v>
      </c>
      <c r="P217" s="70" t="str">
        <f>'Cleanup TMS'!V217</f>
        <v>COUNTY</v>
      </c>
      <c r="Q217" s="70" t="str">
        <f>'Cleanup TMS'!W217</f>
        <v>BUSHNELL</v>
      </c>
      <c r="R217" s="70" t="s">
        <v>5</v>
      </c>
      <c r="S217" s="73">
        <f>IF('Cleanup TMS'!AO217=0,"-",'Cleanup TMS'!AO217)</f>
        <v>24200</v>
      </c>
      <c r="T217" s="73">
        <f>'Cleanup TMS'!AP217</f>
        <v>5297</v>
      </c>
      <c r="U217" s="71">
        <f>IF(OR('Cleanup TMS'!AQ217=0,'Cleanup TMS'!AQ217=""),"-",'Cleanup TMS'!AQ217)</f>
        <v>0.22</v>
      </c>
      <c r="V217" s="71" t="str">
        <f>IF(OR('Cleanup TMS'!AR217=0,'Cleanup TMS'!AR217=""),"-",'Cleanup TMS'!AR217)</f>
        <v>B</v>
      </c>
      <c r="W217" s="73">
        <f>IF('Cleanup TMS'!BB217=0,"-",'Cleanup TMS'!BB217)</f>
        <v>1200</v>
      </c>
      <c r="X217" s="73">
        <f>'Cleanup TMS'!BC217</f>
        <v>314</v>
      </c>
      <c r="Y217" s="73">
        <f>'Cleanup TMS'!BD217</f>
        <v>214</v>
      </c>
      <c r="Z217" s="74">
        <f>IF(OR('Cleanup TMS'!BE217=0,'Cleanup TMS'!BE217=""),"-",'Cleanup TMS'!BE217)</f>
        <v>0.26</v>
      </c>
      <c r="AA217" s="74" t="str">
        <f>IF(OR('Cleanup TMS'!BF217=0,'Cleanup TMS'!BF217=""),"-",'Cleanup TMS'!BF217)</f>
        <v>B</v>
      </c>
      <c r="AB217" s="148">
        <f>IF(OR('Cleanup TMS'!BI217="",'Cleanup TMS'!BI217=0),"-",'Cleanup TMS'!BI217)</f>
        <v>2.2499999999999999E-2</v>
      </c>
      <c r="AC217" s="73">
        <f>'Cleanup TMS'!BS217</f>
        <v>24200</v>
      </c>
      <c r="AD217" s="73">
        <f t="shared" si="13"/>
        <v>5920</v>
      </c>
      <c r="AE217" s="74">
        <f>IF(OR('Cleanup TMS'!BU217=0,'Cleanup TMS'!BU217=""),"-",'Cleanup TMS'!BU217)</f>
        <v>0.24</v>
      </c>
      <c r="AF217" s="74" t="str">
        <f>IF(OR('Cleanup TMS'!BV217=0,'Cleanup TMS'!BV217=""),"-",'Cleanup TMS'!BV217)</f>
        <v>B</v>
      </c>
      <c r="AG217" s="73">
        <f>'Cleanup TMS'!CF217</f>
        <v>1200</v>
      </c>
      <c r="AH217" s="73">
        <f t="shared" si="14"/>
        <v>351</v>
      </c>
      <c r="AI217" s="73">
        <f t="shared" si="15"/>
        <v>239</v>
      </c>
      <c r="AJ217" s="71">
        <f>IF(OR('Cleanup TMS'!CI217=0,'Cleanup TMS'!CI217=""),"-",'Cleanup TMS'!CI217)</f>
        <v>0.28999999999999998</v>
      </c>
      <c r="AK217" s="75" t="str">
        <f>IF(OR('Cleanup TMS'!CJ217=0,'Cleanup TMS'!CJ217=""),"-",'Cleanup TMS'!CJ217)</f>
        <v>B</v>
      </c>
    </row>
    <row r="218" spans="1:37" ht="18.75" customHeight="1">
      <c r="A218" s="69">
        <f>'Cleanup TMS'!A218</f>
        <v>35320001</v>
      </c>
      <c r="B218" s="70">
        <f>'Cleanup TMS'!B218</f>
        <v>84</v>
      </c>
      <c r="C218" s="70">
        <f>IF('Cleanup TMS'!E218="","",'Cleanup TMS'!E218)</f>
        <v>188011</v>
      </c>
      <c r="D218" s="70" t="str">
        <f>'Cleanup TMS'!F218</f>
        <v>FDOT</v>
      </c>
      <c r="E218" s="70">
        <f>'Cleanup TMS'!G218</f>
        <v>55</v>
      </c>
      <c r="F218" s="71">
        <f>ROUND('Cleanup TMS'!H218,2)</f>
        <v>1.6</v>
      </c>
      <c r="G218" s="72" t="str">
        <f>'Cleanup TMS'!I218</f>
        <v>CR 575</v>
      </c>
      <c r="H218" s="72" t="str">
        <f>'Cleanup TMS'!J218</f>
        <v>CR 476</v>
      </c>
      <c r="I218" s="72" t="str">
        <f>'Cleanup TMS'!K218</f>
        <v>CR 663</v>
      </c>
      <c r="J218" s="70">
        <f>'Cleanup TMS'!L218</f>
        <v>2</v>
      </c>
      <c r="K218" s="70">
        <v>2</v>
      </c>
      <c r="L218" s="70" t="s">
        <v>647</v>
      </c>
      <c r="M218" s="70" t="s">
        <v>648</v>
      </c>
      <c r="N218" s="152" t="s">
        <v>652</v>
      </c>
      <c r="O218" s="152" t="s">
        <v>655</v>
      </c>
      <c r="P218" s="70" t="str">
        <f>'Cleanup TMS'!V218</f>
        <v>COUNTY</v>
      </c>
      <c r="Q218" s="70" t="str">
        <f>'Cleanup TMS'!W218</f>
        <v>UNINCORPORATED SUMTER COUNTY</v>
      </c>
      <c r="R218" s="70" t="s">
        <v>4</v>
      </c>
      <c r="S218" s="73">
        <f>IF('Cleanup TMS'!AO218=0,"-",'Cleanup TMS'!AO218)</f>
        <v>15700</v>
      </c>
      <c r="T218" s="73">
        <f>'Cleanup TMS'!AP218</f>
        <v>1053</v>
      </c>
      <c r="U218" s="71">
        <f>IF(OR('Cleanup TMS'!AQ218=0,'Cleanup TMS'!AQ218=""),"-",'Cleanup TMS'!AQ218)</f>
        <v>7.0000000000000007E-2</v>
      </c>
      <c r="V218" s="71" t="str">
        <f>IF(OR('Cleanup TMS'!AR218=0,'Cleanup TMS'!AR218=""),"-",'Cleanup TMS'!AR218)</f>
        <v>B</v>
      </c>
      <c r="W218" s="73">
        <f>IF('Cleanup TMS'!BB218=0,"-",'Cleanup TMS'!BB218)</f>
        <v>820</v>
      </c>
      <c r="X218" s="73">
        <f>'Cleanup TMS'!BC218</f>
        <v>42</v>
      </c>
      <c r="Y218" s="73">
        <f>'Cleanup TMS'!BD218</f>
        <v>61</v>
      </c>
      <c r="Z218" s="74">
        <f>IF(OR('Cleanup TMS'!BE218=0,'Cleanup TMS'!BE218=""),"-",'Cleanup TMS'!BE218)</f>
        <v>7.0000000000000007E-2</v>
      </c>
      <c r="AA218" s="74" t="str">
        <f>IF(OR('Cleanup TMS'!BF218=0,'Cleanup TMS'!BF218=""),"-",'Cleanup TMS'!BF218)</f>
        <v>B</v>
      </c>
      <c r="AB218" s="148">
        <f>IF(OR('Cleanup TMS'!BI218="",'Cleanup TMS'!BI218=0),"-",'Cleanup TMS'!BI218)</f>
        <v>0.01</v>
      </c>
      <c r="AC218" s="73">
        <f>'Cleanup TMS'!BS218</f>
        <v>15700</v>
      </c>
      <c r="AD218" s="73">
        <f t="shared" si="13"/>
        <v>1107</v>
      </c>
      <c r="AE218" s="74">
        <f>IF(OR('Cleanup TMS'!BU218=0,'Cleanup TMS'!BU218=""),"-",'Cleanup TMS'!BU218)</f>
        <v>7.0000000000000007E-2</v>
      </c>
      <c r="AF218" s="74" t="str">
        <f>IF(OR('Cleanup TMS'!BV218=0,'Cleanup TMS'!BV218=""),"-",'Cleanup TMS'!BV218)</f>
        <v>B</v>
      </c>
      <c r="AG218" s="73">
        <f>'Cleanup TMS'!CF218</f>
        <v>820</v>
      </c>
      <c r="AH218" s="73">
        <f t="shared" si="14"/>
        <v>44</v>
      </c>
      <c r="AI218" s="73">
        <f t="shared" si="15"/>
        <v>64</v>
      </c>
      <c r="AJ218" s="71">
        <f>IF(OR('Cleanup TMS'!CI218=0,'Cleanup TMS'!CI218=""),"-",'Cleanup TMS'!CI218)</f>
        <v>0.08</v>
      </c>
      <c r="AK218" s="75" t="str">
        <f>IF(OR('Cleanup TMS'!CJ218=0,'Cleanup TMS'!CJ218=""),"-",'Cleanup TMS'!CJ218)</f>
        <v>B</v>
      </c>
    </row>
    <row r="219" spans="1:37" ht="18.75" customHeight="1">
      <c r="A219" s="69">
        <f>'Cleanup TMS'!A219</f>
        <v>35331101</v>
      </c>
      <c r="B219" s="70">
        <f>'Cleanup TMS'!B219</f>
        <v>29</v>
      </c>
      <c r="C219" s="70" t="str">
        <f>IF('Cleanup TMS'!E219="","",'Cleanup TMS'!E219)</f>
        <v/>
      </c>
      <c r="D219" s="70" t="str">
        <f>'Cleanup TMS'!F219</f>
        <v>SUMTER</v>
      </c>
      <c r="E219" s="70">
        <f>'Cleanup TMS'!G219</f>
        <v>45</v>
      </c>
      <c r="F219" s="71">
        <f>ROUND('Cleanup TMS'!H219,2)</f>
        <v>0.75</v>
      </c>
      <c r="G219" s="72" t="str">
        <f>'Cleanup TMS'!I219</f>
        <v>CR 466A</v>
      </c>
      <c r="H219" s="72" t="str">
        <f>'Cleanup TMS'!J219</f>
        <v>CR 462/CR 139</v>
      </c>
      <c r="I219" s="72" t="str">
        <f>'Cleanup TMS'!K219</f>
        <v>CR 133 (NE 57TH Dr)</v>
      </c>
      <c r="J219" s="70">
        <f>'Cleanup TMS'!L219</f>
        <v>4</v>
      </c>
      <c r="K219" s="70">
        <v>4</v>
      </c>
      <c r="L219" s="70" t="s">
        <v>646</v>
      </c>
      <c r="M219" s="70" t="s">
        <v>649</v>
      </c>
      <c r="N219" s="152" t="s">
        <v>651</v>
      </c>
      <c r="O219" s="152" t="s">
        <v>547</v>
      </c>
      <c r="P219" s="70" t="str">
        <f>'Cleanup TMS'!V219</f>
        <v>COUNTY</v>
      </c>
      <c r="Q219" s="70" t="str">
        <f>'Cleanup TMS'!W219</f>
        <v>WILDWOOD</v>
      </c>
      <c r="R219" s="70" t="s">
        <v>5</v>
      </c>
      <c r="S219" s="73">
        <f>IF('Cleanup TMS'!AO219=0,"-",'Cleanup TMS'!AO219)</f>
        <v>37810</v>
      </c>
      <c r="T219" s="73">
        <f>'Cleanup TMS'!AP219</f>
        <v>26935</v>
      </c>
      <c r="U219" s="71">
        <f>IF(OR('Cleanup TMS'!AQ219=0,'Cleanup TMS'!AQ219=""),"-",'Cleanup TMS'!AQ219)</f>
        <v>0.71</v>
      </c>
      <c r="V219" s="71" t="str">
        <f>IF(OR('Cleanup TMS'!AR219=0,'Cleanup TMS'!AR219=""),"-",'Cleanup TMS'!AR219)</f>
        <v>C</v>
      </c>
      <c r="W219" s="73">
        <f>IF('Cleanup TMS'!BB219=0,"-",'Cleanup TMS'!BB219)</f>
        <v>1900</v>
      </c>
      <c r="X219" s="73">
        <f>'Cleanup TMS'!BC219</f>
        <v>1095</v>
      </c>
      <c r="Y219" s="73">
        <f>'Cleanup TMS'!BD219</f>
        <v>1277</v>
      </c>
      <c r="Z219" s="74">
        <f>IF(OR('Cleanup TMS'!BE219=0,'Cleanup TMS'!BE219=""),"-",'Cleanup TMS'!BE219)</f>
        <v>0.67</v>
      </c>
      <c r="AA219" s="74" t="str">
        <f>IF(OR('Cleanup TMS'!BF219=0,'Cleanup TMS'!BF219=""),"-",'Cleanup TMS'!BF219)</f>
        <v>C</v>
      </c>
      <c r="AB219" s="148">
        <f>IF(OR('Cleanup TMS'!BI219="",'Cleanup TMS'!BI219=0),"-",'Cleanup TMS'!BI219)</f>
        <v>4.4999999999999998E-2</v>
      </c>
      <c r="AC219" s="73">
        <f>'Cleanup TMS'!BS219</f>
        <v>37810</v>
      </c>
      <c r="AD219" s="73">
        <f t="shared" si="13"/>
        <v>33566</v>
      </c>
      <c r="AE219" s="74">
        <f>IF(OR('Cleanup TMS'!BU219=0,'Cleanup TMS'!BU219=""),"-",'Cleanup TMS'!BU219)</f>
        <v>0.89</v>
      </c>
      <c r="AF219" s="74" t="str">
        <f>IF(OR('Cleanup TMS'!BV219=0,'Cleanup TMS'!BV219=""),"-",'Cleanup TMS'!BV219)</f>
        <v>C</v>
      </c>
      <c r="AG219" s="73">
        <f>'Cleanup TMS'!CF219</f>
        <v>1900</v>
      </c>
      <c r="AH219" s="73">
        <f t="shared" si="14"/>
        <v>1365</v>
      </c>
      <c r="AI219" s="73">
        <f t="shared" si="15"/>
        <v>1591</v>
      </c>
      <c r="AJ219" s="71">
        <f>IF(OR('Cleanup TMS'!CI219=0,'Cleanup TMS'!CI219=""),"-",'Cleanup TMS'!CI219)</f>
        <v>0.84</v>
      </c>
      <c r="AK219" s="75" t="str">
        <f>IF(OR('Cleanup TMS'!CJ219=0,'Cleanup TMS'!CJ219=""),"-",'Cleanup TMS'!CJ219)</f>
        <v>C</v>
      </c>
    </row>
    <row r="220" spans="1:37" ht="18.75" customHeight="1">
      <c r="A220" s="69">
        <f>'Cleanup TMS'!A220</f>
        <v>35331102</v>
      </c>
      <c r="B220" s="70">
        <f>'Cleanup TMS'!B220</f>
        <v>30</v>
      </c>
      <c r="C220" s="70" t="str">
        <f>IF('Cleanup TMS'!E220="","",'Cleanup TMS'!E220)</f>
        <v/>
      </c>
      <c r="D220" s="70" t="str">
        <f>'Cleanup TMS'!F220</f>
        <v>SUMTER</v>
      </c>
      <c r="E220" s="70">
        <f>'Cleanup TMS'!G220</f>
        <v>45</v>
      </c>
      <c r="F220" s="71">
        <f>ROUND('Cleanup TMS'!H220,2)</f>
        <v>0.68</v>
      </c>
      <c r="G220" s="72" t="str">
        <f>'Cleanup TMS'!I220</f>
        <v>CR 466A</v>
      </c>
      <c r="H220" s="72" t="str">
        <f>'Cleanup TMS'!J220</f>
        <v>CR 133 (NE 57TH DR)</v>
      </c>
      <c r="I220" s="72" t="str">
        <f>'Cleanup TMS'!K220</f>
        <v>BUENA VISTA BLVD</v>
      </c>
      <c r="J220" s="70">
        <f>'Cleanup TMS'!L220</f>
        <v>4</v>
      </c>
      <c r="K220" s="70">
        <v>4</v>
      </c>
      <c r="L220" s="70" t="s">
        <v>646</v>
      </c>
      <c r="M220" s="70" t="s">
        <v>649</v>
      </c>
      <c r="N220" s="152" t="s">
        <v>651</v>
      </c>
      <c r="O220" s="152" t="s">
        <v>547</v>
      </c>
      <c r="P220" s="70" t="str">
        <f>'Cleanup TMS'!V220</f>
        <v>COUNTY</v>
      </c>
      <c r="Q220" s="70" t="str">
        <f>'Cleanup TMS'!W220</f>
        <v>WILDWOOD</v>
      </c>
      <c r="R220" s="70" t="s">
        <v>5</v>
      </c>
      <c r="S220" s="73">
        <f>IF('Cleanup TMS'!AO220=0,"-",'Cleanup TMS'!AO220)</f>
        <v>37810</v>
      </c>
      <c r="T220" s="73">
        <f>'Cleanup TMS'!AP220</f>
        <v>28605</v>
      </c>
      <c r="U220" s="71">
        <f>IF(OR('Cleanup TMS'!AQ220=0,'Cleanup TMS'!AQ220=""),"-",'Cleanup TMS'!AQ220)</f>
        <v>0.76</v>
      </c>
      <c r="V220" s="71" t="str">
        <f>IF(OR('Cleanup TMS'!AR220=0,'Cleanup TMS'!AR220=""),"-",'Cleanup TMS'!AR220)</f>
        <v>C</v>
      </c>
      <c r="W220" s="73">
        <f>IF('Cleanup TMS'!BB220=0,"-",'Cleanup TMS'!BB220)</f>
        <v>1900</v>
      </c>
      <c r="X220" s="73">
        <f>'Cleanup TMS'!BC220</f>
        <v>1270</v>
      </c>
      <c r="Y220" s="73">
        <f>'Cleanup TMS'!BD220</f>
        <v>1305</v>
      </c>
      <c r="Z220" s="74">
        <f>IF(OR('Cleanup TMS'!BE220=0,'Cleanup TMS'!BE220=""),"-",'Cleanup TMS'!BE220)</f>
        <v>0.69</v>
      </c>
      <c r="AA220" s="74" t="str">
        <f>IF(OR('Cleanup TMS'!BF220=0,'Cleanup TMS'!BF220=""),"-",'Cleanup TMS'!BF220)</f>
        <v>C</v>
      </c>
      <c r="AB220" s="148">
        <f>IF(OR('Cleanup TMS'!BI220="",'Cleanup TMS'!BI220=0),"-",'Cleanup TMS'!BI220)</f>
        <v>3.7499999999999999E-2</v>
      </c>
      <c r="AC220" s="73">
        <f>'Cleanup TMS'!BS220</f>
        <v>37810</v>
      </c>
      <c r="AD220" s="73">
        <f t="shared" si="13"/>
        <v>34386</v>
      </c>
      <c r="AE220" s="74">
        <f>IF(OR('Cleanup TMS'!BU220=0,'Cleanup TMS'!BU220=""),"-",'Cleanup TMS'!BU220)</f>
        <v>0.91</v>
      </c>
      <c r="AF220" s="74" t="str">
        <f>IF(OR('Cleanup TMS'!BV220=0,'Cleanup TMS'!BV220=""),"-",'Cleanup TMS'!BV220)</f>
        <v>C</v>
      </c>
      <c r="AG220" s="73">
        <f>'Cleanup TMS'!CF220</f>
        <v>1900</v>
      </c>
      <c r="AH220" s="73">
        <f t="shared" si="14"/>
        <v>1527</v>
      </c>
      <c r="AI220" s="73">
        <f t="shared" si="15"/>
        <v>1569</v>
      </c>
      <c r="AJ220" s="71">
        <f>IF(OR('Cleanup TMS'!CI220=0,'Cleanup TMS'!CI220=""),"-",'Cleanup TMS'!CI220)</f>
        <v>0.83</v>
      </c>
      <c r="AK220" s="75" t="str">
        <f>IF(OR('Cleanup TMS'!CJ220=0,'Cleanup TMS'!CJ220=""),"-",'Cleanup TMS'!CJ220)</f>
        <v>C</v>
      </c>
    </row>
    <row r="221" spans="1:37" ht="18.75" customHeight="1">
      <c r="A221" s="69">
        <f>'Cleanup TMS'!A221</f>
        <v>35331103</v>
      </c>
      <c r="B221" s="70">
        <f>'Cleanup TMS'!B221</f>
        <v>31</v>
      </c>
      <c r="C221" s="70" t="str">
        <f>IF('Cleanup TMS'!E221="","",'Cleanup TMS'!E221)</f>
        <v/>
      </c>
      <c r="D221" s="70" t="str">
        <f>'Cleanup TMS'!F221</f>
        <v>ADJACENT</v>
      </c>
      <c r="E221" s="70">
        <f>'Cleanup TMS'!G221</f>
        <v>45</v>
      </c>
      <c r="F221" s="71">
        <f>ROUND('Cleanup TMS'!H221,2)</f>
        <v>1.07</v>
      </c>
      <c r="G221" s="72" t="str">
        <f>'Cleanup TMS'!I221</f>
        <v>CR 466A</v>
      </c>
      <c r="H221" s="72" t="str">
        <f>'Cleanup TMS'!J221</f>
        <v>BUENA VISTA BLVD</v>
      </c>
      <c r="I221" s="72" t="str">
        <f>'Cleanup TMS'!K221</f>
        <v>CANAL ST</v>
      </c>
      <c r="J221" s="70">
        <f>'Cleanup TMS'!L221</f>
        <v>4</v>
      </c>
      <c r="K221" s="70">
        <v>4</v>
      </c>
      <c r="L221" s="70" t="s">
        <v>646</v>
      </c>
      <c r="M221" s="70" t="s">
        <v>649</v>
      </c>
      <c r="N221" s="152" t="s">
        <v>651</v>
      </c>
      <c r="O221" s="152" t="s">
        <v>547</v>
      </c>
      <c r="P221" s="70" t="str">
        <f>'Cleanup TMS'!V221</f>
        <v>COUNTY</v>
      </c>
      <c r="Q221" s="70" t="str">
        <f>'Cleanup TMS'!W221</f>
        <v>UNINCORPORATED SUMTER COUNTY</v>
      </c>
      <c r="R221" s="70" t="s">
        <v>5</v>
      </c>
      <c r="S221" s="73">
        <f>IF('Cleanup TMS'!AO221=0,"-",'Cleanup TMS'!AO221)</f>
        <v>37810</v>
      </c>
      <c r="T221" s="73">
        <f>'Cleanup TMS'!AP221</f>
        <v>19155</v>
      </c>
      <c r="U221" s="71">
        <f>IF(OR('Cleanup TMS'!AQ221=0,'Cleanup TMS'!AQ221=""),"-",'Cleanup TMS'!AQ221)</f>
        <v>0.51</v>
      </c>
      <c r="V221" s="71" t="str">
        <f>IF(OR('Cleanup TMS'!AR221=0,'Cleanup TMS'!AR221=""),"-",'Cleanup TMS'!AR221)</f>
        <v>C</v>
      </c>
      <c r="W221" s="73">
        <f>IF('Cleanup TMS'!BB221=0,"-",'Cleanup TMS'!BB221)</f>
        <v>1900</v>
      </c>
      <c r="X221" s="73">
        <f>'Cleanup TMS'!BC221</f>
        <v>879</v>
      </c>
      <c r="Y221" s="73">
        <f>'Cleanup TMS'!BD221</f>
        <v>858</v>
      </c>
      <c r="Z221" s="74">
        <f>IF(OR('Cleanup TMS'!BE221=0,'Cleanup TMS'!BE221=""),"-",'Cleanup TMS'!BE221)</f>
        <v>0.46</v>
      </c>
      <c r="AA221" s="74" t="str">
        <f>IF(OR('Cleanup TMS'!BF221=0,'Cleanup TMS'!BF221=""),"-",'Cleanup TMS'!BF221)</f>
        <v>C</v>
      </c>
      <c r="AB221" s="148">
        <f>IF(OR('Cleanup TMS'!BI221="",'Cleanup TMS'!BI221=0),"-",'Cleanup TMS'!BI221)</f>
        <v>0.01</v>
      </c>
      <c r="AC221" s="73">
        <f>'Cleanup TMS'!BS221</f>
        <v>37810</v>
      </c>
      <c r="AD221" s="73">
        <f t="shared" si="13"/>
        <v>20132</v>
      </c>
      <c r="AE221" s="74">
        <f>IF(OR('Cleanup TMS'!BU221=0,'Cleanup TMS'!BU221=""),"-",'Cleanup TMS'!BU221)</f>
        <v>0.53</v>
      </c>
      <c r="AF221" s="74" t="str">
        <f>IF(OR('Cleanup TMS'!BV221=0,'Cleanup TMS'!BV221=""),"-",'Cleanup TMS'!BV221)</f>
        <v>C</v>
      </c>
      <c r="AG221" s="73">
        <f>'Cleanup TMS'!CF221</f>
        <v>1900</v>
      </c>
      <c r="AH221" s="73">
        <f t="shared" si="14"/>
        <v>924</v>
      </c>
      <c r="AI221" s="73">
        <f t="shared" si="15"/>
        <v>902</v>
      </c>
      <c r="AJ221" s="71">
        <f>IF(OR('Cleanup TMS'!CI221=0,'Cleanup TMS'!CI221=""),"-",'Cleanup TMS'!CI221)</f>
        <v>0.49</v>
      </c>
      <c r="AK221" s="75" t="str">
        <f>IF(OR('Cleanup TMS'!CJ221=0,'Cleanup TMS'!CJ221=""),"-",'Cleanup TMS'!CJ221)</f>
        <v>C</v>
      </c>
    </row>
    <row r="222" spans="1:37" ht="18.75" customHeight="1">
      <c r="A222" s="69">
        <f>'Cleanup TMS'!A222</f>
        <v>35331104</v>
      </c>
      <c r="B222" s="70">
        <f>'Cleanup TMS'!B222</f>
        <v>31</v>
      </c>
      <c r="C222" s="70" t="str">
        <f>IF('Cleanup TMS'!E222="","",'Cleanup TMS'!E222)</f>
        <v/>
      </c>
      <c r="D222" s="70" t="str">
        <f>'Cleanup TMS'!F222</f>
        <v>SUMTER</v>
      </c>
      <c r="E222" s="70">
        <f>'Cleanup TMS'!G222</f>
        <v>45</v>
      </c>
      <c r="F222" s="71">
        <f>ROUND('Cleanup TMS'!H222,2)</f>
        <v>1.07</v>
      </c>
      <c r="G222" s="72" t="str">
        <f>'Cleanup TMS'!I222</f>
        <v>CR 466A</v>
      </c>
      <c r="H222" s="72" t="str">
        <f>'Cleanup TMS'!J222</f>
        <v>CANAL ST</v>
      </c>
      <c r="I222" s="72" t="str">
        <f>'Cleanup TMS'!K222</f>
        <v>MORSE BLVD</v>
      </c>
      <c r="J222" s="70">
        <f>'Cleanup TMS'!L222</f>
        <v>4</v>
      </c>
      <c r="K222" s="70">
        <v>4</v>
      </c>
      <c r="L222" s="70" t="s">
        <v>646</v>
      </c>
      <c r="M222" s="70" t="s">
        <v>649</v>
      </c>
      <c r="N222" s="152" t="s">
        <v>651</v>
      </c>
      <c r="O222" s="152" t="s">
        <v>547</v>
      </c>
      <c r="P222" s="70" t="str">
        <f>'Cleanup TMS'!V222</f>
        <v>COUNTY</v>
      </c>
      <c r="Q222" s="70" t="str">
        <f>'Cleanup TMS'!W222</f>
        <v>UNINCORPORATED SUMTER COUNTY</v>
      </c>
      <c r="R222" s="70" t="s">
        <v>5</v>
      </c>
      <c r="S222" s="73">
        <f>IF('Cleanup TMS'!AO222=0,"-",'Cleanup TMS'!AO222)</f>
        <v>37810</v>
      </c>
      <c r="T222" s="73">
        <f>'Cleanup TMS'!AP222</f>
        <v>19155</v>
      </c>
      <c r="U222" s="71">
        <f>IF(OR('Cleanup TMS'!AQ222=0,'Cleanup TMS'!AQ222=""),"-",'Cleanup TMS'!AQ222)</f>
        <v>0.51</v>
      </c>
      <c r="V222" s="71" t="str">
        <f>IF(OR('Cleanup TMS'!AR222=0,'Cleanup TMS'!AR222=""),"-",'Cleanup TMS'!AR222)</f>
        <v>C</v>
      </c>
      <c r="W222" s="73">
        <f>IF('Cleanup TMS'!BB222=0,"-",'Cleanup TMS'!BB222)</f>
        <v>1900</v>
      </c>
      <c r="X222" s="73">
        <f>'Cleanup TMS'!BC222</f>
        <v>879</v>
      </c>
      <c r="Y222" s="73">
        <f>'Cleanup TMS'!BD222</f>
        <v>858</v>
      </c>
      <c r="Z222" s="74">
        <f>IF(OR('Cleanup TMS'!BE222=0,'Cleanup TMS'!BE222=""),"-",'Cleanup TMS'!BE222)</f>
        <v>0.46</v>
      </c>
      <c r="AA222" s="74" t="str">
        <f>IF(OR('Cleanup TMS'!BF222=0,'Cleanup TMS'!BF222=""),"-",'Cleanup TMS'!BF222)</f>
        <v>C</v>
      </c>
      <c r="AB222" s="148">
        <f>IF(OR('Cleanup TMS'!BI222="",'Cleanup TMS'!BI222=0),"-",'Cleanup TMS'!BI222)</f>
        <v>0.01</v>
      </c>
      <c r="AC222" s="73">
        <f>'Cleanup TMS'!BS222</f>
        <v>37810</v>
      </c>
      <c r="AD222" s="73">
        <f t="shared" si="13"/>
        <v>20132</v>
      </c>
      <c r="AE222" s="74">
        <f>IF(OR('Cleanup TMS'!BU222=0,'Cleanup TMS'!BU222=""),"-",'Cleanup TMS'!BU222)</f>
        <v>0.53</v>
      </c>
      <c r="AF222" s="74" t="str">
        <f>IF(OR('Cleanup TMS'!BV222=0,'Cleanup TMS'!BV222=""),"-",'Cleanup TMS'!BV222)</f>
        <v>C</v>
      </c>
      <c r="AG222" s="73">
        <f>'Cleanup TMS'!CF222</f>
        <v>1900</v>
      </c>
      <c r="AH222" s="73">
        <f t="shared" si="14"/>
        <v>924</v>
      </c>
      <c r="AI222" s="73">
        <f t="shared" si="15"/>
        <v>902</v>
      </c>
      <c r="AJ222" s="71">
        <f>IF(OR('Cleanup TMS'!CI222=0,'Cleanup TMS'!CI222=""),"-",'Cleanup TMS'!CI222)</f>
        <v>0.49</v>
      </c>
      <c r="AK222" s="75" t="str">
        <f>IF(OR('Cleanup TMS'!CJ222=0,'Cleanup TMS'!CJ222=""),"-",'Cleanup TMS'!CJ222)</f>
        <v>C</v>
      </c>
    </row>
    <row r="223" spans="1:37" ht="18.75" customHeight="1">
      <c r="A223" s="69">
        <f>'Cleanup TMS'!A223</f>
        <v>35331105</v>
      </c>
      <c r="B223" s="70">
        <f>'Cleanup TMS'!B223</f>
        <v>32</v>
      </c>
      <c r="C223" s="70">
        <f>IF('Cleanup TMS'!E223="","",'Cleanup TMS'!E223)</f>
        <v>187031</v>
      </c>
      <c r="D223" s="70" t="str">
        <f>'Cleanup TMS'!F223</f>
        <v>SUMTER</v>
      </c>
      <c r="E223" s="70">
        <f>'Cleanup TMS'!G223</f>
        <v>45</v>
      </c>
      <c r="F223" s="71">
        <f>ROUND('Cleanup TMS'!H223,2)</f>
        <v>0.61</v>
      </c>
      <c r="G223" s="72" t="str">
        <f>'Cleanup TMS'!I223</f>
        <v>CR 466A</v>
      </c>
      <c r="H223" s="72" t="str">
        <f>'Cleanup TMS'!J223</f>
        <v>MORSE BLVD</v>
      </c>
      <c r="I223" s="72" t="str">
        <f>'Cleanup TMS'!K223</f>
        <v>LAKE COUNTY BOUNDARY</v>
      </c>
      <c r="J223" s="70">
        <f>'Cleanup TMS'!L223</f>
        <v>4</v>
      </c>
      <c r="K223" s="70">
        <v>4</v>
      </c>
      <c r="L223" s="70" t="s">
        <v>646</v>
      </c>
      <c r="M223" s="70" t="s">
        <v>649</v>
      </c>
      <c r="N223" s="152" t="s">
        <v>651</v>
      </c>
      <c r="O223" s="152" t="s">
        <v>547</v>
      </c>
      <c r="P223" s="70" t="str">
        <f>'Cleanup TMS'!V223</f>
        <v>COUNTY</v>
      </c>
      <c r="Q223" s="70" t="str">
        <f>'Cleanup TMS'!W223</f>
        <v>UNINCORPORATED SUMTER COUNTY</v>
      </c>
      <c r="R223" s="70" t="s">
        <v>5</v>
      </c>
      <c r="S223" s="73">
        <f>IF('Cleanup TMS'!AO223=0,"-",'Cleanup TMS'!AO223)</f>
        <v>37810</v>
      </c>
      <c r="T223" s="73">
        <f>'Cleanup TMS'!AP223</f>
        <v>21232</v>
      </c>
      <c r="U223" s="71">
        <f>IF(OR('Cleanup TMS'!AQ223=0,'Cleanup TMS'!AQ223=""),"-",'Cleanup TMS'!AQ223)</f>
        <v>0.56000000000000005</v>
      </c>
      <c r="V223" s="71" t="str">
        <f>IF(OR('Cleanup TMS'!AR223=0,'Cleanup TMS'!AR223=""),"-",'Cleanup TMS'!AR223)</f>
        <v>C</v>
      </c>
      <c r="W223" s="73">
        <f>IF('Cleanup TMS'!BB223=0,"-",'Cleanup TMS'!BB223)</f>
        <v>1900</v>
      </c>
      <c r="X223" s="73">
        <f>'Cleanup TMS'!BC223</f>
        <v>785</v>
      </c>
      <c r="Y223" s="73">
        <f>'Cleanup TMS'!BD223</f>
        <v>1026</v>
      </c>
      <c r="Z223" s="74">
        <f>IF(OR('Cleanup TMS'!BE223=0,'Cleanup TMS'!BE223=""),"-",'Cleanup TMS'!BE223)</f>
        <v>0.54</v>
      </c>
      <c r="AA223" s="74" t="str">
        <f>IF(OR('Cleanup TMS'!BF223=0,'Cleanup TMS'!BF223=""),"-",'Cleanup TMS'!BF223)</f>
        <v>C</v>
      </c>
      <c r="AB223" s="148">
        <f>IF(OR('Cleanup TMS'!BI223="",'Cleanup TMS'!BI223=0),"-",'Cleanup TMS'!BI223)</f>
        <v>0.01</v>
      </c>
      <c r="AC223" s="73">
        <f>'Cleanup TMS'!BS223</f>
        <v>37810</v>
      </c>
      <c r="AD223" s="73">
        <f t="shared" si="13"/>
        <v>22315</v>
      </c>
      <c r="AE223" s="74">
        <f>IF(OR('Cleanup TMS'!BU223=0,'Cleanup TMS'!BU223=""),"-",'Cleanup TMS'!BU223)</f>
        <v>0.59</v>
      </c>
      <c r="AF223" s="74" t="str">
        <f>IF(OR('Cleanup TMS'!BV223=0,'Cleanup TMS'!BV223=""),"-",'Cleanup TMS'!BV223)</f>
        <v>C</v>
      </c>
      <c r="AG223" s="73">
        <f>'Cleanup TMS'!CF223</f>
        <v>1900</v>
      </c>
      <c r="AH223" s="73">
        <f t="shared" si="14"/>
        <v>825</v>
      </c>
      <c r="AI223" s="73">
        <f t="shared" si="15"/>
        <v>1078</v>
      </c>
      <c r="AJ223" s="71">
        <f>IF(OR('Cleanup TMS'!CI223=0,'Cleanup TMS'!CI223=""),"-",'Cleanup TMS'!CI223)</f>
        <v>0.56999999999999995</v>
      </c>
      <c r="AK223" s="75" t="str">
        <f>IF(OR('Cleanup TMS'!CJ223=0,'Cleanup TMS'!CJ223=""),"-",'Cleanup TMS'!CJ223)</f>
        <v>C</v>
      </c>
    </row>
    <row r="224" spans="1:37" ht="18.75" customHeight="1">
      <c r="A224" s="69">
        <f>'Cleanup TMS'!A224</f>
        <v>35371401</v>
      </c>
      <c r="B224" s="70" t="str">
        <f>'Cleanup TMS'!B224</f>
        <v>2020-25</v>
      </c>
      <c r="C224" s="70" t="str">
        <f>IF('Cleanup TMS'!E224="","",'Cleanup TMS'!E224)</f>
        <v/>
      </c>
      <c r="D224" s="70" t="str">
        <f>'Cleanup TMS'!F224</f>
        <v>SUMTER</v>
      </c>
      <c r="E224" s="70">
        <f>'Cleanup TMS'!G224</f>
        <v>45</v>
      </c>
      <c r="F224" s="71">
        <f>ROUND('Cleanup TMS'!H224,2)</f>
        <v>0.25</v>
      </c>
      <c r="G224" s="72" t="str">
        <f>'Cleanup TMS'!I224</f>
        <v>CR 466</v>
      </c>
      <c r="H224" s="72" t="str">
        <f>'Cleanup TMS'!J224</f>
        <v>CR 105</v>
      </c>
      <c r="I224" s="72" t="str">
        <f>'Cleanup TMS'!K224</f>
        <v>CR 103</v>
      </c>
      <c r="J224" s="70">
        <f>'Cleanup TMS'!L224</f>
        <v>4</v>
      </c>
      <c r="K224" s="70">
        <v>4</v>
      </c>
      <c r="L224" s="70" t="s">
        <v>646</v>
      </c>
      <c r="M224" s="70" t="s">
        <v>649</v>
      </c>
      <c r="N224" s="152" t="s">
        <v>651</v>
      </c>
      <c r="O224" s="152" t="s">
        <v>547</v>
      </c>
      <c r="P224" s="70" t="str">
        <f>'Cleanup TMS'!V224</f>
        <v>COUNTY</v>
      </c>
      <c r="Q224" s="70" t="str">
        <f>'Cleanup TMS'!W224</f>
        <v>UNINCORPORATED SUMTER COUNTY</v>
      </c>
      <c r="R224" s="70" t="s">
        <v>5</v>
      </c>
      <c r="S224" s="73">
        <f>IF('Cleanup TMS'!AO224=0,"-",'Cleanup TMS'!AO224)</f>
        <v>35820</v>
      </c>
      <c r="T224" s="73">
        <f>'Cleanup TMS'!AP224</f>
        <v>20116.159999999916</v>
      </c>
      <c r="U224" s="71">
        <f>IF(OR('Cleanup TMS'!AQ224=0,'Cleanup TMS'!AQ224=""),"-",'Cleanup TMS'!AQ224)</f>
        <v>0.56000000000000005</v>
      </c>
      <c r="V224" s="71" t="str">
        <f>IF(OR('Cleanup TMS'!AR224=0,'Cleanup TMS'!AR224=""),"-",'Cleanup TMS'!AR224)</f>
        <v>C</v>
      </c>
      <c r="W224" s="73">
        <f>IF('Cleanup TMS'!BB224=0,"-",'Cleanup TMS'!BB224)</f>
        <v>1800</v>
      </c>
      <c r="X224" s="73">
        <f>'Cleanup TMS'!BC224</f>
        <v>848</v>
      </c>
      <c r="Y224" s="73">
        <f>'Cleanup TMS'!BD224</f>
        <v>1000</v>
      </c>
      <c r="Z224" s="74">
        <f>IF(OR('Cleanup TMS'!BE224=0,'Cleanup TMS'!BE224=""),"-",'Cleanup TMS'!BE224)</f>
        <v>0.56000000000000005</v>
      </c>
      <c r="AA224" s="74" t="str">
        <f>IF(OR('Cleanup TMS'!BF224=0,'Cleanup TMS'!BF224=""),"-",'Cleanup TMS'!BF224)</f>
        <v>C</v>
      </c>
      <c r="AB224" s="148">
        <f>IF(OR('Cleanup TMS'!BI224="",'Cleanup TMS'!BI224=0),"-",'Cleanup TMS'!BI224)</f>
        <v>0.01</v>
      </c>
      <c r="AC224" s="73">
        <f>'Cleanup TMS'!BS224</f>
        <v>35820</v>
      </c>
      <c r="AD224" s="73">
        <f t="shared" si="13"/>
        <v>21142</v>
      </c>
      <c r="AE224" s="74">
        <f>IF(OR('Cleanup TMS'!BU224=0,'Cleanup TMS'!BU224=""),"-",'Cleanup TMS'!BU224)</f>
        <v>0.59</v>
      </c>
      <c r="AF224" s="74" t="str">
        <f>IF(OR('Cleanup TMS'!BV224=0,'Cleanup TMS'!BV224=""),"-",'Cleanup TMS'!BV224)</f>
        <v>C</v>
      </c>
      <c r="AG224" s="73">
        <f>'Cleanup TMS'!CF224</f>
        <v>1800</v>
      </c>
      <c r="AH224" s="73">
        <f t="shared" si="14"/>
        <v>891</v>
      </c>
      <c r="AI224" s="73">
        <f t="shared" si="15"/>
        <v>1051</v>
      </c>
      <c r="AJ224" s="71">
        <f>IF(OR('Cleanup TMS'!CI224=0,'Cleanup TMS'!CI224=""),"-",'Cleanup TMS'!CI224)</f>
        <v>0.57999999999999996</v>
      </c>
      <c r="AK224" s="75" t="str">
        <f>IF(OR('Cleanup TMS'!CJ224=0,'Cleanup TMS'!CJ224=""),"-",'Cleanup TMS'!CJ224)</f>
        <v>C</v>
      </c>
    </row>
    <row r="225" spans="1:37" ht="18.75" customHeight="1">
      <c r="A225" s="69">
        <f>'Cleanup TMS'!A225</f>
        <v>35380001</v>
      </c>
      <c r="B225" s="70">
        <f>'Cleanup TMS'!B225</f>
        <v>58</v>
      </c>
      <c r="C225" s="70" t="str">
        <f>IF('Cleanup TMS'!E225="","",'Cleanup TMS'!E225)</f>
        <v/>
      </c>
      <c r="D225" s="70" t="str">
        <f>'Cleanup TMS'!F225</f>
        <v>SUMTER</v>
      </c>
      <c r="E225" s="70">
        <f>'Cleanup TMS'!G225</f>
        <v>45</v>
      </c>
      <c r="F225" s="71">
        <f>ROUND('Cleanup TMS'!H225,2)</f>
        <v>1.55</v>
      </c>
      <c r="G225" s="72" t="str">
        <f>'Cleanup TMS'!I225</f>
        <v>CR 476B</v>
      </c>
      <c r="H225" s="72" t="str">
        <f>'Cleanup TMS'!J225</f>
        <v>SW 95TH AVE</v>
      </c>
      <c r="I225" s="72" t="str">
        <f>'Cleanup TMS'!K225</f>
        <v>CR 476 W</v>
      </c>
      <c r="J225" s="70">
        <f>'Cleanup TMS'!L225</f>
        <v>2</v>
      </c>
      <c r="K225" s="70">
        <v>2</v>
      </c>
      <c r="L225" s="70" t="s">
        <v>646</v>
      </c>
      <c r="M225" s="70" t="s">
        <v>648</v>
      </c>
      <c r="N225" s="152" t="s">
        <v>652</v>
      </c>
      <c r="O225" s="152" t="s">
        <v>547</v>
      </c>
      <c r="P225" s="70" t="str">
        <f>'Cleanup TMS'!V225</f>
        <v>COUNTY</v>
      </c>
      <c r="Q225" s="70" t="str">
        <f>'Cleanup TMS'!W225</f>
        <v>UNINCORPORATED SUMTER COUNTY</v>
      </c>
      <c r="R225" s="70" t="s">
        <v>4</v>
      </c>
      <c r="S225" s="73">
        <f>IF('Cleanup TMS'!AO225=0,"-",'Cleanup TMS'!AO225)</f>
        <v>18000</v>
      </c>
      <c r="T225" s="73">
        <f>'Cleanup TMS'!AP225</f>
        <v>2299</v>
      </c>
      <c r="U225" s="71">
        <f>IF(OR('Cleanup TMS'!AQ225=0,'Cleanup TMS'!AQ225=""),"-",'Cleanup TMS'!AQ225)</f>
        <v>0.13</v>
      </c>
      <c r="V225" s="71" t="str">
        <f>IF(OR('Cleanup TMS'!AR225=0,'Cleanup TMS'!AR225=""),"-",'Cleanup TMS'!AR225)</f>
        <v>B</v>
      </c>
      <c r="W225" s="73">
        <f>IF('Cleanup TMS'!BB225=0,"-",'Cleanup TMS'!BB225)</f>
        <v>890</v>
      </c>
      <c r="X225" s="73">
        <f>'Cleanup TMS'!BC225</f>
        <v>141</v>
      </c>
      <c r="Y225" s="73">
        <f>'Cleanup TMS'!BD225</f>
        <v>70</v>
      </c>
      <c r="Z225" s="74">
        <f>IF(OR('Cleanup TMS'!BE225=0,'Cleanup TMS'!BE225=""),"-",'Cleanup TMS'!BE225)</f>
        <v>0.16</v>
      </c>
      <c r="AA225" s="74" t="str">
        <f>IF(OR('Cleanup TMS'!BF225=0,'Cleanup TMS'!BF225=""),"-",'Cleanup TMS'!BF225)</f>
        <v>B</v>
      </c>
      <c r="AB225" s="148">
        <f>IF(OR('Cleanup TMS'!BI225="",'Cleanup TMS'!BI225=0),"-",'Cleanup TMS'!BI225)</f>
        <v>0.01</v>
      </c>
      <c r="AC225" s="73">
        <f>'Cleanup TMS'!BS225</f>
        <v>18000</v>
      </c>
      <c r="AD225" s="73">
        <f t="shared" si="13"/>
        <v>2416</v>
      </c>
      <c r="AE225" s="74">
        <f>IF(OR('Cleanup TMS'!BU225=0,'Cleanup TMS'!BU225=""),"-",'Cleanup TMS'!BU225)</f>
        <v>0.13</v>
      </c>
      <c r="AF225" s="74" t="str">
        <f>IF(OR('Cleanup TMS'!BV225=0,'Cleanup TMS'!BV225=""),"-",'Cleanup TMS'!BV225)</f>
        <v>B</v>
      </c>
      <c r="AG225" s="73">
        <f>'Cleanup TMS'!CF225</f>
        <v>890</v>
      </c>
      <c r="AH225" s="73">
        <f t="shared" si="14"/>
        <v>148</v>
      </c>
      <c r="AI225" s="73">
        <f t="shared" si="15"/>
        <v>74</v>
      </c>
      <c r="AJ225" s="71">
        <f>IF(OR('Cleanup TMS'!CI225=0,'Cleanup TMS'!CI225=""),"-",'Cleanup TMS'!CI225)</f>
        <v>0.17</v>
      </c>
      <c r="AK225" s="75" t="str">
        <f>IF(OR('Cleanup TMS'!CJ225=0,'Cleanup TMS'!CJ225=""),"-",'Cleanup TMS'!CJ225)</f>
        <v>B</v>
      </c>
    </row>
    <row r="226" spans="1:37" ht="18.75" customHeight="1">
      <c r="A226" s="69">
        <f>'Cleanup TMS'!A226</f>
        <v>35411002</v>
      </c>
      <c r="B226" s="70">
        <f>'Cleanup TMS'!B226</f>
        <v>187003</v>
      </c>
      <c r="C226" s="70">
        <f>IF('Cleanup TMS'!E226="","",'Cleanup TMS'!E226)</f>
        <v>187003</v>
      </c>
      <c r="D226" s="70" t="str">
        <f>'Cleanup TMS'!F226</f>
        <v>FDOT</v>
      </c>
      <c r="E226" s="70">
        <f>'Cleanup TMS'!G226</f>
        <v>45</v>
      </c>
      <c r="F226" s="71">
        <f>ROUND('Cleanup TMS'!H226,2)</f>
        <v>1.1399999999999999</v>
      </c>
      <c r="G226" s="72" t="str">
        <f>'Cleanup TMS'!I226</f>
        <v>CR 462</v>
      </c>
      <c r="H226" s="72" t="str">
        <f>'Cleanup TMS'!J226</f>
        <v>CR 121</v>
      </c>
      <c r="I226" s="72" t="str">
        <f>'Cleanup TMS'!K226</f>
        <v>CR 134</v>
      </c>
      <c r="J226" s="70">
        <f>'Cleanup TMS'!L226</f>
        <v>2</v>
      </c>
      <c r="K226" s="70">
        <v>2</v>
      </c>
      <c r="L226" s="70" t="s">
        <v>646</v>
      </c>
      <c r="M226" s="70" t="s">
        <v>648</v>
      </c>
      <c r="N226" s="152" t="s">
        <v>652</v>
      </c>
      <c r="O226" s="152" t="s">
        <v>547</v>
      </c>
      <c r="P226" s="70" t="str">
        <f>'Cleanup TMS'!V226</f>
        <v>COUNTY</v>
      </c>
      <c r="Q226" s="70" t="str">
        <f>'Cleanup TMS'!W226</f>
        <v>UNINCORPORATED SUMTER COUNTY</v>
      </c>
      <c r="R226" s="82" t="s">
        <v>657</v>
      </c>
      <c r="S226" s="73" t="s">
        <v>558</v>
      </c>
      <c r="T226" s="73">
        <f>'Cleanup TMS'!AP226</f>
        <v>11070</v>
      </c>
      <c r="U226" s="71">
        <f>IF(OR('Cleanup TMS'!AQ226=0,'Cleanup TMS'!AQ226=""),"-",'Cleanup TMS'!AQ226)</f>
        <v>0.01</v>
      </c>
      <c r="V226" s="71" t="str">
        <f>IF(OR('Cleanup TMS'!AR226=0,'Cleanup TMS'!AR226=""),"-",'Cleanup TMS'!AR226)</f>
        <v>B</v>
      </c>
      <c r="W226" s="73" t="s">
        <v>558</v>
      </c>
      <c r="X226" s="73">
        <f>'Cleanup TMS'!BC226</f>
        <v>528</v>
      </c>
      <c r="Y226" s="73">
        <f>'Cleanup TMS'!BD226</f>
        <v>468</v>
      </c>
      <c r="Z226" s="73" t="s">
        <v>558</v>
      </c>
      <c r="AA226" s="74" t="str">
        <f>IF(OR('Cleanup TMS'!BF226=0,'Cleanup TMS'!BF226=""),"-",'Cleanup TMS'!BF226)</f>
        <v>B</v>
      </c>
      <c r="AB226" s="148">
        <f>IF(OR('Cleanup TMS'!BI226="",'Cleanup TMS'!BI226=0),"-",'Cleanup TMS'!BI226)</f>
        <v>5.7500000000000002E-2</v>
      </c>
      <c r="AC226" s="73" t="s">
        <v>558</v>
      </c>
      <c r="AD226" s="73">
        <f t="shared" si="13"/>
        <v>14640</v>
      </c>
      <c r="AE226" s="73" t="s">
        <v>558</v>
      </c>
      <c r="AF226" s="74" t="str">
        <f>IF(OR('Cleanup TMS'!BV226=0,'Cleanup TMS'!BV226=""),"-",'Cleanup TMS'!BV226)</f>
        <v>C</v>
      </c>
      <c r="AG226" s="73" t="s">
        <v>558</v>
      </c>
      <c r="AH226" s="73">
        <f t="shared" si="14"/>
        <v>698</v>
      </c>
      <c r="AI226" s="73">
        <f t="shared" si="15"/>
        <v>619</v>
      </c>
      <c r="AJ226" s="73" t="s">
        <v>558</v>
      </c>
      <c r="AK226" s="75" t="str">
        <f>IF(OR('Cleanup TMS'!CJ226=0,'Cleanup TMS'!CJ226=""),"-",'Cleanup TMS'!CJ226)</f>
        <v>C</v>
      </c>
    </row>
    <row r="227" spans="1:37" ht="18.75" customHeight="1">
      <c r="A227" s="69">
        <f>'Cleanup TMS'!A227</f>
        <v>35411003</v>
      </c>
      <c r="B227" s="70">
        <f>'Cleanup TMS'!B227</f>
        <v>20</v>
      </c>
      <c r="C227" s="70" t="str">
        <f>IF('Cleanup TMS'!E227="","",'Cleanup TMS'!E227)</f>
        <v/>
      </c>
      <c r="D227" s="70" t="str">
        <f>'Cleanup TMS'!F227</f>
        <v>SUMTER</v>
      </c>
      <c r="E227" s="70">
        <f>'Cleanup TMS'!G227</f>
        <v>45</v>
      </c>
      <c r="F227" s="71">
        <f>ROUND('Cleanup TMS'!H227,2)</f>
        <v>0.5</v>
      </c>
      <c r="G227" s="72" t="str">
        <f>'Cleanup TMS'!I227</f>
        <v>CR 462</v>
      </c>
      <c r="H227" s="72" t="str">
        <f>'Cleanup TMS'!J227</f>
        <v>CR 134</v>
      </c>
      <c r="I227" s="72" t="str">
        <f>'Cleanup TMS'!K227</f>
        <v>CR 466A</v>
      </c>
      <c r="J227" s="70">
        <f>'Cleanup TMS'!L227</f>
        <v>2</v>
      </c>
      <c r="K227" s="70">
        <v>2</v>
      </c>
      <c r="L227" s="70" t="s">
        <v>646</v>
      </c>
      <c r="M227" s="70" t="s">
        <v>648</v>
      </c>
      <c r="N227" s="152" t="s">
        <v>652</v>
      </c>
      <c r="O227" s="152" t="s">
        <v>547</v>
      </c>
      <c r="P227" s="70" t="str">
        <f>'Cleanup TMS'!V227</f>
        <v>COUNTY</v>
      </c>
      <c r="Q227" s="70" t="str">
        <f>'Cleanup TMS'!W227</f>
        <v>WILDWOOD</v>
      </c>
      <c r="R227" s="82" t="s">
        <v>657</v>
      </c>
      <c r="S227" s="73" t="s">
        <v>558</v>
      </c>
      <c r="T227" s="73">
        <f>'Cleanup TMS'!AP227</f>
        <v>13377</v>
      </c>
      <c r="U227" s="71">
        <f>IF(OR('Cleanup TMS'!AQ227=0,'Cleanup TMS'!AQ227=""),"-",'Cleanup TMS'!AQ227)</f>
        <v>0.01</v>
      </c>
      <c r="V227" s="71" t="str">
        <f>IF(OR('Cleanup TMS'!AR227=0,'Cleanup TMS'!AR227=""),"-",'Cleanup TMS'!AR227)</f>
        <v>C</v>
      </c>
      <c r="W227" s="73" t="s">
        <v>558</v>
      </c>
      <c r="X227" s="73">
        <f>'Cleanup TMS'!BC227</f>
        <v>733</v>
      </c>
      <c r="Y227" s="73">
        <f>'Cleanup TMS'!BD227</f>
        <v>433</v>
      </c>
      <c r="Z227" s="73" t="s">
        <v>558</v>
      </c>
      <c r="AA227" s="74" t="str">
        <f>IF(OR('Cleanup TMS'!BF227=0,'Cleanup TMS'!BF227=""),"-",'Cleanup TMS'!BF227)</f>
        <v>C</v>
      </c>
      <c r="AB227" s="148">
        <f>IF(OR('Cleanup TMS'!BI227="",'Cleanup TMS'!BI227=0),"-",'Cleanup TMS'!BI227)</f>
        <v>4.4999999999999998E-2</v>
      </c>
      <c r="AC227" s="73" t="s">
        <v>558</v>
      </c>
      <c r="AD227" s="73">
        <f t="shared" si="13"/>
        <v>16670</v>
      </c>
      <c r="AE227" s="73" t="s">
        <v>558</v>
      </c>
      <c r="AF227" s="74" t="str">
        <f>IF(OR('Cleanup TMS'!BV227=0,'Cleanup TMS'!BV227=""),"-",'Cleanup TMS'!BV227)</f>
        <v>C</v>
      </c>
      <c r="AG227" s="73" t="s">
        <v>558</v>
      </c>
      <c r="AH227" s="73">
        <f t="shared" si="14"/>
        <v>913</v>
      </c>
      <c r="AI227" s="73">
        <f t="shared" si="15"/>
        <v>540</v>
      </c>
      <c r="AJ227" s="73" t="s">
        <v>558</v>
      </c>
      <c r="AK227" s="75" t="str">
        <f>IF(OR('Cleanup TMS'!CJ227=0,'Cleanup TMS'!CJ227=""),"-",'Cleanup TMS'!CJ227)</f>
        <v>D</v>
      </c>
    </row>
    <row r="228" spans="1:37" ht="18.75" customHeight="1">
      <c r="A228" s="69">
        <f>'Cleanup TMS'!A228</f>
        <v>35411101</v>
      </c>
      <c r="B228" s="70" t="str">
        <f>'Cleanup TMS'!B228</f>
        <v>2020-12</v>
      </c>
      <c r="C228" s="70" t="str">
        <f>IF('Cleanup TMS'!E228="","",'Cleanup TMS'!E228)</f>
        <v>-</v>
      </c>
      <c r="D228" s="70" t="str">
        <f>'Cleanup TMS'!F228</f>
        <v>SUMTER</v>
      </c>
      <c r="E228" s="70">
        <f>'Cleanup TMS'!G228</f>
        <v>35</v>
      </c>
      <c r="F228" s="71">
        <f>ROUND('Cleanup TMS'!H228,2)</f>
        <v>0.85</v>
      </c>
      <c r="G228" s="72" t="str">
        <f>'Cleanup TMS'!I228</f>
        <v>CR 462</v>
      </c>
      <c r="H228" s="72" t="str">
        <f>'Cleanup TMS'!J228</f>
        <v>CR 131</v>
      </c>
      <c r="I228" s="72" t="str">
        <f>'Cleanup TMS'!K228</f>
        <v>CR 121</v>
      </c>
      <c r="J228" s="70">
        <f>'Cleanup TMS'!L228</f>
        <v>2</v>
      </c>
      <c r="K228" s="70">
        <v>2</v>
      </c>
      <c r="L228" s="70" t="s">
        <v>646</v>
      </c>
      <c r="M228" s="70" t="s">
        <v>648</v>
      </c>
      <c r="N228" s="152" t="s">
        <v>652</v>
      </c>
      <c r="O228" s="152" t="s">
        <v>547</v>
      </c>
      <c r="P228" s="70" t="str">
        <f>'Cleanup TMS'!V228</f>
        <v>COUNTY</v>
      </c>
      <c r="Q228" s="70" t="str">
        <f>'Cleanup TMS'!W228</f>
        <v>WILDWOOD</v>
      </c>
      <c r="R228" s="82" t="s">
        <v>657</v>
      </c>
      <c r="S228" s="73" t="s">
        <v>558</v>
      </c>
      <c r="T228" s="73">
        <f>'Cleanup TMS'!AP228</f>
        <v>14229.800000000047</v>
      </c>
      <c r="U228" s="71">
        <f>IF(OR('Cleanup TMS'!AQ228=0,'Cleanup TMS'!AQ228=""),"-",'Cleanup TMS'!AQ228)</f>
        <v>0.01</v>
      </c>
      <c r="V228" s="71" t="str">
        <f>IF(OR('Cleanup TMS'!AR228=0,'Cleanup TMS'!AR228=""),"-",'Cleanup TMS'!AR228)</f>
        <v>C</v>
      </c>
      <c r="W228" s="73" t="s">
        <v>558</v>
      </c>
      <c r="X228" s="73">
        <f>'Cleanup TMS'!BC228</f>
        <v>2265</v>
      </c>
      <c r="Y228" s="73">
        <f>'Cleanup TMS'!BD228</f>
        <v>2671</v>
      </c>
      <c r="Z228" s="73" t="s">
        <v>558</v>
      </c>
      <c r="AA228" s="74" t="str">
        <f>IF(OR('Cleanup TMS'!BF228=0,'Cleanup TMS'!BF228=""),"-",'Cleanup TMS'!BF228)</f>
        <v>F</v>
      </c>
      <c r="AB228" s="148">
        <f>IF(OR('Cleanup TMS'!BI228="",'Cleanup TMS'!BI228=0),"-",'Cleanup TMS'!BI228)</f>
        <v>0.05</v>
      </c>
      <c r="AC228" s="73" t="s">
        <v>558</v>
      </c>
      <c r="AD228" s="73">
        <f t="shared" si="13"/>
        <v>18161</v>
      </c>
      <c r="AE228" s="73" t="s">
        <v>558</v>
      </c>
      <c r="AF228" s="74" t="str">
        <f>IF(OR('Cleanup TMS'!BV228=0,'Cleanup TMS'!BV228=""),"-",'Cleanup TMS'!BV228)</f>
        <v>D</v>
      </c>
      <c r="AG228" s="73" t="s">
        <v>558</v>
      </c>
      <c r="AH228" s="73">
        <f t="shared" si="14"/>
        <v>2891</v>
      </c>
      <c r="AI228" s="73">
        <f t="shared" si="15"/>
        <v>3409</v>
      </c>
      <c r="AJ228" s="73" t="s">
        <v>558</v>
      </c>
      <c r="AK228" s="75" t="str">
        <f>IF(OR('Cleanup TMS'!CJ228=0,'Cleanup TMS'!CJ228=""),"-",'Cleanup TMS'!CJ228)</f>
        <v>F</v>
      </c>
    </row>
    <row r="229" spans="1:37" ht="18.75" customHeight="1">
      <c r="A229" s="69">
        <f>'Cleanup TMS'!A229</f>
        <v>35431101</v>
      </c>
      <c r="B229" s="70" t="str">
        <f>'Cleanup TMS'!B229</f>
        <v>2020-800</v>
      </c>
      <c r="C229" s="70" t="str">
        <f>IF('Cleanup TMS'!E229="","",'Cleanup TMS'!E229)</f>
        <v/>
      </c>
      <c r="D229" s="70" t="str">
        <f>'Cleanup TMS'!F229</f>
        <v>WILDWOOD</v>
      </c>
      <c r="E229" s="70">
        <f>'Cleanup TMS'!G229</f>
        <v>35</v>
      </c>
      <c r="F229" s="71">
        <f>ROUND('Cleanup TMS'!H229,2)</f>
        <v>0.93</v>
      </c>
      <c r="G229" s="72" t="str">
        <f>'Cleanup TMS'!I229</f>
        <v>CR 472</v>
      </c>
      <c r="H229" s="72" t="str">
        <f>'Cleanup TMS'!J229</f>
        <v>CR 117</v>
      </c>
      <c r="I229" s="72" t="str">
        <f>'Cleanup TMS'!K229</f>
        <v>LYNN HAVEN LN</v>
      </c>
      <c r="J229" s="70">
        <f>'Cleanup TMS'!L229</f>
        <v>2</v>
      </c>
      <c r="K229" s="70">
        <v>2</v>
      </c>
      <c r="L229" s="70" t="s">
        <v>646</v>
      </c>
      <c r="M229" s="70" t="s">
        <v>648</v>
      </c>
      <c r="N229" s="152" t="s">
        <v>651</v>
      </c>
      <c r="O229" s="152" t="s">
        <v>547</v>
      </c>
      <c r="P229" s="70" t="str">
        <f>'Cleanup TMS'!V229</f>
        <v>COUNTY</v>
      </c>
      <c r="Q229" s="70" t="str">
        <f>'Cleanup TMS'!W229</f>
        <v>UNINCORPORATED SUMTER COUNTY</v>
      </c>
      <c r="R229" s="70" t="s">
        <v>5</v>
      </c>
      <c r="S229" s="73">
        <f>IF('Cleanup TMS'!AO229=0,"-",'Cleanup TMS'!AO229)</f>
        <v>14060</v>
      </c>
      <c r="T229" s="73">
        <f>'Cleanup TMS'!AP229</f>
        <v>7717.7199999999721</v>
      </c>
      <c r="U229" s="71">
        <f>IF(OR('Cleanup TMS'!AQ229=0,'Cleanup TMS'!AQ229=""),"-",'Cleanup TMS'!AQ229)</f>
        <v>0.55000000000000004</v>
      </c>
      <c r="V229" s="71" t="str">
        <f>IF(OR('Cleanup TMS'!AR229=0,'Cleanup TMS'!AR229=""),"-",'Cleanup TMS'!AR229)</f>
        <v>D</v>
      </c>
      <c r="W229" s="73">
        <f>IF('Cleanup TMS'!BB229=0,"-",'Cleanup TMS'!BB229)</f>
        <v>713</v>
      </c>
      <c r="X229" s="73">
        <f>'Cleanup TMS'!BC229</f>
        <v>271</v>
      </c>
      <c r="Y229" s="73">
        <f>'Cleanup TMS'!BD229</f>
        <v>372</v>
      </c>
      <c r="Z229" s="74">
        <f>IF(OR('Cleanup TMS'!BE229=0,'Cleanup TMS'!BE229=""),"-",'Cleanup TMS'!BE229)</f>
        <v>0.52</v>
      </c>
      <c r="AA229" s="74" t="str">
        <f>IF(OR('Cleanup TMS'!BF229=0,'Cleanup TMS'!BF229=""),"-",'Cleanup TMS'!BF229)</f>
        <v>D</v>
      </c>
      <c r="AB229" s="148">
        <f>IF(OR('Cleanup TMS'!BI229="",'Cleanup TMS'!BI229=0),"-",'Cleanup TMS'!BI229)</f>
        <v>4.7500000000000001E-2</v>
      </c>
      <c r="AC229" s="73">
        <f>'Cleanup TMS'!BS229</f>
        <v>14060</v>
      </c>
      <c r="AD229" s="73">
        <f t="shared" si="13"/>
        <v>9733</v>
      </c>
      <c r="AE229" s="74">
        <f>IF(OR('Cleanup TMS'!BU229=0,'Cleanup TMS'!BU229=""),"-",'Cleanup TMS'!BU229)</f>
        <v>0.69</v>
      </c>
      <c r="AF229" s="74" t="str">
        <f>IF(OR('Cleanup TMS'!BV229=0,'Cleanup TMS'!BV229=""),"-",'Cleanup TMS'!BV229)</f>
        <v>D</v>
      </c>
      <c r="AG229" s="73">
        <f>'Cleanup TMS'!CF229</f>
        <v>713</v>
      </c>
      <c r="AH229" s="73">
        <f t="shared" si="14"/>
        <v>342</v>
      </c>
      <c r="AI229" s="73">
        <f t="shared" si="15"/>
        <v>469</v>
      </c>
      <c r="AJ229" s="71">
        <f>IF(OR('Cleanup TMS'!CI229=0,'Cleanup TMS'!CI229=""),"-",'Cleanup TMS'!CI229)</f>
        <v>0.66</v>
      </c>
      <c r="AK229" s="75" t="str">
        <f>IF(OR('Cleanup TMS'!CJ229=0,'Cleanup TMS'!CJ229=""),"-",'Cleanup TMS'!CJ229)</f>
        <v>D</v>
      </c>
    </row>
    <row r="230" spans="1:37" ht="18.75" customHeight="1">
      <c r="A230" s="69">
        <f>'Cleanup TMS'!A230</f>
        <v>35431102</v>
      </c>
      <c r="B230" s="70">
        <f>'Cleanup TMS'!B230</f>
        <v>47</v>
      </c>
      <c r="C230" s="70" t="str">
        <f>IF('Cleanup TMS'!E230="","",'Cleanup TMS'!E230)</f>
        <v/>
      </c>
      <c r="D230" s="70" t="str">
        <f>'Cleanup TMS'!F230</f>
        <v>SUMTER</v>
      </c>
      <c r="E230" s="70">
        <f>'Cleanup TMS'!G230</f>
        <v>35</v>
      </c>
      <c r="F230" s="71">
        <f>ROUND('Cleanup TMS'!H230,2)</f>
        <v>0.82</v>
      </c>
      <c r="G230" s="72" t="str">
        <f>'Cleanup TMS'!I230</f>
        <v>CR 472</v>
      </c>
      <c r="H230" s="72" t="str">
        <f>'Cleanup TMS'!J230</f>
        <v>LYNN HAVEN LN</v>
      </c>
      <c r="I230" s="72" t="str">
        <f>'Cleanup TMS'!K230</f>
        <v>BUENA VISTA BLVD</v>
      </c>
      <c r="J230" s="70">
        <f>'Cleanup TMS'!L230</f>
        <v>2</v>
      </c>
      <c r="K230" s="70">
        <v>2</v>
      </c>
      <c r="L230" s="70" t="s">
        <v>646</v>
      </c>
      <c r="M230" s="70" t="s">
        <v>648</v>
      </c>
      <c r="N230" s="152" t="s">
        <v>651</v>
      </c>
      <c r="O230" s="152" t="s">
        <v>547</v>
      </c>
      <c r="P230" s="70" t="str">
        <f>'Cleanup TMS'!V230</f>
        <v>COUNTY</v>
      </c>
      <c r="Q230" s="70" t="str">
        <f>'Cleanup TMS'!W230</f>
        <v>UNINCORPORATED SUMTER COUNTY</v>
      </c>
      <c r="R230" s="70" t="s">
        <v>5</v>
      </c>
      <c r="S230" s="73">
        <f>IF('Cleanup TMS'!AO230=0,"-",'Cleanup TMS'!AO230)</f>
        <v>13320</v>
      </c>
      <c r="T230" s="73">
        <f>'Cleanup TMS'!AP230</f>
        <v>7136</v>
      </c>
      <c r="U230" s="71">
        <f>IF(OR('Cleanup TMS'!AQ230=0,'Cleanup TMS'!AQ230=""),"-",'Cleanup TMS'!AQ230)</f>
        <v>0.54</v>
      </c>
      <c r="V230" s="71" t="str">
        <f>IF(OR('Cleanup TMS'!AR230=0,'Cleanup TMS'!AR230=""),"-",'Cleanup TMS'!AR230)</f>
        <v>D</v>
      </c>
      <c r="W230" s="73">
        <f>IF('Cleanup TMS'!BB230=0,"-",'Cleanup TMS'!BB230)</f>
        <v>675</v>
      </c>
      <c r="X230" s="73">
        <f>'Cleanup TMS'!BC230</f>
        <v>278</v>
      </c>
      <c r="Y230" s="73">
        <f>'Cleanup TMS'!BD230</f>
        <v>365</v>
      </c>
      <c r="Z230" s="74">
        <f>IF(OR('Cleanup TMS'!BE230=0,'Cleanup TMS'!BE230=""),"-",'Cleanup TMS'!BE230)</f>
        <v>0.54</v>
      </c>
      <c r="AA230" s="74" t="str">
        <f>IF(OR('Cleanup TMS'!BF230=0,'Cleanup TMS'!BF230=""),"-",'Cleanup TMS'!BF230)</f>
        <v>D</v>
      </c>
      <c r="AB230" s="148">
        <f>IF(OR('Cleanup TMS'!BI230="",'Cleanup TMS'!BI230=0),"-",'Cleanup TMS'!BI230)</f>
        <v>2.75E-2</v>
      </c>
      <c r="AC230" s="73">
        <f>'Cleanup TMS'!BS230</f>
        <v>13320</v>
      </c>
      <c r="AD230" s="73">
        <f t="shared" si="13"/>
        <v>8173</v>
      </c>
      <c r="AE230" s="74">
        <f>IF(OR('Cleanup TMS'!BU230=0,'Cleanup TMS'!BU230=""),"-",'Cleanup TMS'!BU230)</f>
        <v>0.61</v>
      </c>
      <c r="AF230" s="74" t="str">
        <f>IF(OR('Cleanup TMS'!BV230=0,'Cleanup TMS'!BV230=""),"-",'Cleanup TMS'!BV230)</f>
        <v>D</v>
      </c>
      <c r="AG230" s="73">
        <f>'Cleanup TMS'!CF230</f>
        <v>675</v>
      </c>
      <c r="AH230" s="73">
        <f t="shared" si="14"/>
        <v>318</v>
      </c>
      <c r="AI230" s="73">
        <f t="shared" si="15"/>
        <v>418</v>
      </c>
      <c r="AJ230" s="71">
        <f>IF(OR('Cleanup TMS'!CI230=0,'Cleanup TMS'!CI230=""),"-",'Cleanup TMS'!CI230)</f>
        <v>0.62</v>
      </c>
      <c r="AK230" s="75" t="str">
        <f>IF(OR('Cleanup TMS'!CJ230=0,'Cleanup TMS'!CJ230=""),"-",'Cleanup TMS'!CJ230)</f>
        <v>D</v>
      </c>
    </row>
    <row r="231" spans="1:37" ht="18.75" customHeight="1">
      <c r="A231" s="69">
        <f>'Cleanup TMS'!A231</f>
        <v>35480001</v>
      </c>
      <c r="B231" s="70">
        <f>'Cleanup TMS'!B231</f>
        <v>180197</v>
      </c>
      <c r="C231" s="70">
        <f>IF('Cleanup TMS'!E231="","",'Cleanup TMS'!E231)</f>
        <v>180197</v>
      </c>
      <c r="D231" s="70" t="str">
        <f>'Cleanup TMS'!F231</f>
        <v>FDOT</v>
      </c>
      <c r="E231" s="70">
        <f>'Cleanup TMS'!G231</f>
        <v>60</v>
      </c>
      <c r="F231" s="71">
        <f>ROUND('Cleanup TMS'!H231,2)</f>
        <v>16.73</v>
      </c>
      <c r="G231" s="72" t="str">
        <f>'Cleanup TMS'!I231</f>
        <v>SR 471</v>
      </c>
      <c r="H231" s="72" t="str">
        <f>'Cleanup TMS'!J231</f>
        <v>POLK COUNTY BOUNDARY</v>
      </c>
      <c r="I231" s="72" t="str">
        <f>'Cleanup TMS'!K231</f>
        <v>SR 50</v>
      </c>
      <c r="J231" s="70">
        <f>'Cleanup TMS'!L231</f>
        <v>2</v>
      </c>
      <c r="K231" s="70">
        <v>2</v>
      </c>
      <c r="L231" s="70" t="s">
        <v>647</v>
      </c>
      <c r="M231" s="70" t="s">
        <v>648</v>
      </c>
      <c r="N231" s="152" t="s">
        <v>652</v>
      </c>
      <c r="O231" s="152" t="s">
        <v>654</v>
      </c>
      <c r="P231" s="70" t="str">
        <f>'Cleanup TMS'!V231</f>
        <v>STATE</v>
      </c>
      <c r="Q231" s="70" t="str">
        <f>'Cleanup TMS'!W231</f>
        <v>UNINCORPORATED SUMTER COUNTY</v>
      </c>
      <c r="R231" s="70" t="s">
        <v>4</v>
      </c>
      <c r="S231" s="73">
        <f>IF('Cleanup TMS'!AO231=0,"-",'Cleanup TMS'!AO231)</f>
        <v>8600</v>
      </c>
      <c r="T231" s="73">
        <f>'Cleanup TMS'!AP231</f>
        <v>4080</v>
      </c>
      <c r="U231" s="71">
        <f>IF(OR('Cleanup TMS'!AQ231=0,'Cleanup TMS'!AQ231=""),"-",'Cleanup TMS'!AQ231)</f>
        <v>0.47</v>
      </c>
      <c r="V231" s="71" t="str">
        <f>IF(OR('Cleanup TMS'!AR231=0,'Cleanup TMS'!AR231=""),"-",'Cleanup TMS'!AR231)</f>
        <v>B</v>
      </c>
      <c r="W231" s="73">
        <f>IF('Cleanup TMS'!BB231=0,"-",'Cleanup TMS'!BB231)</f>
        <v>450</v>
      </c>
      <c r="X231" s="73">
        <f>'Cleanup TMS'!BC231</f>
        <v>156</v>
      </c>
      <c r="Y231" s="73">
        <f>'Cleanup TMS'!BD231</f>
        <v>170</v>
      </c>
      <c r="Z231" s="74">
        <f>IF(OR('Cleanup TMS'!BE231=0,'Cleanup TMS'!BE231=""),"-",'Cleanup TMS'!BE231)</f>
        <v>0.38</v>
      </c>
      <c r="AA231" s="74" t="str">
        <f>IF(OR('Cleanup TMS'!BF231=0,'Cleanup TMS'!BF231=""),"-",'Cleanup TMS'!BF231)</f>
        <v>B</v>
      </c>
      <c r="AB231" s="148">
        <f>IF(OR('Cleanup TMS'!BI231="",'Cleanup TMS'!BI231=0),"-",'Cleanup TMS'!BI231)</f>
        <v>4.2500000000000003E-2</v>
      </c>
      <c r="AC231" s="73">
        <f>'Cleanup TMS'!BS231</f>
        <v>8600</v>
      </c>
      <c r="AD231" s="73">
        <f t="shared" si="13"/>
        <v>5024</v>
      </c>
      <c r="AE231" s="74">
        <f>IF(OR('Cleanup TMS'!BU231=0,'Cleanup TMS'!BU231=""),"-",'Cleanup TMS'!BU231)</f>
        <v>0.57999999999999996</v>
      </c>
      <c r="AF231" s="74" t="str">
        <f>IF(OR('Cleanup TMS'!BV231=0,'Cleanup TMS'!BV231=""),"-",'Cleanup TMS'!BV231)</f>
        <v>C</v>
      </c>
      <c r="AG231" s="73">
        <f>'Cleanup TMS'!CF231</f>
        <v>450</v>
      </c>
      <c r="AH231" s="73">
        <f t="shared" si="14"/>
        <v>192</v>
      </c>
      <c r="AI231" s="73">
        <f t="shared" si="15"/>
        <v>209</v>
      </c>
      <c r="AJ231" s="71">
        <f>IF(OR('Cleanup TMS'!CI231=0,'Cleanup TMS'!CI231=""),"-",'Cleanup TMS'!CI231)</f>
        <v>0.46</v>
      </c>
      <c r="AK231" s="75" t="str">
        <f>IF(OR('Cleanup TMS'!CJ231=0,'Cleanup TMS'!CJ231=""),"-",'Cleanup TMS'!CJ231)</f>
        <v>B</v>
      </c>
    </row>
    <row r="232" spans="1:37" ht="18.75" customHeight="1">
      <c r="A232" s="69">
        <f>'Cleanup TMS'!A232</f>
        <v>35501001</v>
      </c>
      <c r="B232" s="70">
        <f>'Cleanup TMS'!B232</f>
        <v>42</v>
      </c>
      <c r="C232" s="70" t="str">
        <f>IF('Cleanup TMS'!E232="","",'Cleanup TMS'!E232)</f>
        <v/>
      </c>
      <c r="D232" s="70" t="str">
        <f>'Cleanup TMS'!F232</f>
        <v>SUMTER</v>
      </c>
      <c r="E232" s="70">
        <f>'Cleanup TMS'!G232</f>
        <v>35</v>
      </c>
      <c r="F232" s="71">
        <f>ROUND('Cleanup TMS'!H232,2)</f>
        <v>1.78</v>
      </c>
      <c r="G232" s="72" t="str">
        <f>'Cleanup TMS'!I232</f>
        <v>CR 470 N</v>
      </c>
      <c r="H232" s="72" t="str">
        <f>'Cleanup TMS'!J232</f>
        <v>CR 479</v>
      </c>
      <c r="I232" s="72" t="str">
        <f>'Cleanup TMS'!K232</f>
        <v>SR 93/I-75</v>
      </c>
      <c r="J232" s="70">
        <f>'Cleanup TMS'!L232</f>
        <v>2</v>
      </c>
      <c r="K232" s="70">
        <v>2</v>
      </c>
      <c r="L232" s="70" t="s">
        <v>646</v>
      </c>
      <c r="M232" s="70" t="s">
        <v>648</v>
      </c>
      <c r="N232" s="152" t="s">
        <v>652</v>
      </c>
      <c r="O232" s="152" t="s">
        <v>547</v>
      </c>
      <c r="P232" s="70" t="str">
        <f>'Cleanup TMS'!V232</f>
        <v>COUNTY</v>
      </c>
      <c r="Q232" s="70" t="str">
        <f>'Cleanup TMS'!W232</f>
        <v>UNINCORPORATED SUMTER COUNTY</v>
      </c>
      <c r="R232" s="70" t="s">
        <v>5</v>
      </c>
      <c r="S232" s="73">
        <f>IF('Cleanup TMS'!AO232=0,"-",'Cleanup TMS'!AO232)</f>
        <v>24200</v>
      </c>
      <c r="T232" s="73">
        <f>'Cleanup TMS'!AP232</f>
        <v>8454</v>
      </c>
      <c r="U232" s="71">
        <f>IF(OR('Cleanup TMS'!AQ232=0,'Cleanup TMS'!AQ232=""),"-",'Cleanup TMS'!AQ232)</f>
        <v>0.35</v>
      </c>
      <c r="V232" s="71" t="str">
        <f>IF(OR('Cleanup TMS'!AR232=0,'Cleanup TMS'!AR232=""),"-",'Cleanup TMS'!AR232)</f>
        <v>B</v>
      </c>
      <c r="W232" s="73">
        <f>IF('Cleanup TMS'!BB232=0,"-",'Cleanup TMS'!BB232)</f>
        <v>1200</v>
      </c>
      <c r="X232" s="73">
        <f>'Cleanup TMS'!BC232</f>
        <v>494</v>
      </c>
      <c r="Y232" s="73">
        <f>'Cleanup TMS'!BD232</f>
        <v>249</v>
      </c>
      <c r="Z232" s="74">
        <f>IF(OR('Cleanup TMS'!BE232=0,'Cleanup TMS'!BE232=""),"-",'Cleanup TMS'!BE232)</f>
        <v>0.41</v>
      </c>
      <c r="AA232" s="74" t="str">
        <f>IF(OR('Cleanup TMS'!BF232=0,'Cleanup TMS'!BF232=""),"-",'Cleanup TMS'!BF232)</f>
        <v>B</v>
      </c>
      <c r="AB232" s="148">
        <f>IF(OR('Cleanup TMS'!BI232="",'Cleanup TMS'!BI232=0),"-",'Cleanup TMS'!BI232)</f>
        <v>0.01</v>
      </c>
      <c r="AC232" s="73">
        <f>'Cleanup TMS'!BS232</f>
        <v>24200</v>
      </c>
      <c r="AD232" s="73">
        <f t="shared" si="13"/>
        <v>8885</v>
      </c>
      <c r="AE232" s="74">
        <f>IF(OR('Cleanup TMS'!BU232=0,'Cleanup TMS'!BU232=""),"-",'Cleanup TMS'!BU232)</f>
        <v>0.37</v>
      </c>
      <c r="AF232" s="74" t="str">
        <f>IF(OR('Cleanup TMS'!BV232=0,'Cleanup TMS'!BV232=""),"-",'Cleanup TMS'!BV232)</f>
        <v>B</v>
      </c>
      <c r="AG232" s="73">
        <f>'Cleanup TMS'!CF232</f>
        <v>1200</v>
      </c>
      <c r="AH232" s="73">
        <f t="shared" si="14"/>
        <v>519</v>
      </c>
      <c r="AI232" s="73">
        <f t="shared" si="15"/>
        <v>262</v>
      </c>
      <c r="AJ232" s="71">
        <f>IF(OR('Cleanup TMS'!CI232=0,'Cleanup TMS'!CI232=""),"-",'Cleanup TMS'!CI232)</f>
        <v>0.43</v>
      </c>
      <c r="AK232" s="75" t="str">
        <f>IF(OR('Cleanup TMS'!CJ232=0,'Cleanup TMS'!CJ232=""),"-",'Cleanup TMS'!CJ232)</f>
        <v>B</v>
      </c>
    </row>
    <row r="233" spans="1:37" ht="18.75" customHeight="1">
      <c r="A233" s="69">
        <f>'Cleanup TMS'!A233</f>
        <v>35511201</v>
      </c>
      <c r="B233" s="70">
        <f>'Cleanup TMS'!B233</f>
        <v>180201</v>
      </c>
      <c r="C233" s="70">
        <f>IF('Cleanup TMS'!E233="","",'Cleanup TMS'!E233)</f>
        <v>180201</v>
      </c>
      <c r="D233" s="70" t="str">
        <f>'Cleanup TMS'!F233</f>
        <v>FDOT</v>
      </c>
      <c r="E233" s="70">
        <f>'Cleanup TMS'!G233</f>
        <v>45</v>
      </c>
      <c r="F233" s="71">
        <f>ROUND('Cleanup TMS'!H233,2)</f>
        <v>0.63</v>
      </c>
      <c r="G233" s="72" t="str">
        <f>'Cleanup TMS'!I233</f>
        <v>SR 44</v>
      </c>
      <c r="H233" s="72" t="str">
        <f>'Cleanup TMS'!J233</f>
        <v>CR 139</v>
      </c>
      <c r="I233" s="72" t="str">
        <f>'Cleanup TMS'!K233</f>
        <v>BUENA VISTA BLVD</v>
      </c>
      <c r="J233" s="70">
        <f>'Cleanup TMS'!L233</f>
        <v>4</v>
      </c>
      <c r="K233" s="70">
        <v>4</v>
      </c>
      <c r="L233" s="70" t="s">
        <v>646</v>
      </c>
      <c r="M233" s="70" t="s">
        <v>649</v>
      </c>
      <c r="N233" s="152" t="s">
        <v>651</v>
      </c>
      <c r="O233" s="152" t="s">
        <v>547</v>
      </c>
      <c r="P233" s="70" t="str">
        <f>'Cleanup TMS'!V233</f>
        <v>STATE</v>
      </c>
      <c r="Q233" s="70" t="str">
        <f>'Cleanup TMS'!W233</f>
        <v>WILDWOOD</v>
      </c>
      <c r="R233" s="70" t="s">
        <v>5</v>
      </c>
      <c r="S233" s="73">
        <f>IF('Cleanup TMS'!AO233=0,"-",'Cleanup TMS'!AO233)</f>
        <v>41790</v>
      </c>
      <c r="T233" s="73">
        <f>'Cleanup TMS'!AP233</f>
        <v>17810</v>
      </c>
      <c r="U233" s="71">
        <f>IF(OR('Cleanup TMS'!AQ233=0,'Cleanup TMS'!AQ233=""),"-",'Cleanup TMS'!AQ233)</f>
        <v>0.43</v>
      </c>
      <c r="V233" s="71" t="str">
        <f>IF(OR('Cleanup TMS'!AR233=0,'Cleanup TMS'!AR233=""),"-",'Cleanup TMS'!AR233)</f>
        <v>C</v>
      </c>
      <c r="W233" s="73">
        <f>IF('Cleanup TMS'!BB233=0,"-",'Cleanup TMS'!BB233)</f>
        <v>2100</v>
      </c>
      <c r="X233" s="73">
        <f>'Cleanup TMS'!BC233</f>
        <v>692</v>
      </c>
      <c r="Y233" s="73">
        <f>'Cleanup TMS'!BD233</f>
        <v>941</v>
      </c>
      <c r="Z233" s="74">
        <f>IF(OR('Cleanup TMS'!BE233=0,'Cleanup TMS'!BE233=""),"-",'Cleanup TMS'!BE233)</f>
        <v>0.45</v>
      </c>
      <c r="AA233" s="74" t="str">
        <f>IF(OR('Cleanup TMS'!BF233=0,'Cleanup TMS'!BF233=""),"-",'Cleanup TMS'!BF233)</f>
        <v>C</v>
      </c>
      <c r="AB233" s="148">
        <f>IF(OR('Cleanup TMS'!BI233="",'Cleanup TMS'!BI233=0),"-",'Cleanup TMS'!BI233)</f>
        <v>0.01</v>
      </c>
      <c r="AC233" s="73">
        <f>'Cleanup TMS'!BS233</f>
        <v>41790</v>
      </c>
      <c r="AD233" s="73">
        <f t="shared" si="13"/>
        <v>18718</v>
      </c>
      <c r="AE233" s="74">
        <f>IF(OR('Cleanup TMS'!BU233=0,'Cleanup TMS'!BU233=""),"-",'Cleanup TMS'!BU233)</f>
        <v>0.45</v>
      </c>
      <c r="AF233" s="74" t="str">
        <f>IF(OR('Cleanup TMS'!BV233=0,'Cleanup TMS'!BV233=""),"-",'Cleanup TMS'!BV233)</f>
        <v>C</v>
      </c>
      <c r="AG233" s="73">
        <f>'Cleanup TMS'!CF233</f>
        <v>2100</v>
      </c>
      <c r="AH233" s="73">
        <f t="shared" si="14"/>
        <v>727</v>
      </c>
      <c r="AI233" s="73">
        <f t="shared" si="15"/>
        <v>989</v>
      </c>
      <c r="AJ233" s="71">
        <f>IF(OR('Cleanup TMS'!CI233=0,'Cleanup TMS'!CI233=""),"-",'Cleanup TMS'!CI233)</f>
        <v>0.47</v>
      </c>
      <c r="AK233" s="75" t="str">
        <f>IF(OR('Cleanup TMS'!CJ233=0,'Cleanup TMS'!CJ233=""),"-",'Cleanup TMS'!CJ233)</f>
        <v>C</v>
      </c>
    </row>
    <row r="234" spans="1:37" ht="18.75" customHeight="1">
      <c r="A234" s="69">
        <f>'Cleanup TMS'!A234</f>
        <v>35511202</v>
      </c>
      <c r="B234" s="70">
        <f>'Cleanup TMS'!B234</f>
        <v>180005</v>
      </c>
      <c r="C234" s="70">
        <f>IF('Cleanup TMS'!E234="","",'Cleanup TMS'!E234)</f>
        <v>180005</v>
      </c>
      <c r="D234" s="70" t="str">
        <f>'Cleanup TMS'!F234</f>
        <v>FDOT</v>
      </c>
      <c r="E234" s="70">
        <f>'Cleanup TMS'!G234</f>
        <v>55</v>
      </c>
      <c r="F234" s="71">
        <f>ROUND('Cleanup TMS'!H234,2)</f>
        <v>2.94</v>
      </c>
      <c r="G234" s="72" t="str">
        <f>'Cleanup TMS'!I234</f>
        <v>SR 44</v>
      </c>
      <c r="H234" s="72" t="str">
        <f>'Cleanup TMS'!J234</f>
        <v>BUENA VISTA BLVD</v>
      </c>
      <c r="I234" s="72" t="str">
        <f>'Cleanup TMS'!K234</f>
        <v>CR 468</v>
      </c>
      <c r="J234" s="70">
        <f>'Cleanup TMS'!L234</f>
        <v>4</v>
      </c>
      <c r="K234" s="70">
        <v>4</v>
      </c>
      <c r="L234" s="70" t="s">
        <v>646</v>
      </c>
      <c r="M234" s="70" t="s">
        <v>649</v>
      </c>
      <c r="N234" s="152" t="s">
        <v>651</v>
      </c>
      <c r="O234" s="152" t="s">
        <v>547</v>
      </c>
      <c r="P234" s="70" t="str">
        <f>'Cleanup TMS'!V234</f>
        <v>STATE</v>
      </c>
      <c r="Q234" s="70" t="str">
        <f>'Cleanup TMS'!W234</f>
        <v>UNINCORPORATED SUMTER COUNTY</v>
      </c>
      <c r="R234" s="70" t="s">
        <v>5</v>
      </c>
      <c r="S234" s="73">
        <f>IF('Cleanup TMS'!AO234=0,"-",'Cleanup TMS'!AO234)</f>
        <v>41790</v>
      </c>
      <c r="T234" s="73">
        <f>'Cleanup TMS'!AP234</f>
        <v>21620</v>
      </c>
      <c r="U234" s="71">
        <f>IF(OR('Cleanup TMS'!AQ234=0,'Cleanup TMS'!AQ234=""),"-",'Cleanup TMS'!AQ234)</f>
        <v>0.52</v>
      </c>
      <c r="V234" s="71" t="str">
        <f>IF(OR('Cleanup TMS'!AR234=0,'Cleanup TMS'!AR234=""),"-",'Cleanup TMS'!AR234)</f>
        <v>C</v>
      </c>
      <c r="W234" s="73">
        <f>IF('Cleanup TMS'!BB234=0,"-",'Cleanup TMS'!BB234)</f>
        <v>2100</v>
      </c>
      <c r="X234" s="73">
        <f>'Cleanup TMS'!BC234</f>
        <v>1031</v>
      </c>
      <c r="Y234" s="73">
        <f>'Cleanup TMS'!BD234</f>
        <v>915</v>
      </c>
      <c r="Z234" s="74">
        <f>IF(OR('Cleanup TMS'!BE234=0,'Cleanup TMS'!BE234=""),"-",'Cleanup TMS'!BE234)</f>
        <v>0.49</v>
      </c>
      <c r="AA234" s="74" t="str">
        <f>IF(OR('Cleanup TMS'!BF234=0,'Cleanup TMS'!BF234=""),"-",'Cleanup TMS'!BF234)</f>
        <v>C</v>
      </c>
      <c r="AB234" s="148">
        <f>IF(OR('Cleanup TMS'!BI234="",'Cleanup TMS'!BI234=0),"-",'Cleanup TMS'!BI234)</f>
        <v>1.4999999999999999E-2</v>
      </c>
      <c r="AC234" s="73">
        <f>'Cleanup TMS'!BS234</f>
        <v>41790</v>
      </c>
      <c r="AD234" s="73">
        <f t="shared" si="13"/>
        <v>23291</v>
      </c>
      <c r="AE234" s="74">
        <f>IF(OR('Cleanup TMS'!BU234=0,'Cleanup TMS'!BU234=""),"-",'Cleanup TMS'!BU234)</f>
        <v>0.56000000000000005</v>
      </c>
      <c r="AF234" s="74" t="str">
        <f>IF(OR('Cleanup TMS'!BV234=0,'Cleanup TMS'!BV234=""),"-",'Cleanup TMS'!BV234)</f>
        <v>C</v>
      </c>
      <c r="AG234" s="73">
        <f>'Cleanup TMS'!CF234</f>
        <v>2100</v>
      </c>
      <c r="AH234" s="73">
        <f t="shared" si="14"/>
        <v>1111</v>
      </c>
      <c r="AI234" s="73">
        <f t="shared" si="15"/>
        <v>986</v>
      </c>
      <c r="AJ234" s="71">
        <f>IF(OR('Cleanup TMS'!CI234=0,'Cleanup TMS'!CI234=""),"-",'Cleanup TMS'!CI234)</f>
        <v>0.53</v>
      </c>
      <c r="AK234" s="75" t="str">
        <f>IF(OR('Cleanup TMS'!CJ234=0,'Cleanup TMS'!CJ234=""),"-",'Cleanup TMS'!CJ234)</f>
        <v>C</v>
      </c>
    </row>
    <row r="235" spans="1:37" ht="18.75" customHeight="1">
      <c r="A235" s="69">
        <f>'Cleanup TMS'!A235</f>
        <v>35541001</v>
      </c>
      <c r="B235" s="70">
        <f>'Cleanup TMS'!B235</f>
        <v>82</v>
      </c>
      <c r="C235" s="70" t="str">
        <f>IF('Cleanup TMS'!E235="","",'Cleanup TMS'!E235)</f>
        <v/>
      </c>
      <c r="D235" s="70" t="str">
        <f>'Cleanup TMS'!F235</f>
        <v>SUMTER</v>
      </c>
      <c r="E235" s="70">
        <f>'Cleanup TMS'!G235</f>
        <v>45</v>
      </c>
      <c r="F235" s="71">
        <f>ROUND('Cleanup TMS'!H235,2)</f>
        <v>0.18</v>
      </c>
      <c r="G235" s="72" t="str">
        <f>'Cleanup TMS'!I235</f>
        <v>CR 48 (FLORIDA ST)</v>
      </c>
      <c r="H235" s="72" t="str">
        <f>'Cleanup TMS'!J235</f>
        <v>CR 313</v>
      </c>
      <c r="I235" s="72" t="str">
        <f>'Cleanup TMS'!K235</f>
        <v>SR 93/I-75</v>
      </c>
      <c r="J235" s="70">
        <f>'Cleanup TMS'!L235</f>
        <v>4</v>
      </c>
      <c r="K235" s="70">
        <v>4</v>
      </c>
      <c r="L235" s="70" t="s">
        <v>646</v>
      </c>
      <c r="M235" s="70" t="s">
        <v>649</v>
      </c>
      <c r="N235" s="152" t="s">
        <v>651</v>
      </c>
      <c r="O235" s="152" t="s">
        <v>547</v>
      </c>
      <c r="P235" s="70" t="str">
        <f>'Cleanup TMS'!V235</f>
        <v>COUNTY</v>
      </c>
      <c r="Q235" s="70" t="str">
        <f>'Cleanup TMS'!W235</f>
        <v>BUSHNELL</v>
      </c>
      <c r="R235" s="70" t="s">
        <v>5</v>
      </c>
      <c r="S235" s="73">
        <f>IF('Cleanup TMS'!AO235=0,"-",'Cleanup TMS'!AO235)</f>
        <v>37810</v>
      </c>
      <c r="T235" s="73">
        <f>'Cleanup TMS'!AP235</f>
        <v>18941</v>
      </c>
      <c r="U235" s="71">
        <f>IF(OR('Cleanup TMS'!AQ235=0,'Cleanup TMS'!AQ235=""),"-",'Cleanup TMS'!AQ235)</f>
        <v>0.5</v>
      </c>
      <c r="V235" s="71" t="str">
        <f>IF(OR('Cleanup TMS'!AR235=0,'Cleanup TMS'!AR235=""),"-",'Cleanup TMS'!AR235)</f>
        <v>C</v>
      </c>
      <c r="W235" s="73">
        <f>IF('Cleanup TMS'!BB235=0,"-",'Cleanup TMS'!BB235)</f>
        <v>1900</v>
      </c>
      <c r="X235" s="73">
        <f>'Cleanup TMS'!BC235</f>
        <v>641</v>
      </c>
      <c r="Y235" s="73">
        <f>'Cleanup TMS'!BD235</f>
        <v>628</v>
      </c>
      <c r="Z235" s="74">
        <f>IF(OR('Cleanup TMS'!BE235=0,'Cleanup TMS'!BE235=""),"-",'Cleanup TMS'!BE235)</f>
        <v>0.34</v>
      </c>
      <c r="AA235" s="74" t="str">
        <f>IF(OR('Cleanup TMS'!BF235=0,'Cleanup TMS'!BF235=""),"-",'Cleanup TMS'!BF235)</f>
        <v>C</v>
      </c>
      <c r="AB235" s="148">
        <f>IF(OR('Cleanup TMS'!BI235="",'Cleanup TMS'!BI235=0),"-",'Cleanup TMS'!BI235)</f>
        <v>6.25E-2</v>
      </c>
      <c r="AC235" s="73">
        <f>'Cleanup TMS'!BS235</f>
        <v>37810</v>
      </c>
      <c r="AD235" s="73">
        <f t="shared" si="13"/>
        <v>25648</v>
      </c>
      <c r="AE235" s="74">
        <f>IF(OR('Cleanup TMS'!BU235=0,'Cleanup TMS'!BU235=""),"-",'Cleanup TMS'!BU235)</f>
        <v>0.68</v>
      </c>
      <c r="AF235" s="74" t="str">
        <f>IF(OR('Cleanup TMS'!BV235=0,'Cleanup TMS'!BV235=""),"-",'Cleanup TMS'!BV235)</f>
        <v>C</v>
      </c>
      <c r="AG235" s="73">
        <f>'Cleanup TMS'!CF235</f>
        <v>1900</v>
      </c>
      <c r="AH235" s="73">
        <f t="shared" si="14"/>
        <v>868</v>
      </c>
      <c r="AI235" s="73">
        <f t="shared" si="15"/>
        <v>850</v>
      </c>
      <c r="AJ235" s="71">
        <f>IF(OR('Cleanup TMS'!CI235=0,'Cleanup TMS'!CI235=""),"-",'Cleanup TMS'!CI235)</f>
        <v>0.46</v>
      </c>
      <c r="AK235" s="75" t="str">
        <f>IF(OR('Cleanup TMS'!CJ235=0,'Cleanup TMS'!CJ235=""),"-",'Cleanup TMS'!CJ235)</f>
        <v>C</v>
      </c>
    </row>
    <row r="236" spans="1:37" ht="18.75" customHeight="1">
      <c r="A236" s="69">
        <f>'Cleanup TMS'!A236</f>
        <v>35541002</v>
      </c>
      <c r="B236" s="70">
        <f>'Cleanup TMS'!B236</f>
        <v>173</v>
      </c>
      <c r="C236" s="70">
        <f>IF('Cleanup TMS'!E236="","",'Cleanup TMS'!E236)</f>
        <v>180016</v>
      </c>
      <c r="D236" s="70" t="str">
        <f>'Cleanup TMS'!F236</f>
        <v>SUMTER</v>
      </c>
      <c r="E236" s="70">
        <f>'Cleanup TMS'!G236</f>
        <v>40</v>
      </c>
      <c r="F236" s="71">
        <f>ROUND('Cleanup TMS'!H236,2)</f>
        <v>0.32</v>
      </c>
      <c r="G236" s="72" t="str">
        <f>'Cleanup TMS'!I236</f>
        <v>SR 48 (CR 48 W)</v>
      </c>
      <c r="H236" s="72" t="str">
        <f>'Cleanup TMS'!J236</f>
        <v>SR 93/I-75</v>
      </c>
      <c r="I236" s="72" t="str">
        <f>'Cleanup TMS'!K236</f>
        <v>CR 609</v>
      </c>
      <c r="J236" s="70">
        <f>'Cleanup TMS'!L236</f>
        <v>4</v>
      </c>
      <c r="K236" s="70">
        <v>4</v>
      </c>
      <c r="L236" s="70" t="s">
        <v>647</v>
      </c>
      <c r="M236" s="70" t="s">
        <v>649</v>
      </c>
      <c r="N236" s="152" t="s">
        <v>651</v>
      </c>
      <c r="O236" s="152" t="s">
        <v>547</v>
      </c>
      <c r="P236" s="70" t="str">
        <f>'Cleanup TMS'!V236</f>
        <v>STATE</v>
      </c>
      <c r="Q236" s="70" t="str">
        <f>'Cleanup TMS'!W236</f>
        <v>BUSHNELL</v>
      </c>
      <c r="R236" s="70" t="s">
        <v>5</v>
      </c>
      <c r="S236" s="73">
        <f>IF('Cleanup TMS'!AO236=0,"-",'Cleanup TMS'!AO236)</f>
        <v>31920</v>
      </c>
      <c r="T236" s="73">
        <f>'Cleanup TMS'!AP236</f>
        <v>17514</v>
      </c>
      <c r="U236" s="71">
        <f>IF(OR('Cleanup TMS'!AQ236=0,'Cleanup TMS'!AQ236=""),"-",'Cleanup TMS'!AQ236)</f>
        <v>0.55000000000000004</v>
      </c>
      <c r="V236" s="71" t="str">
        <f>IF(OR('Cleanup TMS'!AR236=0,'Cleanup TMS'!AR236=""),"-",'Cleanup TMS'!AR236)</f>
        <v>C</v>
      </c>
      <c r="W236" s="73">
        <f>IF('Cleanup TMS'!BB236=0,"-",'Cleanup TMS'!BB236)</f>
        <v>1659</v>
      </c>
      <c r="X236" s="73">
        <f>'Cleanup TMS'!BC236</f>
        <v>650</v>
      </c>
      <c r="Y236" s="73">
        <f>'Cleanup TMS'!BD236</f>
        <v>696</v>
      </c>
      <c r="Z236" s="74">
        <f>IF(OR('Cleanup TMS'!BE236=0,'Cleanup TMS'!BE236=""),"-",'Cleanup TMS'!BE236)</f>
        <v>0.42</v>
      </c>
      <c r="AA236" s="74" t="str">
        <f>IF(OR('Cleanup TMS'!BF236=0,'Cleanup TMS'!BF236=""),"-",'Cleanup TMS'!BF236)</f>
        <v>C</v>
      </c>
      <c r="AB236" s="148">
        <f>IF(OR('Cleanup TMS'!BI236="",'Cleanup TMS'!BI236=0),"-",'Cleanup TMS'!BI236)</f>
        <v>3.5000000000000003E-2</v>
      </c>
      <c r="AC236" s="73">
        <f>'Cleanup TMS'!BS236</f>
        <v>31920</v>
      </c>
      <c r="AD236" s="73">
        <f t="shared" si="13"/>
        <v>20801</v>
      </c>
      <c r="AE236" s="74">
        <f>IF(OR('Cleanup TMS'!BU236=0,'Cleanup TMS'!BU236=""),"-",'Cleanup TMS'!BU236)</f>
        <v>0.65</v>
      </c>
      <c r="AF236" s="74" t="str">
        <f>IF(OR('Cleanup TMS'!BV236=0,'Cleanup TMS'!BV236=""),"-",'Cleanup TMS'!BV236)</f>
        <v>C</v>
      </c>
      <c r="AG236" s="73">
        <f>'Cleanup TMS'!CF236</f>
        <v>1659</v>
      </c>
      <c r="AH236" s="73">
        <f t="shared" si="14"/>
        <v>772</v>
      </c>
      <c r="AI236" s="73">
        <f t="shared" si="15"/>
        <v>827</v>
      </c>
      <c r="AJ236" s="71">
        <f>IF(OR('Cleanup TMS'!CI236=0,'Cleanup TMS'!CI236=""),"-",'Cleanup TMS'!CI236)</f>
        <v>0.5</v>
      </c>
      <c r="AK236" s="75" t="str">
        <f>IF(OR('Cleanup TMS'!CJ236=0,'Cleanup TMS'!CJ236=""),"-",'Cleanup TMS'!CJ236)</f>
        <v>C</v>
      </c>
    </row>
    <row r="237" spans="1:37" ht="18.75" customHeight="1">
      <c r="A237" s="69">
        <f>'Cleanup TMS'!A237</f>
        <v>35581601</v>
      </c>
      <c r="B237" s="70">
        <f>'Cleanup TMS'!B237</f>
        <v>180089</v>
      </c>
      <c r="C237" s="70">
        <f>IF('Cleanup TMS'!E237="","",'Cleanup TMS'!E237)</f>
        <v>180089</v>
      </c>
      <c r="D237" s="70" t="str">
        <f>'Cleanup TMS'!F237</f>
        <v>FDOT</v>
      </c>
      <c r="E237" s="70">
        <f>'Cleanup TMS'!G237</f>
        <v>55</v>
      </c>
      <c r="F237" s="71">
        <f>ROUND('Cleanup TMS'!H237,2)</f>
        <v>6.29</v>
      </c>
      <c r="G237" s="72" t="str">
        <f>'Cleanup TMS'!I237</f>
        <v>SR 471</v>
      </c>
      <c r="H237" s="72" t="str">
        <f>'Cleanup TMS'!J237</f>
        <v>CR 476</v>
      </c>
      <c r="I237" s="72" t="str">
        <f>'Cleanup TMS'!K237</f>
        <v>US 301/SR 35</v>
      </c>
      <c r="J237" s="70">
        <f>'Cleanup TMS'!L237</f>
        <v>2</v>
      </c>
      <c r="K237" s="70">
        <v>2</v>
      </c>
      <c r="L237" s="70" t="s">
        <v>646</v>
      </c>
      <c r="M237" s="70" t="s">
        <v>648</v>
      </c>
      <c r="N237" s="152" t="s">
        <v>652</v>
      </c>
      <c r="O237" s="152" t="s">
        <v>547</v>
      </c>
      <c r="P237" s="70" t="str">
        <f>'Cleanup TMS'!V237</f>
        <v>STATE</v>
      </c>
      <c r="Q237" s="70" t="str">
        <f>'Cleanup TMS'!W237</f>
        <v>UNINCORPORATED SUMTER COUNTY</v>
      </c>
      <c r="R237" s="70" t="s">
        <v>5</v>
      </c>
      <c r="S237" s="73">
        <f>IF('Cleanup TMS'!AO237=0,"-",'Cleanup TMS'!AO237)</f>
        <v>24200</v>
      </c>
      <c r="T237" s="73">
        <f>'Cleanup TMS'!AP237</f>
        <v>5400</v>
      </c>
      <c r="U237" s="71">
        <f>IF(OR('Cleanup TMS'!AQ237=0,'Cleanup TMS'!AQ237=""),"-",'Cleanup TMS'!AQ237)</f>
        <v>0.22</v>
      </c>
      <c r="V237" s="71" t="str">
        <f>IF(OR('Cleanup TMS'!AR237=0,'Cleanup TMS'!AR237=""),"-",'Cleanup TMS'!AR237)</f>
        <v>B</v>
      </c>
      <c r="W237" s="73">
        <f>IF('Cleanup TMS'!BB237=0,"-",'Cleanup TMS'!BB237)</f>
        <v>1200</v>
      </c>
      <c r="X237" s="73">
        <f>'Cleanup TMS'!BC237</f>
        <v>272</v>
      </c>
      <c r="Y237" s="73">
        <f>'Cleanup TMS'!BD237</f>
        <v>241</v>
      </c>
      <c r="Z237" s="74">
        <f>IF(OR('Cleanup TMS'!BE237=0,'Cleanup TMS'!BE237=""),"-",'Cleanup TMS'!BE237)</f>
        <v>0.23</v>
      </c>
      <c r="AA237" s="74" t="str">
        <f>IF(OR('Cleanup TMS'!BF237=0,'Cleanup TMS'!BF237=""),"-",'Cleanup TMS'!BF237)</f>
        <v>B</v>
      </c>
      <c r="AB237" s="148">
        <f>IF(OR('Cleanup TMS'!BI237="",'Cleanup TMS'!BI237=0),"-",'Cleanup TMS'!BI237)</f>
        <v>0.01</v>
      </c>
      <c r="AC237" s="73">
        <f>'Cleanup TMS'!BS237</f>
        <v>24200</v>
      </c>
      <c r="AD237" s="73">
        <f t="shared" si="13"/>
        <v>5675</v>
      </c>
      <c r="AE237" s="74">
        <f>IF(OR('Cleanup TMS'!BU237=0,'Cleanup TMS'!BU237=""),"-",'Cleanup TMS'!BU237)</f>
        <v>0.23</v>
      </c>
      <c r="AF237" s="74" t="str">
        <f>IF(OR('Cleanup TMS'!BV237=0,'Cleanup TMS'!BV237=""),"-",'Cleanup TMS'!BV237)</f>
        <v>B</v>
      </c>
      <c r="AG237" s="73">
        <f>'Cleanup TMS'!CF237</f>
        <v>1200</v>
      </c>
      <c r="AH237" s="73">
        <f t="shared" si="14"/>
        <v>286</v>
      </c>
      <c r="AI237" s="73">
        <f t="shared" si="15"/>
        <v>253</v>
      </c>
      <c r="AJ237" s="71">
        <f>IF(OR('Cleanup TMS'!CI237=0,'Cleanup TMS'!CI237=""),"-",'Cleanup TMS'!CI237)</f>
        <v>0.24</v>
      </c>
      <c r="AK237" s="75" t="str">
        <f>IF(OR('Cleanup TMS'!CJ237=0,'Cleanup TMS'!CJ237=""),"-",'Cleanup TMS'!CJ237)</f>
        <v>B</v>
      </c>
    </row>
    <row r="238" spans="1:37" ht="18.75" customHeight="1">
      <c r="A238" s="69">
        <f>'Cleanup TMS'!A238</f>
        <v>40010001</v>
      </c>
      <c r="B238" s="70" t="str">
        <f>'Cleanup TMS'!B238</f>
        <v>2020-278</v>
      </c>
      <c r="C238" s="70" t="str">
        <f>IF('Cleanup TMS'!E238="","",'Cleanup TMS'!E238)</f>
        <v/>
      </c>
      <c r="D238" s="70" t="str">
        <f>'Cleanup TMS'!F238</f>
        <v>SUMTER</v>
      </c>
      <c r="E238" s="70">
        <f>'Cleanup TMS'!G238</f>
        <v>35</v>
      </c>
      <c r="F238" s="71">
        <f>ROUND('Cleanup TMS'!H238,2)</f>
        <v>0.24</v>
      </c>
      <c r="G238" s="72" t="str">
        <f>'Cleanup TMS'!I238</f>
        <v>CR 103</v>
      </c>
      <c r="H238" s="72" t="str">
        <f>'Cleanup TMS'!J238</f>
        <v>CR 466 E</v>
      </c>
      <c r="I238" s="72" t="str">
        <f>'Cleanup TMS'!K238</f>
        <v>WOODRIDGE DR</v>
      </c>
      <c r="J238" s="70">
        <f>'Cleanup TMS'!L238</f>
        <v>4</v>
      </c>
      <c r="K238" s="70">
        <v>4</v>
      </c>
      <c r="L238" s="70" t="s">
        <v>646</v>
      </c>
      <c r="M238" s="70" t="s">
        <v>649</v>
      </c>
      <c r="N238" s="152" t="s">
        <v>651</v>
      </c>
      <c r="O238" s="152" t="s">
        <v>547</v>
      </c>
      <c r="P238" s="70" t="str">
        <f>'Cleanup TMS'!V238</f>
        <v>COUNTY</v>
      </c>
      <c r="Q238" s="70" t="str">
        <f>'Cleanup TMS'!W238</f>
        <v>WILDWOOD</v>
      </c>
      <c r="R238" s="70" t="s">
        <v>5</v>
      </c>
      <c r="S238" s="73">
        <f>IF('Cleanup TMS'!AO238=0,"-",'Cleanup TMS'!AO238)</f>
        <v>30780</v>
      </c>
      <c r="T238" s="73">
        <f>'Cleanup TMS'!AP238</f>
        <v>3484.6399999999849</v>
      </c>
      <c r="U238" s="71">
        <f>IF(OR('Cleanup TMS'!AQ238=0,'Cleanup TMS'!AQ238=""),"-",'Cleanup TMS'!AQ238)</f>
        <v>0.11</v>
      </c>
      <c r="V238" s="71" t="str">
        <f>IF(OR('Cleanup TMS'!AR238=0,'Cleanup TMS'!AR238=""),"-",'Cleanup TMS'!AR238)</f>
        <v>C</v>
      </c>
      <c r="W238" s="73">
        <f>IF('Cleanup TMS'!BB238=0,"-",'Cleanup TMS'!BB238)</f>
        <v>1549</v>
      </c>
      <c r="X238" s="73">
        <f>'Cleanup TMS'!BC238</f>
        <v>154</v>
      </c>
      <c r="Y238" s="73">
        <f>'Cleanup TMS'!BD238</f>
        <v>188</v>
      </c>
      <c r="Z238" s="74">
        <f>IF(OR('Cleanup TMS'!BE238=0,'Cleanup TMS'!BE238=""),"-",'Cleanup TMS'!BE238)</f>
        <v>0.12</v>
      </c>
      <c r="AA238" s="74" t="str">
        <f>IF(OR('Cleanup TMS'!BF238=0,'Cleanup TMS'!BF238=""),"-",'Cleanup TMS'!BF238)</f>
        <v>C</v>
      </c>
      <c r="AB238" s="148">
        <f>IF(OR('Cleanup TMS'!BI238="",'Cleanup TMS'!BI238=0),"-",'Cleanup TMS'!BI238)</f>
        <v>2.2499999999999999E-2</v>
      </c>
      <c r="AC238" s="73">
        <f>'Cleanup TMS'!BS238</f>
        <v>30780</v>
      </c>
      <c r="AD238" s="73">
        <f t="shared" si="13"/>
        <v>3895</v>
      </c>
      <c r="AE238" s="74">
        <f>IF(OR('Cleanup TMS'!BU238=0,'Cleanup TMS'!BU238=""),"-",'Cleanup TMS'!BU238)</f>
        <v>0.13</v>
      </c>
      <c r="AF238" s="74" t="str">
        <f>IF(OR('Cleanup TMS'!BV238=0,'Cleanup TMS'!BV238=""),"-",'Cleanup TMS'!BV238)</f>
        <v>C</v>
      </c>
      <c r="AG238" s="73">
        <f>'Cleanup TMS'!CF238</f>
        <v>1549</v>
      </c>
      <c r="AH238" s="73">
        <f t="shared" si="14"/>
        <v>172</v>
      </c>
      <c r="AI238" s="73">
        <f t="shared" si="15"/>
        <v>210</v>
      </c>
      <c r="AJ238" s="71">
        <f>IF(OR('Cleanup TMS'!CI238=0,'Cleanup TMS'!CI238=""),"-",'Cleanup TMS'!CI238)</f>
        <v>0.14000000000000001</v>
      </c>
      <c r="AK238" s="75" t="str">
        <f>IF(OR('Cleanup TMS'!CJ238=0,'Cleanup TMS'!CJ238=""),"-",'Cleanup TMS'!CJ238)</f>
        <v>C</v>
      </c>
    </row>
    <row r="239" spans="1:37" ht="18.75" customHeight="1">
      <c r="A239" s="69">
        <f>'Cleanup TMS'!A239</f>
        <v>40090001</v>
      </c>
      <c r="B239" s="70">
        <f>'Cleanup TMS'!B239</f>
        <v>108</v>
      </c>
      <c r="C239" s="70" t="str">
        <f>IF('Cleanup TMS'!E239="","",'Cleanup TMS'!E239)</f>
        <v/>
      </c>
      <c r="D239" s="70" t="str">
        <f>'Cleanup TMS'!F239</f>
        <v>SUMTER</v>
      </c>
      <c r="E239" s="70">
        <f>'Cleanup TMS'!G239</f>
        <v>55</v>
      </c>
      <c r="F239" s="71">
        <f>ROUND('Cleanup TMS'!H239,2)</f>
        <v>2.4300000000000002</v>
      </c>
      <c r="G239" s="72" t="str">
        <f>'Cleanup TMS'!I239</f>
        <v>MARSH BEND TRAIL / CR 501</v>
      </c>
      <c r="H239" s="72" t="str">
        <f>'Cleanup TMS'!J239</f>
        <v>CR 500</v>
      </c>
      <c r="I239" s="72" t="str">
        <f>'Cleanup TMS'!K239</f>
        <v>CORBIN TRL</v>
      </c>
      <c r="J239" s="70">
        <f>'Cleanup TMS'!L239</f>
        <v>2</v>
      </c>
      <c r="K239" s="70">
        <v>2</v>
      </c>
      <c r="L239" s="70" t="s">
        <v>646</v>
      </c>
      <c r="M239" s="70" t="s">
        <v>648</v>
      </c>
      <c r="N239" s="152" t="s">
        <v>652</v>
      </c>
      <c r="O239" s="152" t="s">
        <v>547</v>
      </c>
      <c r="P239" s="70" t="str">
        <f>'Cleanup TMS'!V239</f>
        <v>COUNTY</v>
      </c>
      <c r="Q239" s="70" t="str">
        <f>'Cleanup TMS'!W239</f>
        <v>WILDWOOD</v>
      </c>
      <c r="R239" s="70" t="s">
        <v>5</v>
      </c>
      <c r="S239" s="73">
        <f>IF('Cleanup TMS'!AO239=0,"-",'Cleanup TMS'!AO239)</f>
        <v>24200</v>
      </c>
      <c r="T239" s="73">
        <f>'Cleanup TMS'!AP239</f>
        <v>11703</v>
      </c>
      <c r="U239" s="71">
        <f>IF(OR('Cleanup TMS'!AQ239=0,'Cleanup TMS'!AQ239=""),"-",'Cleanup TMS'!AQ239)</f>
        <v>0.48</v>
      </c>
      <c r="V239" s="71" t="str">
        <f>IF(OR('Cleanup TMS'!AR239=0,'Cleanup TMS'!AR239=""),"-",'Cleanup TMS'!AR239)</f>
        <v>C</v>
      </c>
      <c r="W239" s="73">
        <f>IF('Cleanup TMS'!BB239=0,"-",'Cleanup TMS'!BB239)</f>
        <v>1200</v>
      </c>
      <c r="X239" s="73">
        <f>'Cleanup TMS'!BC239</f>
        <v>516</v>
      </c>
      <c r="Y239" s="73">
        <f>'Cleanup TMS'!BD239</f>
        <v>474</v>
      </c>
      <c r="Z239" s="74">
        <f>IF(OR('Cleanup TMS'!BE239=0,'Cleanup TMS'!BE239=""),"-",'Cleanup TMS'!BE239)</f>
        <v>0.43</v>
      </c>
      <c r="AA239" s="74" t="str">
        <f>IF(OR('Cleanup TMS'!BF239=0,'Cleanup TMS'!BF239=""),"-",'Cleanup TMS'!BF239)</f>
        <v>B</v>
      </c>
      <c r="AB239" s="148">
        <f>IF(OR('Cleanup TMS'!BI239="",'Cleanup TMS'!BI239=0),"-",'Cleanup TMS'!BI239)</f>
        <v>8.2500000000000004E-2</v>
      </c>
      <c r="AC239" s="73">
        <f>'Cleanup TMS'!BS239</f>
        <v>59900</v>
      </c>
      <c r="AD239" s="73">
        <f t="shared" si="13"/>
        <v>17395</v>
      </c>
      <c r="AE239" s="74">
        <f>IF(OR('Cleanup TMS'!BU239=0,'Cleanup TMS'!BU239=""),"-",'Cleanup TMS'!BU239)</f>
        <v>0.28999999999999998</v>
      </c>
      <c r="AF239" s="74" t="str">
        <f>IF(OR('Cleanup TMS'!BV239=0,'Cleanup TMS'!BV239=""),"-",'Cleanup TMS'!BV239)</f>
        <v>C</v>
      </c>
      <c r="AG239" s="73">
        <f>'Cleanup TMS'!CF239</f>
        <v>3020</v>
      </c>
      <c r="AH239" s="73">
        <f t="shared" si="14"/>
        <v>767</v>
      </c>
      <c r="AI239" s="73">
        <f t="shared" si="15"/>
        <v>705</v>
      </c>
      <c r="AJ239" s="71">
        <f>IF(OR('Cleanup TMS'!CI239=0,'Cleanup TMS'!CI239=""),"-",'Cleanup TMS'!CI239)</f>
        <v>0.25</v>
      </c>
      <c r="AK239" s="75" t="str">
        <f>IF(OR('Cleanup TMS'!CJ239=0,'Cleanup TMS'!CJ239=""),"-",'Cleanup TMS'!CJ239)</f>
        <v>C</v>
      </c>
    </row>
    <row r="240" spans="1:37" ht="18.75" customHeight="1">
      <c r="A240" s="69">
        <f>'Cleanup TMS'!A240</f>
        <v>40090002</v>
      </c>
      <c r="B240" s="70">
        <f>'Cleanup TMS'!B240</f>
        <v>108</v>
      </c>
      <c r="C240" s="70" t="str">
        <f>IF('Cleanup TMS'!E240="","",'Cleanup TMS'!E240)</f>
        <v/>
      </c>
      <c r="D240" s="70" t="str">
        <f>'Cleanup TMS'!F240</f>
        <v>ADJACENT</v>
      </c>
      <c r="E240" s="70">
        <f>'Cleanup TMS'!G240</f>
        <v>55</v>
      </c>
      <c r="F240" s="71">
        <f>ROUND('Cleanup TMS'!H240,2)</f>
        <v>0.48</v>
      </c>
      <c r="G240" s="72" t="str">
        <f>'Cleanup TMS'!I240</f>
        <v>MARSH BEND TRAIL / CR 501</v>
      </c>
      <c r="H240" s="72" t="str">
        <f>'Cleanup TMS'!J240</f>
        <v>CORBIN TRL</v>
      </c>
      <c r="I240" s="72" t="str">
        <f>'Cleanup TMS'!K240</f>
        <v>CR 468 (WARM SPRINGS AVE)</v>
      </c>
      <c r="J240" s="70">
        <f>'Cleanup TMS'!L240</f>
        <v>4</v>
      </c>
      <c r="K240" s="70">
        <v>4</v>
      </c>
      <c r="L240" s="70" t="s">
        <v>646</v>
      </c>
      <c r="M240" s="70" t="s">
        <v>649</v>
      </c>
      <c r="N240" s="152" t="s">
        <v>651</v>
      </c>
      <c r="O240" s="152" t="s">
        <v>547</v>
      </c>
      <c r="P240" s="70" t="str">
        <f>'Cleanup TMS'!V240</f>
        <v>COUNTY</v>
      </c>
      <c r="Q240" s="70" t="str">
        <f>'Cleanup TMS'!W240</f>
        <v>WILDWOOD</v>
      </c>
      <c r="R240" s="70" t="s">
        <v>5</v>
      </c>
      <c r="S240" s="73">
        <f>IF('Cleanup TMS'!AO240=0,"-",'Cleanup TMS'!AO240)</f>
        <v>35820</v>
      </c>
      <c r="T240" s="73">
        <f>'Cleanup TMS'!AP240</f>
        <v>11703</v>
      </c>
      <c r="U240" s="71">
        <f>IF(OR('Cleanup TMS'!AQ240=0,'Cleanup TMS'!AQ240=""),"-",'Cleanup TMS'!AQ240)</f>
        <v>0.33</v>
      </c>
      <c r="V240" s="71" t="str">
        <f>IF(OR('Cleanup TMS'!AR240=0,'Cleanup TMS'!AR240=""),"-",'Cleanup TMS'!AR240)</f>
        <v>C</v>
      </c>
      <c r="W240" s="73">
        <f>IF('Cleanup TMS'!BB240=0,"-",'Cleanup TMS'!BB240)</f>
        <v>1800</v>
      </c>
      <c r="X240" s="73">
        <f>'Cleanup TMS'!BC240</f>
        <v>516</v>
      </c>
      <c r="Y240" s="73">
        <f>'Cleanup TMS'!BD240</f>
        <v>474</v>
      </c>
      <c r="Z240" s="74">
        <f>IF(OR('Cleanup TMS'!BE240=0,'Cleanup TMS'!BE240=""),"-",'Cleanup TMS'!BE240)</f>
        <v>0.28999999999999998</v>
      </c>
      <c r="AA240" s="74" t="str">
        <f>IF(OR('Cleanup TMS'!BF240=0,'Cleanup TMS'!BF240=""),"-",'Cleanup TMS'!BF240)</f>
        <v>C</v>
      </c>
      <c r="AB240" s="148">
        <f>IF(OR('Cleanup TMS'!BI240="",'Cleanup TMS'!BI240=0),"-",'Cleanup TMS'!BI240)</f>
        <v>8.2500000000000004E-2</v>
      </c>
      <c r="AC240" s="73">
        <f>'Cleanup TMS'!BS240</f>
        <v>35820</v>
      </c>
      <c r="AD240" s="73">
        <f t="shared" si="13"/>
        <v>17395</v>
      </c>
      <c r="AE240" s="74">
        <f>IF(OR('Cleanup TMS'!BU240=0,'Cleanup TMS'!BU240=""),"-",'Cleanup TMS'!BU240)</f>
        <v>0.49</v>
      </c>
      <c r="AF240" s="74" t="str">
        <f>IF(OR('Cleanup TMS'!BV240=0,'Cleanup TMS'!BV240=""),"-",'Cleanup TMS'!BV240)</f>
        <v>C</v>
      </c>
      <c r="AG240" s="73">
        <f>'Cleanup TMS'!CF240</f>
        <v>1800</v>
      </c>
      <c r="AH240" s="73">
        <f t="shared" si="14"/>
        <v>767</v>
      </c>
      <c r="AI240" s="73">
        <f t="shared" si="15"/>
        <v>705</v>
      </c>
      <c r="AJ240" s="71">
        <f>IF(OR('Cleanup TMS'!CI240=0,'Cleanup TMS'!CI240=""),"-",'Cleanup TMS'!CI240)</f>
        <v>0.43</v>
      </c>
      <c r="AK240" s="75" t="str">
        <f>IF(OR('Cleanup TMS'!CJ240=0,'Cleanup TMS'!CJ240=""),"-",'Cleanup TMS'!CJ240)</f>
        <v>C</v>
      </c>
    </row>
    <row r="241" spans="1:37" ht="18.75" customHeight="1">
      <c r="A241" s="69">
        <f>'Cleanup TMS'!A241</f>
        <v>40090003</v>
      </c>
      <c r="B241" s="70">
        <f>'Cleanup TMS'!B241</f>
        <v>131</v>
      </c>
      <c r="C241" s="70" t="str">
        <f>IF('Cleanup TMS'!E241="","",'Cleanup TMS'!E241)</f>
        <v/>
      </c>
      <c r="D241" s="70" t="str">
        <f>'Cleanup TMS'!F241</f>
        <v>SUMTER</v>
      </c>
      <c r="E241" s="70">
        <f>'Cleanup TMS'!G241</f>
        <v>25</v>
      </c>
      <c r="F241" s="71">
        <f>ROUND('Cleanup TMS'!H241,2)</f>
        <v>1.2</v>
      </c>
      <c r="G241" s="72" t="str">
        <f>'Cleanup TMS'!I241</f>
        <v>MARSH BEND TRAIL</v>
      </c>
      <c r="H241" s="72" t="str">
        <f>'Cleanup TMS'!J241</f>
        <v>CR 468 (WARM SPRINGS AVE)</v>
      </c>
      <c r="I241" s="72" t="str">
        <f>'Cleanup TMS'!K241</f>
        <v>DUNHAM DR</v>
      </c>
      <c r="J241" s="70">
        <f>'Cleanup TMS'!L241</f>
        <v>2</v>
      </c>
      <c r="K241" s="70">
        <v>2</v>
      </c>
      <c r="L241" s="70" t="s">
        <v>646</v>
      </c>
      <c r="M241" s="70" t="s">
        <v>649</v>
      </c>
      <c r="N241" s="152" t="s">
        <v>651</v>
      </c>
      <c r="O241" s="152" t="s">
        <v>547</v>
      </c>
      <c r="P241" s="70" t="str">
        <f>'Cleanup TMS'!V241</f>
        <v>COUNTY</v>
      </c>
      <c r="Q241" s="70" t="str">
        <f>'Cleanup TMS'!W241</f>
        <v>WILDWOOD</v>
      </c>
      <c r="R241" s="70" t="s">
        <v>5</v>
      </c>
      <c r="S241" s="73">
        <f>IF('Cleanup TMS'!AO241=0,"-",'Cleanup TMS'!AO241)</f>
        <v>14763</v>
      </c>
      <c r="T241" s="73">
        <f>'Cleanup TMS'!AP241</f>
        <v>7639</v>
      </c>
      <c r="U241" s="71">
        <f>IF(OR('Cleanup TMS'!AQ241=0,'Cleanup TMS'!AQ241=""),"-",'Cleanup TMS'!AQ241)</f>
        <v>0.52</v>
      </c>
      <c r="V241" s="71" t="str">
        <f>IF(OR('Cleanup TMS'!AR241=0,'Cleanup TMS'!AR241=""),"-",'Cleanup TMS'!AR241)</f>
        <v>D</v>
      </c>
      <c r="W241" s="73">
        <f>IF('Cleanup TMS'!BB241=0,"-",'Cleanup TMS'!BB241)</f>
        <v>713</v>
      </c>
      <c r="X241" s="73">
        <f>'Cleanup TMS'!BC241</f>
        <v>368</v>
      </c>
      <c r="Y241" s="73">
        <f>'Cleanup TMS'!BD241</f>
        <v>433</v>
      </c>
      <c r="Z241" s="74">
        <f>IF(OR('Cleanup TMS'!BE241=0,'Cleanup TMS'!BE241=""),"-",'Cleanup TMS'!BE241)</f>
        <v>0.61</v>
      </c>
      <c r="AA241" s="74" t="str">
        <f>IF(OR('Cleanup TMS'!BF241=0,'Cleanup TMS'!BF241=""),"-",'Cleanup TMS'!BF241)</f>
        <v>D</v>
      </c>
      <c r="AB241" s="148">
        <f>IF(OR('Cleanup TMS'!BI241="",'Cleanup TMS'!BI241=0),"-",'Cleanup TMS'!BI241)</f>
        <v>0.05</v>
      </c>
      <c r="AC241" s="73">
        <f>'Cleanup TMS'!BS241</f>
        <v>14763</v>
      </c>
      <c r="AD241" s="73">
        <f t="shared" ref="AD241" si="16">IF(T241="-","-",ROUND(T241*(1+AB241)^5,0))</f>
        <v>9750</v>
      </c>
      <c r="AE241" s="74">
        <f>IF(OR('Cleanup TMS'!BU241=0,'Cleanup TMS'!BU241=""),"-",'Cleanup TMS'!BU241)</f>
        <v>0.66</v>
      </c>
      <c r="AF241" s="74" t="str">
        <f>IF(OR('Cleanup TMS'!BV241=0,'Cleanup TMS'!BV241=""),"-",'Cleanup TMS'!BV241)</f>
        <v>D</v>
      </c>
      <c r="AG241" s="73">
        <f>'Cleanup TMS'!CF241</f>
        <v>713</v>
      </c>
      <c r="AH241" s="73">
        <f>IF(X241="-","-",ROUND(X241*(1+AB241)^5,0))</f>
        <v>470</v>
      </c>
      <c r="AI241" s="73">
        <f>IF(Y241="-","-",ROUND(Y241*(1+AB241)^5,0))</f>
        <v>553</v>
      </c>
      <c r="AJ241" s="71">
        <f>IF(OR('Cleanup TMS'!CI241=0,'Cleanup TMS'!CI241=""),"-",'Cleanup TMS'!CI241)</f>
        <v>0.78</v>
      </c>
      <c r="AK241" s="75" t="str">
        <f>IF(OR('Cleanup TMS'!CJ241=0,'Cleanup TMS'!CJ241=""),"-",'Cleanup TMS'!CJ241)</f>
        <v>D</v>
      </c>
    </row>
    <row r="242" spans="1:37" ht="18.75" customHeight="1">
      <c r="A242" s="69">
        <f>'Cleanup TMS'!A242</f>
        <v>50000101</v>
      </c>
      <c r="B242" s="70">
        <f>'Cleanup TMS'!B242</f>
        <v>135</v>
      </c>
      <c r="C242" s="70" t="str">
        <f>IF('Cleanup TMS'!E242="","",'Cleanup TMS'!E242)</f>
        <v/>
      </c>
      <c r="D242" s="70" t="str">
        <f>'Cleanup TMS'!F242</f>
        <v>SUMTER</v>
      </c>
      <c r="E242" s="70">
        <f>'Cleanup TMS'!G242</f>
        <v>35</v>
      </c>
      <c r="F242" s="71">
        <f>ROUND('Cleanup TMS'!H242,2)</f>
        <v>0.49</v>
      </c>
      <c r="G242" s="72" t="str">
        <f>'Cleanup TMS'!I242</f>
        <v>BUENA VISTA BLVD</v>
      </c>
      <c r="H242" s="72" t="str">
        <f>'Cleanup TMS'!J242</f>
        <v>CR 466</v>
      </c>
      <c r="I242" s="72" t="str">
        <f>'Cleanup TMS'!K242</f>
        <v>SADDLEBROOK LN</v>
      </c>
      <c r="J242" s="70">
        <f>'Cleanup TMS'!L242</f>
        <v>4</v>
      </c>
      <c r="K242" s="70">
        <v>4</v>
      </c>
      <c r="L242" s="70" t="s">
        <v>646</v>
      </c>
      <c r="M242" s="70" t="s">
        <v>649</v>
      </c>
      <c r="N242" s="152" t="s">
        <v>651</v>
      </c>
      <c r="O242" s="152" t="s">
        <v>547</v>
      </c>
      <c r="P242" s="70" t="str">
        <f>'Cleanup TMS'!V242</f>
        <v>COUNTY</v>
      </c>
      <c r="Q242" s="70" t="str">
        <f>'Cleanup TMS'!W242</f>
        <v>UNINCORPORATED SUMTER COUNTY</v>
      </c>
      <c r="R242" s="70" t="s">
        <v>5</v>
      </c>
      <c r="S242" s="73">
        <f>IF('Cleanup TMS'!AO242=0,"-",'Cleanup TMS'!AO242)</f>
        <v>29160</v>
      </c>
      <c r="T242" s="73">
        <f>'Cleanup TMS'!AP242</f>
        <v>17841</v>
      </c>
      <c r="U242" s="71">
        <f>IF(OR('Cleanup TMS'!AQ242=0,'Cleanup TMS'!AQ242=""),"-",'Cleanup TMS'!AQ242)</f>
        <v>0.61</v>
      </c>
      <c r="V242" s="71" t="str">
        <f>IF(OR('Cleanup TMS'!AR242=0,'Cleanup TMS'!AR242=""),"-",'Cleanup TMS'!AR242)</f>
        <v>D</v>
      </c>
      <c r="W242" s="73">
        <f>IF('Cleanup TMS'!BB242=0,"-",'Cleanup TMS'!BB242)</f>
        <v>1467</v>
      </c>
      <c r="X242" s="73">
        <f>'Cleanup TMS'!BC242</f>
        <v>765</v>
      </c>
      <c r="Y242" s="73">
        <f>'Cleanup TMS'!BD242</f>
        <v>810</v>
      </c>
      <c r="Z242" s="74">
        <f>IF(OR('Cleanup TMS'!BE242=0,'Cleanup TMS'!BE242=""),"-",'Cleanup TMS'!BE242)</f>
        <v>0.55000000000000004</v>
      </c>
      <c r="AA242" s="74" t="str">
        <f>IF(OR('Cleanup TMS'!BF242=0,'Cleanup TMS'!BF242=""),"-",'Cleanup TMS'!BF242)</f>
        <v>D</v>
      </c>
      <c r="AB242" s="148">
        <f>IF(OR('Cleanup TMS'!BI242="",'Cleanup TMS'!BI242=0),"-",'Cleanup TMS'!BI242)</f>
        <v>0.01</v>
      </c>
      <c r="AC242" s="73">
        <f>'Cleanup TMS'!BS242</f>
        <v>29160</v>
      </c>
      <c r="AD242" s="73">
        <f t="shared" si="13"/>
        <v>18751</v>
      </c>
      <c r="AE242" s="74">
        <f>IF(OR('Cleanup TMS'!BU242=0,'Cleanup TMS'!BU242=""),"-",'Cleanup TMS'!BU242)</f>
        <v>0.64</v>
      </c>
      <c r="AF242" s="74" t="str">
        <f>IF(OR('Cleanup TMS'!BV242=0,'Cleanup TMS'!BV242=""),"-",'Cleanup TMS'!BV242)</f>
        <v>D</v>
      </c>
      <c r="AG242" s="73">
        <f>'Cleanup TMS'!CF242</f>
        <v>1467</v>
      </c>
      <c r="AH242" s="73">
        <f>IF(X242="-","-",ROUND(X242*(1+AB242)^5,0))</f>
        <v>804</v>
      </c>
      <c r="AI242" s="73">
        <f t="shared" si="15"/>
        <v>851</v>
      </c>
      <c r="AJ242" s="71">
        <f>IF(OR('Cleanup TMS'!CI242=0,'Cleanup TMS'!CI242=""),"-",'Cleanup TMS'!CI242)</f>
        <v>0.57999999999999996</v>
      </c>
      <c r="AK242" s="75" t="str">
        <f>IF(OR('Cleanup TMS'!CJ242=0,'Cleanup TMS'!CJ242=""),"-",'Cleanup TMS'!CJ242)</f>
        <v>D</v>
      </c>
    </row>
    <row r="243" spans="1:37" ht="18.75" customHeight="1">
      <c r="A243" s="69">
        <f>'Cleanup TMS'!A243</f>
        <v>50000102</v>
      </c>
      <c r="B243" s="70">
        <f>'Cleanup TMS'!B243</f>
        <v>134</v>
      </c>
      <c r="C243" s="70" t="str">
        <f>IF('Cleanup TMS'!E243="","",'Cleanup TMS'!E243)</f>
        <v/>
      </c>
      <c r="D243" s="70" t="str">
        <f>'Cleanup TMS'!F243</f>
        <v>SUMTER</v>
      </c>
      <c r="E243" s="70">
        <f>'Cleanup TMS'!G243</f>
        <v>35</v>
      </c>
      <c r="F243" s="71">
        <f>ROUND('Cleanup TMS'!H243,2)</f>
        <v>1.39</v>
      </c>
      <c r="G243" s="72" t="str">
        <f>'Cleanup TMS'!I243</f>
        <v>BUENA VISTA BLVD</v>
      </c>
      <c r="H243" s="72" t="str">
        <f>'Cleanup TMS'!J243</f>
        <v>SADDLEBROOK LN</v>
      </c>
      <c r="I243" s="72" t="str">
        <f>'Cleanup TMS'!K243</f>
        <v>EL CAMINO REAL</v>
      </c>
      <c r="J243" s="70">
        <f>'Cleanup TMS'!L243</f>
        <v>4</v>
      </c>
      <c r="K243" s="70">
        <v>4</v>
      </c>
      <c r="L243" s="70" t="s">
        <v>646</v>
      </c>
      <c r="M243" s="70" t="s">
        <v>649</v>
      </c>
      <c r="N243" s="152" t="s">
        <v>651</v>
      </c>
      <c r="O243" s="152" t="s">
        <v>547</v>
      </c>
      <c r="P243" s="70" t="str">
        <f>'Cleanup TMS'!V243</f>
        <v>COUNTY</v>
      </c>
      <c r="Q243" s="70" t="str">
        <f>'Cleanup TMS'!W243</f>
        <v>UNINCORPORATED SUMTER COUNTY</v>
      </c>
      <c r="R243" s="70" t="s">
        <v>5</v>
      </c>
      <c r="S243" s="73">
        <f>IF('Cleanup TMS'!AO243=0,"-",'Cleanup TMS'!AO243)</f>
        <v>29160</v>
      </c>
      <c r="T243" s="73">
        <f>'Cleanup TMS'!AP243</f>
        <v>19234</v>
      </c>
      <c r="U243" s="71">
        <f>IF(OR('Cleanup TMS'!AQ243=0,'Cleanup TMS'!AQ243=""),"-",'Cleanup TMS'!AQ243)</f>
        <v>0.66</v>
      </c>
      <c r="V243" s="71" t="str">
        <f>IF(OR('Cleanup TMS'!AR243=0,'Cleanup TMS'!AR243=""),"-",'Cleanup TMS'!AR243)</f>
        <v>D</v>
      </c>
      <c r="W243" s="73">
        <f>IF('Cleanup TMS'!BB243=0,"-",'Cleanup TMS'!BB243)</f>
        <v>1467</v>
      </c>
      <c r="X243" s="73">
        <f>'Cleanup TMS'!BC243</f>
        <v>855</v>
      </c>
      <c r="Y243" s="73">
        <f>'Cleanup TMS'!BD243</f>
        <v>890</v>
      </c>
      <c r="Z243" s="74">
        <f>IF(OR('Cleanup TMS'!BE243=0,'Cleanup TMS'!BE243=""),"-",'Cleanup TMS'!BE243)</f>
        <v>0.61</v>
      </c>
      <c r="AA243" s="74" t="str">
        <f>IF(OR('Cleanup TMS'!BF243=0,'Cleanup TMS'!BF243=""),"-",'Cleanup TMS'!BF243)</f>
        <v>D</v>
      </c>
      <c r="AB243" s="148">
        <f>IF(OR('Cleanup TMS'!BI243="",'Cleanup TMS'!BI243=0),"-",'Cleanup TMS'!BI243)</f>
        <v>0.01</v>
      </c>
      <c r="AC243" s="73">
        <f>'Cleanup TMS'!BS243</f>
        <v>29160</v>
      </c>
      <c r="AD243" s="73">
        <f t="shared" si="13"/>
        <v>20215</v>
      </c>
      <c r="AE243" s="74">
        <f>IF(OR('Cleanup TMS'!BU243=0,'Cleanup TMS'!BU243=""),"-",'Cleanup TMS'!BU243)</f>
        <v>0.69</v>
      </c>
      <c r="AF243" s="74" t="str">
        <f>IF(OR('Cleanup TMS'!BV243=0,'Cleanup TMS'!BV243=""),"-",'Cleanup TMS'!BV243)</f>
        <v>D</v>
      </c>
      <c r="AG243" s="73">
        <f>'Cleanup TMS'!CF243</f>
        <v>1467</v>
      </c>
      <c r="AH243" s="73">
        <f t="shared" si="14"/>
        <v>899</v>
      </c>
      <c r="AI243" s="73">
        <f t="shared" si="15"/>
        <v>935</v>
      </c>
      <c r="AJ243" s="71">
        <f>IF(OR('Cleanup TMS'!CI243=0,'Cleanup TMS'!CI243=""),"-",'Cleanup TMS'!CI243)</f>
        <v>0.64</v>
      </c>
      <c r="AK243" s="75" t="str">
        <f>IF(OR('Cleanup TMS'!CJ243=0,'Cleanup TMS'!CJ243=""),"-",'Cleanup TMS'!CJ243)</f>
        <v>D</v>
      </c>
    </row>
    <row r="244" spans="1:37" ht="18.75" customHeight="1">
      <c r="A244" s="69">
        <f>'Cleanup TMS'!A244</f>
        <v>59999951</v>
      </c>
      <c r="B244" s="70">
        <f>'Cleanup TMS'!B244</f>
        <v>171</v>
      </c>
      <c r="C244" s="70" t="str">
        <f>IF('Cleanup TMS'!E244="","",'Cleanup TMS'!E244)</f>
        <v/>
      </c>
      <c r="D244" s="70" t="str">
        <f>'Cleanup TMS'!F244</f>
        <v>SUMTER</v>
      </c>
      <c r="E244" s="70">
        <f>'Cleanup TMS'!G244</f>
        <v>35</v>
      </c>
      <c r="F244" s="71">
        <f>ROUND('Cleanup TMS'!H244,2)</f>
        <v>0.5</v>
      </c>
      <c r="G244" s="72" t="str">
        <f>'Cleanup TMS'!I244</f>
        <v>MORSE BLVD N</v>
      </c>
      <c r="H244" s="72" t="str">
        <f>'Cleanup TMS'!J244</f>
        <v>CR 466A</v>
      </c>
      <c r="I244" s="72" t="str">
        <f>'Cleanup TMS'!K244</f>
        <v>ODELL CIR S. END</v>
      </c>
      <c r="J244" s="70">
        <f>'Cleanup TMS'!L244</f>
        <v>4</v>
      </c>
      <c r="K244" s="70">
        <v>4</v>
      </c>
      <c r="L244" s="70" t="s">
        <v>646</v>
      </c>
      <c r="M244" s="70" t="s">
        <v>649</v>
      </c>
      <c r="N244" s="152" t="s">
        <v>651</v>
      </c>
      <c r="O244" s="152" t="s">
        <v>547</v>
      </c>
      <c r="P244" s="70" t="str">
        <f>'Cleanup TMS'!V244</f>
        <v>COUNTY</v>
      </c>
      <c r="Q244" s="70" t="str">
        <f>'Cleanup TMS'!W244</f>
        <v>UNINCORPORATED SUMTER COUNTY</v>
      </c>
      <c r="R244" s="70" t="s">
        <v>5</v>
      </c>
      <c r="S244" s="73">
        <f>IF('Cleanup TMS'!AO244=0,"-",'Cleanup TMS'!AO244)</f>
        <v>29160</v>
      </c>
      <c r="T244" s="73">
        <f>'Cleanup TMS'!AP244</f>
        <v>23375</v>
      </c>
      <c r="U244" s="71">
        <f>IF(OR('Cleanup TMS'!AQ244=0,'Cleanup TMS'!AQ244=""),"-",'Cleanup TMS'!AQ244)</f>
        <v>0.8</v>
      </c>
      <c r="V244" s="71" t="str">
        <f>IF(OR('Cleanup TMS'!AR244=0,'Cleanup TMS'!AR244=""),"-",'Cleanup TMS'!AR244)</f>
        <v>D</v>
      </c>
      <c r="W244" s="73">
        <f>IF('Cleanup TMS'!BB244=0,"-",'Cleanup TMS'!BB244)</f>
        <v>1467</v>
      </c>
      <c r="X244" s="73">
        <f>'Cleanup TMS'!BC244</f>
        <v>1080</v>
      </c>
      <c r="Y244" s="73">
        <f>'Cleanup TMS'!BD244</f>
        <v>1128</v>
      </c>
      <c r="Z244" s="74">
        <f>IF(OR('Cleanup TMS'!BE244=0,'Cleanup TMS'!BE244=""),"-",'Cleanup TMS'!BE244)</f>
        <v>0.77</v>
      </c>
      <c r="AA244" s="74" t="str">
        <f>IF(OR('Cleanup TMS'!BF244=0,'Cleanup TMS'!BF244=""),"-",'Cleanup TMS'!BF244)</f>
        <v>D</v>
      </c>
      <c r="AB244" s="148">
        <f>IF(OR('Cleanup TMS'!BI244="",'Cleanup TMS'!BI244=0),"-",'Cleanup TMS'!BI244)</f>
        <v>0.01</v>
      </c>
      <c r="AC244" s="73">
        <f>'Cleanup TMS'!BS244</f>
        <v>29160</v>
      </c>
      <c r="AD244" s="73">
        <f t="shared" si="13"/>
        <v>24567</v>
      </c>
      <c r="AE244" s="74">
        <f>IF(OR('Cleanup TMS'!BU244=0,'Cleanup TMS'!BU244=""),"-",'Cleanup TMS'!BU244)</f>
        <v>0.84</v>
      </c>
      <c r="AF244" s="74" t="str">
        <f>IF(OR('Cleanup TMS'!BV244=0,'Cleanup TMS'!BV244=""),"-",'Cleanup TMS'!BV244)</f>
        <v>D</v>
      </c>
      <c r="AG244" s="73">
        <f>'Cleanup TMS'!CF244</f>
        <v>1467</v>
      </c>
      <c r="AH244" s="73">
        <f t="shared" si="14"/>
        <v>1135</v>
      </c>
      <c r="AI244" s="73">
        <f t="shared" si="15"/>
        <v>1186</v>
      </c>
      <c r="AJ244" s="71">
        <f>IF(OR('Cleanup TMS'!CI244=0,'Cleanup TMS'!CI244=""),"-",'Cleanup TMS'!CI244)</f>
        <v>0.81</v>
      </c>
      <c r="AK244" s="75" t="str">
        <f>IF(OR('Cleanup TMS'!CJ244=0,'Cleanup TMS'!CJ244=""),"-",'Cleanup TMS'!CJ244)</f>
        <v>D</v>
      </c>
    </row>
    <row r="245" spans="1:37" ht="18.75" customHeight="1">
      <c r="A245" s="69">
        <f>'Cleanup TMS'!A245</f>
        <v>59999952</v>
      </c>
      <c r="B245" s="70">
        <f>'Cleanup TMS'!B245</f>
        <v>161</v>
      </c>
      <c r="C245" s="70" t="str">
        <f>IF('Cleanup TMS'!E245="","",'Cleanup TMS'!E245)</f>
        <v/>
      </c>
      <c r="D245" s="70" t="str">
        <f>'Cleanup TMS'!F245</f>
        <v>SUMTER</v>
      </c>
      <c r="E245" s="70">
        <f>'Cleanup TMS'!G245</f>
        <v>35</v>
      </c>
      <c r="F245" s="71">
        <f>ROUND('Cleanup TMS'!H245,2)</f>
        <v>0.54</v>
      </c>
      <c r="G245" s="72" t="str">
        <f>'Cleanup TMS'!I245</f>
        <v>MORSE BLVD N</v>
      </c>
      <c r="H245" s="72" t="str">
        <f>'Cleanup TMS'!J245</f>
        <v>ODELL CIR S. END</v>
      </c>
      <c r="I245" s="72" t="str">
        <f>'Cleanup TMS'!K245</f>
        <v>BONITA BLVD</v>
      </c>
      <c r="J245" s="70">
        <f>'Cleanup TMS'!L245</f>
        <v>4</v>
      </c>
      <c r="K245" s="70">
        <v>4</v>
      </c>
      <c r="L245" s="70" t="s">
        <v>646</v>
      </c>
      <c r="M245" s="70" t="s">
        <v>649</v>
      </c>
      <c r="N245" s="152" t="s">
        <v>651</v>
      </c>
      <c r="O245" s="152" t="s">
        <v>547</v>
      </c>
      <c r="P245" s="70" t="str">
        <f>'Cleanup TMS'!V245</f>
        <v>COUNTY</v>
      </c>
      <c r="Q245" s="70" t="str">
        <f>'Cleanup TMS'!W245</f>
        <v>UNINCORPORATED SUMTER COUNTY</v>
      </c>
      <c r="R245" s="70" t="s">
        <v>5</v>
      </c>
      <c r="S245" s="73">
        <f>IF('Cleanup TMS'!AO245=0,"-",'Cleanup TMS'!AO245)</f>
        <v>29160</v>
      </c>
      <c r="T245" s="73">
        <f>'Cleanup TMS'!AP245</f>
        <v>15263</v>
      </c>
      <c r="U245" s="71">
        <f>IF(OR('Cleanup TMS'!AQ245=0,'Cleanup TMS'!AQ245=""),"-",'Cleanup TMS'!AQ245)</f>
        <v>0.52</v>
      </c>
      <c r="V245" s="71" t="str">
        <f>IF(OR('Cleanup TMS'!AR245=0,'Cleanup TMS'!AR245=""),"-",'Cleanup TMS'!AR245)</f>
        <v>D</v>
      </c>
      <c r="W245" s="73">
        <f>IF('Cleanup TMS'!BB245=0,"-",'Cleanup TMS'!BB245)</f>
        <v>1467</v>
      </c>
      <c r="X245" s="73">
        <f>'Cleanup TMS'!BC245</f>
        <v>721</v>
      </c>
      <c r="Y245" s="73">
        <f>'Cleanup TMS'!BD245</f>
        <v>729</v>
      </c>
      <c r="Z245" s="74">
        <f>IF(OR('Cleanup TMS'!BE245=0,'Cleanup TMS'!BE245=""),"-",'Cleanup TMS'!BE245)</f>
        <v>0.5</v>
      </c>
      <c r="AA245" s="74" t="str">
        <f>IF(OR('Cleanup TMS'!BF245=0,'Cleanup TMS'!BF245=""),"-",'Cleanup TMS'!BF245)</f>
        <v>D</v>
      </c>
      <c r="AB245" s="148">
        <f>IF(OR('Cleanup TMS'!BI245="",'Cleanup TMS'!BI245=0),"-",'Cleanup TMS'!BI245)</f>
        <v>0.01</v>
      </c>
      <c r="AC245" s="73">
        <f>'Cleanup TMS'!BS245</f>
        <v>29160</v>
      </c>
      <c r="AD245" s="73">
        <f t="shared" si="13"/>
        <v>16042</v>
      </c>
      <c r="AE245" s="74">
        <f>IF(OR('Cleanup TMS'!BU245=0,'Cleanup TMS'!BU245=""),"-",'Cleanup TMS'!BU245)</f>
        <v>0.55000000000000004</v>
      </c>
      <c r="AF245" s="74" t="str">
        <f>IF(OR('Cleanup TMS'!BV245=0,'Cleanup TMS'!BV245=""),"-",'Cleanup TMS'!BV245)</f>
        <v>D</v>
      </c>
      <c r="AG245" s="73">
        <f>'Cleanup TMS'!CF245</f>
        <v>1467</v>
      </c>
      <c r="AH245" s="73">
        <f t="shared" si="14"/>
        <v>758</v>
      </c>
      <c r="AI245" s="73">
        <f t="shared" si="15"/>
        <v>766</v>
      </c>
      <c r="AJ245" s="71">
        <f>IF(OR('Cleanup TMS'!CI245=0,'Cleanup TMS'!CI245=""),"-",'Cleanup TMS'!CI245)</f>
        <v>0.52</v>
      </c>
      <c r="AK245" s="75" t="str">
        <f>IF(OR('Cleanup TMS'!CJ245=0,'Cleanup TMS'!CJ245=""),"-",'Cleanup TMS'!CJ245)</f>
        <v>D</v>
      </c>
    </row>
    <row r="246" spans="1:37" ht="18.75" customHeight="1">
      <c r="A246" s="69">
        <f>'Cleanup TMS'!A246</f>
        <v>59999953</v>
      </c>
      <c r="B246" s="70">
        <f>'Cleanup TMS'!B246</f>
        <v>170</v>
      </c>
      <c r="C246" s="70" t="str">
        <f>IF('Cleanup TMS'!E246="","",'Cleanup TMS'!E246)</f>
        <v/>
      </c>
      <c r="D246" s="70" t="str">
        <f>'Cleanup TMS'!F246</f>
        <v>SUMTER</v>
      </c>
      <c r="E246" s="70">
        <f>'Cleanup TMS'!G246</f>
        <v>35</v>
      </c>
      <c r="F246" s="71">
        <f>ROUND('Cleanup TMS'!H246,2)</f>
        <v>1.1200000000000001</v>
      </c>
      <c r="G246" s="72" t="str">
        <f>'Cleanup TMS'!I246</f>
        <v>MORSE BLVD N</v>
      </c>
      <c r="H246" s="72" t="str">
        <f>'Cleanup TMS'!J246</f>
        <v>BONITA BLVD</v>
      </c>
      <c r="I246" s="72" t="str">
        <f>'Cleanup TMS'!K246</f>
        <v>ODELL CIR N. END</v>
      </c>
      <c r="J246" s="70">
        <f>'Cleanup TMS'!L246</f>
        <v>4</v>
      </c>
      <c r="K246" s="70">
        <v>4</v>
      </c>
      <c r="L246" s="70" t="s">
        <v>646</v>
      </c>
      <c r="M246" s="70" t="s">
        <v>649</v>
      </c>
      <c r="N246" s="152" t="s">
        <v>651</v>
      </c>
      <c r="O246" s="152" t="s">
        <v>547</v>
      </c>
      <c r="P246" s="70" t="str">
        <f>'Cleanup TMS'!V246</f>
        <v>COUNTY</v>
      </c>
      <c r="Q246" s="70" t="str">
        <f>'Cleanup TMS'!W246</f>
        <v>UNINCORPORATED SUMTER COUNTY</v>
      </c>
      <c r="R246" s="70" t="s">
        <v>5</v>
      </c>
      <c r="S246" s="73">
        <f>IF('Cleanup TMS'!AO246=0,"-",'Cleanup TMS'!AO246)</f>
        <v>29160</v>
      </c>
      <c r="T246" s="73">
        <f>'Cleanup TMS'!AP246</f>
        <v>12929</v>
      </c>
      <c r="U246" s="71">
        <f>IF(OR('Cleanup TMS'!AQ246=0,'Cleanup TMS'!AQ246=""),"-",'Cleanup TMS'!AQ246)</f>
        <v>0.44</v>
      </c>
      <c r="V246" s="71" t="str">
        <f>IF(OR('Cleanup TMS'!AR246=0,'Cleanup TMS'!AR246=""),"-",'Cleanup TMS'!AR246)</f>
        <v>C</v>
      </c>
      <c r="W246" s="73">
        <f>IF('Cleanup TMS'!BB246=0,"-",'Cleanup TMS'!BB246)</f>
        <v>1467</v>
      </c>
      <c r="X246" s="73">
        <f>'Cleanup TMS'!BC246</f>
        <v>609</v>
      </c>
      <c r="Y246" s="73">
        <f>'Cleanup TMS'!BD246</f>
        <v>550</v>
      </c>
      <c r="Z246" s="74">
        <f>IF(OR('Cleanup TMS'!BE246=0,'Cleanup TMS'!BE246=""),"-",'Cleanup TMS'!BE246)</f>
        <v>0.42</v>
      </c>
      <c r="AA246" s="74" t="str">
        <f>IF(OR('Cleanup TMS'!BF246=0,'Cleanup TMS'!BF246=""),"-",'Cleanup TMS'!BF246)</f>
        <v>C</v>
      </c>
      <c r="AB246" s="148">
        <f>IF(OR('Cleanup TMS'!BI246="",'Cleanup TMS'!BI246=0),"-",'Cleanup TMS'!BI246)</f>
        <v>0.01</v>
      </c>
      <c r="AC246" s="73">
        <f>'Cleanup TMS'!BS246</f>
        <v>29160</v>
      </c>
      <c r="AD246" s="73">
        <f t="shared" si="13"/>
        <v>13589</v>
      </c>
      <c r="AE246" s="74">
        <f>IF(OR('Cleanup TMS'!BU246=0,'Cleanup TMS'!BU246=""),"-",'Cleanup TMS'!BU246)</f>
        <v>0.47</v>
      </c>
      <c r="AF246" s="74" t="str">
        <f>IF(OR('Cleanup TMS'!BV246=0,'Cleanup TMS'!BV246=""),"-",'Cleanup TMS'!BV246)</f>
        <v>D</v>
      </c>
      <c r="AG246" s="73">
        <f>'Cleanup TMS'!CF246</f>
        <v>1467</v>
      </c>
      <c r="AH246" s="73">
        <f t="shared" si="14"/>
        <v>640</v>
      </c>
      <c r="AI246" s="73">
        <f t="shared" si="15"/>
        <v>578</v>
      </c>
      <c r="AJ246" s="71">
        <f>IF(OR('Cleanup TMS'!CI246=0,'Cleanup TMS'!CI246=""),"-",'Cleanup TMS'!CI246)</f>
        <v>0.44</v>
      </c>
      <c r="AK246" s="75" t="str">
        <f>IF(OR('Cleanup TMS'!CJ246=0,'Cleanup TMS'!CJ246=""),"-",'Cleanup TMS'!CJ246)</f>
        <v>C</v>
      </c>
    </row>
    <row r="247" spans="1:37" ht="18.75" customHeight="1">
      <c r="A247" s="69">
        <f>'Cleanup TMS'!A247</f>
        <v>59999954</v>
      </c>
      <c r="B247" s="70">
        <f>'Cleanup TMS'!B247</f>
        <v>160</v>
      </c>
      <c r="C247" s="70" t="str">
        <f>IF('Cleanup TMS'!E247="","",'Cleanup TMS'!E247)</f>
        <v/>
      </c>
      <c r="D247" s="70" t="str">
        <f>'Cleanup TMS'!F247</f>
        <v>SUMTER</v>
      </c>
      <c r="E247" s="70">
        <f>'Cleanup TMS'!G247</f>
        <v>35</v>
      </c>
      <c r="F247" s="71">
        <f>ROUND('Cleanup TMS'!H247,2)</f>
        <v>0.86</v>
      </c>
      <c r="G247" s="72" t="str">
        <f>'Cleanup TMS'!I247</f>
        <v>MORSE BLVD N</v>
      </c>
      <c r="H247" s="72" t="str">
        <f>'Cleanup TMS'!J247</f>
        <v>ODELL CIR N. END</v>
      </c>
      <c r="I247" s="72" t="str">
        <f>'Cleanup TMS'!K247</f>
        <v>STILLWATER TRL</v>
      </c>
      <c r="J247" s="70">
        <f>'Cleanup TMS'!L247</f>
        <v>4</v>
      </c>
      <c r="K247" s="70">
        <v>4</v>
      </c>
      <c r="L247" s="70" t="s">
        <v>646</v>
      </c>
      <c r="M247" s="70" t="s">
        <v>649</v>
      </c>
      <c r="N247" s="152" t="s">
        <v>651</v>
      </c>
      <c r="O247" s="152" t="s">
        <v>547</v>
      </c>
      <c r="P247" s="70" t="str">
        <f>'Cleanup TMS'!V247</f>
        <v>COUNTY</v>
      </c>
      <c r="Q247" s="70" t="str">
        <f>'Cleanup TMS'!W247</f>
        <v>UNINCORPORATED SUMTER COUNTY</v>
      </c>
      <c r="R247" s="70" t="s">
        <v>5</v>
      </c>
      <c r="S247" s="73">
        <f>IF('Cleanup TMS'!AO247=0,"-",'Cleanup TMS'!AO247)</f>
        <v>29160</v>
      </c>
      <c r="T247" s="73">
        <f>'Cleanup TMS'!AP247</f>
        <v>15312</v>
      </c>
      <c r="U247" s="71">
        <f>IF(OR('Cleanup TMS'!AQ247=0,'Cleanup TMS'!AQ247=""),"-",'Cleanup TMS'!AQ247)</f>
        <v>0.53</v>
      </c>
      <c r="V247" s="71" t="str">
        <f>IF(OR('Cleanup TMS'!AR247=0,'Cleanup TMS'!AR247=""),"-",'Cleanup TMS'!AR247)</f>
        <v>D</v>
      </c>
      <c r="W247" s="73">
        <f>IF('Cleanup TMS'!BB247=0,"-",'Cleanup TMS'!BB247)</f>
        <v>1467</v>
      </c>
      <c r="X247" s="73">
        <f>'Cleanup TMS'!BC247</f>
        <v>745</v>
      </c>
      <c r="Y247" s="73">
        <f>'Cleanup TMS'!BD247</f>
        <v>646</v>
      </c>
      <c r="Z247" s="74">
        <f>IF(OR('Cleanup TMS'!BE247=0,'Cleanup TMS'!BE247=""),"-",'Cleanup TMS'!BE247)</f>
        <v>0.51</v>
      </c>
      <c r="AA247" s="74" t="str">
        <f>IF(OR('Cleanup TMS'!BF247=0,'Cleanup TMS'!BF247=""),"-",'Cleanup TMS'!BF247)</f>
        <v>D</v>
      </c>
      <c r="AB247" s="148">
        <f>IF(OR('Cleanup TMS'!BI247="",'Cleanup TMS'!BI247=0),"-",'Cleanup TMS'!BI247)</f>
        <v>0.01</v>
      </c>
      <c r="AC247" s="73">
        <f>'Cleanup TMS'!BS247</f>
        <v>29160</v>
      </c>
      <c r="AD247" s="73">
        <f t="shared" si="13"/>
        <v>16093</v>
      </c>
      <c r="AE247" s="74">
        <f>IF(OR('Cleanup TMS'!BU247=0,'Cleanup TMS'!BU247=""),"-",'Cleanup TMS'!BU247)</f>
        <v>0.55000000000000004</v>
      </c>
      <c r="AF247" s="74" t="str">
        <f>IF(OR('Cleanup TMS'!BV247=0,'Cleanup TMS'!BV247=""),"-",'Cleanup TMS'!BV247)</f>
        <v>D</v>
      </c>
      <c r="AG247" s="73">
        <f>'Cleanup TMS'!CF247</f>
        <v>1467</v>
      </c>
      <c r="AH247" s="73">
        <f t="shared" si="14"/>
        <v>783</v>
      </c>
      <c r="AI247" s="73">
        <f t="shared" si="15"/>
        <v>679</v>
      </c>
      <c r="AJ247" s="71">
        <f>IF(OR('Cleanup TMS'!CI247=0,'Cleanup TMS'!CI247=""),"-",'Cleanup TMS'!CI247)</f>
        <v>0.53</v>
      </c>
      <c r="AK247" s="75" t="str">
        <f>IF(OR('Cleanup TMS'!CJ247=0,'Cleanup TMS'!CJ247=""),"-",'Cleanup TMS'!CJ247)</f>
        <v>D</v>
      </c>
    </row>
    <row r="248" spans="1:37" ht="18.75" customHeight="1">
      <c r="A248" s="69">
        <f>'Cleanup TMS'!A248</f>
        <v>59999955</v>
      </c>
      <c r="B248" s="70">
        <f>'Cleanup TMS'!B248</f>
        <v>159</v>
      </c>
      <c r="C248" s="70" t="str">
        <f>IF('Cleanup TMS'!E248="","",'Cleanup TMS'!E248)</f>
        <v/>
      </c>
      <c r="D248" s="70" t="str">
        <f>'Cleanup TMS'!F248</f>
        <v>SUMTER</v>
      </c>
      <c r="E248" s="70">
        <f>'Cleanup TMS'!G248</f>
        <v>35</v>
      </c>
      <c r="F248" s="71">
        <f>ROUND('Cleanup TMS'!H248,2)</f>
        <v>0.98</v>
      </c>
      <c r="G248" s="72" t="str">
        <f>'Cleanup TMS'!I248</f>
        <v>MORSE BLVD N</v>
      </c>
      <c r="H248" s="72" t="str">
        <f>'Cleanup TMS'!J248</f>
        <v>STILLWATER TRL</v>
      </c>
      <c r="I248" s="72" t="str">
        <f>'Cleanup TMS'!K248</f>
        <v>CR 466</v>
      </c>
      <c r="J248" s="70">
        <f>'Cleanup TMS'!L248</f>
        <v>4</v>
      </c>
      <c r="K248" s="70">
        <v>4</v>
      </c>
      <c r="L248" s="70" t="s">
        <v>646</v>
      </c>
      <c r="M248" s="70" t="s">
        <v>649</v>
      </c>
      <c r="N248" s="152" t="s">
        <v>651</v>
      </c>
      <c r="O248" s="152" t="s">
        <v>547</v>
      </c>
      <c r="P248" s="70" t="str">
        <f>'Cleanup TMS'!V248</f>
        <v>COUNTY</v>
      </c>
      <c r="Q248" s="70" t="str">
        <f>'Cleanup TMS'!W248</f>
        <v>UNINCORPORATED SUMTER COUNTY</v>
      </c>
      <c r="R248" s="70" t="s">
        <v>5</v>
      </c>
      <c r="S248" s="73">
        <f>IF('Cleanup TMS'!AO248=0,"-",'Cleanup TMS'!AO248)</f>
        <v>29160</v>
      </c>
      <c r="T248" s="73">
        <f>'Cleanup TMS'!AP248</f>
        <v>23474</v>
      </c>
      <c r="U248" s="71">
        <f>IF(OR('Cleanup TMS'!AQ248=0,'Cleanup TMS'!AQ248=""),"-",'Cleanup TMS'!AQ248)</f>
        <v>0.81</v>
      </c>
      <c r="V248" s="71" t="str">
        <f>IF(OR('Cleanup TMS'!AR248=0,'Cleanup TMS'!AR248=""),"-",'Cleanup TMS'!AR248)</f>
        <v>D</v>
      </c>
      <c r="W248" s="73">
        <f>IF('Cleanup TMS'!BB248=0,"-",'Cleanup TMS'!BB248)</f>
        <v>1467</v>
      </c>
      <c r="X248" s="73">
        <f>'Cleanup TMS'!BC248</f>
        <v>1105</v>
      </c>
      <c r="Y248" s="73">
        <f>'Cleanup TMS'!BD248</f>
        <v>1082</v>
      </c>
      <c r="Z248" s="74">
        <f>IF(OR('Cleanup TMS'!BE248=0,'Cleanup TMS'!BE248=""),"-",'Cleanup TMS'!BE248)</f>
        <v>0.75</v>
      </c>
      <c r="AA248" s="74" t="str">
        <f>IF(OR('Cleanup TMS'!BF248=0,'Cleanup TMS'!BF248=""),"-",'Cleanup TMS'!BF248)</f>
        <v>D</v>
      </c>
      <c r="AB248" s="148">
        <f>IF(OR('Cleanup TMS'!BI248="",'Cleanup TMS'!BI248=0),"-",'Cleanup TMS'!BI248)</f>
        <v>0.01</v>
      </c>
      <c r="AC248" s="73">
        <f>'Cleanup TMS'!BS248</f>
        <v>29160</v>
      </c>
      <c r="AD248" s="73">
        <f t="shared" si="13"/>
        <v>24671</v>
      </c>
      <c r="AE248" s="74">
        <f>IF(OR('Cleanup TMS'!BU248=0,'Cleanup TMS'!BU248=""),"-",'Cleanup TMS'!BU248)</f>
        <v>0.85</v>
      </c>
      <c r="AF248" s="74" t="str">
        <f>IF(OR('Cleanup TMS'!BV248=0,'Cleanup TMS'!BV248=""),"-",'Cleanup TMS'!BV248)</f>
        <v>D</v>
      </c>
      <c r="AG248" s="73">
        <f>'Cleanup TMS'!CF248</f>
        <v>1467</v>
      </c>
      <c r="AH248" s="73">
        <f t="shared" si="14"/>
        <v>1161</v>
      </c>
      <c r="AI248" s="73">
        <f t="shared" si="15"/>
        <v>1137</v>
      </c>
      <c r="AJ248" s="71">
        <f>IF(OR('Cleanup TMS'!CI248=0,'Cleanup TMS'!CI248=""),"-",'Cleanup TMS'!CI248)</f>
        <v>0.79</v>
      </c>
      <c r="AK248" s="75" t="str">
        <f>IF(OR('Cleanup TMS'!CJ248=0,'Cleanup TMS'!CJ248=""),"-",'Cleanup TMS'!CJ248)</f>
        <v>D</v>
      </c>
    </row>
    <row r="249" spans="1:37" ht="18.75" customHeight="1">
      <c r="A249" s="69">
        <f>'Cleanup TMS'!A249</f>
        <v>60000051</v>
      </c>
      <c r="B249" s="70">
        <f>'Cleanup TMS'!B249</f>
        <v>169</v>
      </c>
      <c r="C249" s="70" t="str">
        <f>IF('Cleanup TMS'!E249="","",'Cleanup TMS'!E249)</f>
        <v/>
      </c>
      <c r="D249" s="70" t="str">
        <f>'Cleanup TMS'!F249</f>
        <v>SUMTER</v>
      </c>
      <c r="E249" s="70">
        <f>'Cleanup TMS'!G249</f>
        <v>35</v>
      </c>
      <c r="F249" s="71">
        <f>ROUND('Cleanup TMS'!H249,2)</f>
        <v>0.42</v>
      </c>
      <c r="G249" s="72" t="str">
        <f>'Cleanup TMS'!I249</f>
        <v>BUENA VISTA BLVD</v>
      </c>
      <c r="H249" s="72" t="str">
        <f>'Cleanup TMS'!J249</f>
        <v>ST. CHARLES PL</v>
      </c>
      <c r="I249" s="72" t="str">
        <f>'Cleanup TMS'!K249</f>
        <v>ODELL CIR S. END</v>
      </c>
      <c r="J249" s="70">
        <f>'Cleanup TMS'!L249</f>
        <v>4</v>
      </c>
      <c r="K249" s="70">
        <v>4</v>
      </c>
      <c r="L249" s="70" t="s">
        <v>646</v>
      </c>
      <c r="M249" s="70" t="s">
        <v>649</v>
      </c>
      <c r="N249" s="152" t="s">
        <v>651</v>
      </c>
      <c r="O249" s="152" t="s">
        <v>547</v>
      </c>
      <c r="P249" s="70" t="str">
        <f>'Cleanup TMS'!V249</f>
        <v>COUNTY</v>
      </c>
      <c r="Q249" s="70" t="str">
        <f>'Cleanup TMS'!W249</f>
        <v>UNINCORPORATED SUMTER COUNTY</v>
      </c>
      <c r="R249" s="70" t="s">
        <v>5</v>
      </c>
      <c r="S249" s="73">
        <f>IF('Cleanup TMS'!AO249=0,"-",'Cleanup TMS'!AO249)</f>
        <v>29160</v>
      </c>
      <c r="T249" s="73">
        <f>'Cleanup TMS'!AP249</f>
        <v>15651</v>
      </c>
      <c r="U249" s="71">
        <f>IF(OR('Cleanup TMS'!AQ249=0,'Cleanup TMS'!AQ249=""),"-",'Cleanup TMS'!AQ249)</f>
        <v>0.54</v>
      </c>
      <c r="V249" s="71" t="str">
        <f>IF(OR('Cleanup TMS'!AR249=0,'Cleanup TMS'!AR249=""),"-",'Cleanup TMS'!AR249)</f>
        <v>D</v>
      </c>
      <c r="W249" s="73">
        <f>IF('Cleanup TMS'!BB249=0,"-",'Cleanup TMS'!BB249)</f>
        <v>1467</v>
      </c>
      <c r="X249" s="73">
        <f>'Cleanup TMS'!BC249</f>
        <v>735</v>
      </c>
      <c r="Y249" s="73">
        <f>'Cleanup TMS'!BD249</f>
        <v>773</v>
      </c>
      <c r="Z249" s="74">
        <f>IF(OR('Cleanup TMS'!BE249=0,'Cleanup TMS'!BE249=""),"-",'Cleanup TMS'!BE249)</f>
        <v>0.53</v>
      </c>
      <c r="AA249" s="74" t="str">
        <f>IF(OR('Cleanup TMS'!BF249=0,'Cleanup TMS'!BF249=""),"-",'Cleanup TMS'!BF249)</f>
        <v>D</v>
      </c>
      <c r="AB249" s="148">
        <f>IF(OR('Cleanup TMS'!BI249="",'Cleanup TMS'!BI249=0),"-",'Cleanup TMS'!BI249)</f>
        <v>0.01</v>
      </c>
      <c r="AC249" s="73">
        <f>'Cleanup TMS'!BS249</f>
        <v>29160</v>
      </c>
      <c r="AD249" s="73">
        <f t="shared" si="13"/>
        <v>16449</v>
      </c>
      <c r="AE249" s="74">
        <f>IF(OR('Cleanup TMS'!BU249=0,'Cleanup TMS'!BU249=""),"-",'Cleanup TMS'!BU249)</f>
        <v>0.56000000000000005</v>
      </c>
      <c r="AF249" s="74" t="str">
        <f>IF(OR('Cleanup TMS'!BV249=0,'Cleanup TMS'!BV249=""),"-",'Cleanup TMS'!BV249)</f>
        <v>D</v>
      </c>
      <c r="AG249" s="73">
        <f>'Cleanup TMS'!CF249</f>
        <v>1467</v>
      </c>
      <c r="AH249" s="73">
        <f t="shared" si="14"/>
        <v>772</v>
      </c>
      <c r="AI249" s="73">
        <f t="shared" si="15"/>
        <v>812</v>
      </c>
      <c r="AJ249" s="71">
        <f>IF(OR('Cleanup TMS'!CI249=0,'Cleanup TMS'!CI249=""),"-",'Cleanup TMS'!CI249)</f>
        <v>0.55000000000000004</v>
      </c>
      <c r="AK249" s="75" t="str">
        <f>IF(OR('Cleanup TMS'!CJ249=0,'Cleanup TMS'!CJ249=""),"-",'Cleanup TMS'!CJ249)</f>
        <v>D</v>
      </c>
    </row>
    <row r="250" spans="1:37" ht="18.75" customHeight="1">
      <c r="A250" s="69">
        <f>'Cleanup TMS'!A250</f>
        <v>60000052</v>
      </c>
      <c r="B250" s="70">
        <f>'Cleanup TMS'!B250</f>
        <v>168</v>
      </c>
      <c r="C250" s="70" t="str">
        <f>IF('Cleanup TMS'!E250="","",'Cleanup TMS'!E250)</f>
        <v/>
      </c>
      <c r="D250" s="70" t="str">
        <f>'Cleanup TMS'!F250</f>
        <v>SUMTER</v>
      </c>
      <c r="E250" s="70">
        <f>'Cleanup TMS'!G250</f>
        <v>35</v>
      </c>
      <c r="F250" s="71">
        <f>ROUND('Cleanup TMS'!H250,2)</f>
        <v>0.68</v>
      </c>
      <c r="G250" s="72" t="str">
        <f>'Cleanup TMS'!I250</f>
        <v>BUENA VISTA BLVD</v>
      </c>
      <c r="H250" s="72" t="str">
        <f>'Cleanup TMS'!J250</f>
        <v>ODELL CIR S. END</v>
      </c>
      <c r="I250" s="72" t="str">
        <f>'Cleanup TMS'!K250</f>
        <v>BONITA BLVD</v>
      </c>
      <c r="J250" s="70">
        <f>'Cleanup TMS'!L250</f>
        <v>4</v>
      </c>
      <c r="K250" s="70">
        <v>4</v>
      </c>
      <c r="L250" s="70" t="s">
        <v>646</v>
      </c>
      <c r="M250" s="70" t="s">
        <v>649</v>
      </c>
      <c r="N250" s="152" t="s">
        <v>651</v>
      </c>
      <c r="O250" s="152" t="s">
        <v>547</v>
      </c>
      <c r="P250" s="70" t="str">
        <f>'Cleanup TMS'!V250</f>
        <v>COUNTY</v>
      </c>
      <c r="Q250" s="70" t="str">
        <f>'Cleanup TMS'!W250</f>
        <v>UNINCORPORATED SUMTER COUNTY</v>
      </c>
      <c r="R250" s="70" t="s">
        <v>5</v>
      </c>
      <c r="S250" s="73">
        <f>IF('Cleanup TMS'!AO250=0,"-",'Cleanup TMS'!AO250)</f>
        <v>29160</v>
      </c>
      <c r="T250" s="73">
        <f>'Cleanup TMS'!AP250</f>
        <v>12583</v>
      </c>
      <c r="U250" s="71">
        <f>IF(OR('Cleanup TMS'!AQ250=0,'Cleanup TMS'!AQ250=""),"-",'Cleanup TMS'!AQ250)</f>
        <v>0.43</v>
      </c>
      <c r="V250" s="71" t="str">
        <f>IF(OR('Cleanup TMS'!AR250=0,'Cleanup TMS'!AR250=""),"-",'Cleanup TMS'!AR250)</f>
        <v>C</v>
      </c>
      <c r="W250" s="73">
        <f>IF('Cleanup TMS'!BB250=0,"-",'Cleanup TMS'!BB250)</f>
        <v>1467</v>
      </c>
      <c r="X250" s="73">
        <f>'Cleanup TMS'!BC250</f>
        <v>617</v>
      </c>
      <c r="Y250" s="73">
        <f>'Cleanup TMS'!BD250</f>
        <v>640</v>
      </c>
      <c r="Z250" s="74">
        <f>IF(OR('Cleanup TMS'!BE250=0,'Cleanup TMS'!BE250=""),"-",'Cleanup TMS'!BE250)</f>
        <v>0.44</v>
      </c>
      <c r="AA250" s="74" t="str">
        <f>IF(OR('Cleanup TMS'!BF250=0,'Cleanup TMS'!BF250=""),"-",'Cleanup TMS'!BF250)</f>
        <v>C</v>
      </c>
      <c r="AB250" s="148">
        <f>IF(OR('Cleanup TMS'!BI250="",'Cleanup TMS'!BI250=0),"-",'Cleanup TMS'!BI250)</f>
        <v>0.01</v>
      </c>
      <c r="AC250" s="73">
        <f>'Cleanup TMS'!BS250</f>
        <v>29160</v>
      </c>
      <c r="AD250" s="73">
        <f t="shared" si="13"/>
        <v>13225</v>
      </c>
      <c r="AE250" s="74">
        <f>IF(OR('Cleanup TMS'!BU250=0,'Cleanup TMS'!BU250=""),"-",'Cleanup TMS'!BU250)</f>
        <v>0.45</v>
      </c>
      <c r="AF250" s="74" t="str">
        <f>IF(OR('Cleanup TMS'!BV250=0,'Cleanup TMS'!BV250=""),"-",'Cleanup TMS'!BV250)</f>
        <v>D</v>
      </c>
      <c r="AG250" s="73">
        <f>'Cleanup TMS'!CF250</f>
        <v>1467</v>
      </c>
      <c r="AH250" s="73">
        <f t="shared" si="14"/>
        <v>648</v>
      </c>
      <c r="AI250" s="73">
        <f t="shared" si="15"/>
        <v>673</v>
      </c>
      <c r="AJ250" s="71">
        <f>IF(OR('Cleanup TMS'!CI250=0,'Cleanup TMS'!CI250=""),"-",'Cleanup TMS'!CI250)</f>
        <v>0.46</v>
      </c>
      <c r="AK250" s="75" t="str">
        <f>IF(OR('Cleanup TMS'!CJ250=0,'Cleanup TMS'!CJ250=""),"-",'Cleanup TMS'!CJ250)</f>
        <v>D</v>
      </c>
    </row>
    <row r="251" spans="1:37" ht="18.75" customHeight="1">
      <c r="A251" s="69">
        <f>'Cleanup TMS'!A251</f>
        <v>60000053</v>
      </c>
      <c r="B251" s="70">
        <f>'Cleanup TMS'!B251</f>
        <v>157</v>
      </c>
      <c r="C251" s="70" t="str">
        <f>IF('Cleanup TMS'!E251="","",'Cleanup TMS'!E251)</f>
        <v/>
      </c>
      <c r="D251" s="70" t="str">
        <f>'Cleanup TMS'!F251</f>
        <v>SUMTER</v>
      </c>
      <c r="E251" s="70">
        <f>'Cleanup TMS'!G251</f>
        <v>35</v>
      </c>
      <c r="F251" s="71">
        <f>ROUND('Cleanup TMS'!H251,2)</f>
        <v>0.94</v>
      </c>
      <c r="G251" s="72" t="str">
        <f>'Cleanup TMS'!I251</f>
        <v>BUENA VISTA BLVD</v>
      </c>
      <c r="H251" s="72" t="str">
        <f>'Cleanup TMS'!J251</f>
        <v>BONITA BLVD</v>
      </c>
      <c r="I251" s="72" t="str">
        <f>'Cleanup TMS'!K251</f>
        <v>ODELL CIR N. END</v>
      </c>
      <c r="J251" s="70">
        <f>'Cleanup TMS'!L251</f>
        <v>4</v>
      </c>
      <c r="K251" s="70">
        <v>4</v>
      </c>
      <c r="L251" s="70" t="s">
        <v>646</v>
      </c>
      <c r="M251" s="70" t="s">
        <v>649</v>
      </c>
      <c r="N251" s="152" t="s">
        <v>651</v>
      </c>
      <c r="O251" s="152" t="s">
        <v>547</v>
      </c>
      <c r="P251" s="70" t="str">
        <f>'Cleanup TMS'!V251</f>
        <v>COUNTY</v>
      </c>
      <c r="Q251" s="70" t="str">
        <f>'Cleanup TMS'!W251</f>
        <v>UNINCORPORATED SUMTER COUNTY</v>
      </c>
      <c r="R251" s="70" t="s">
        <v>5</v>
      </c>
      <c r="S251" s="73">
        <f>IF('Cleanup TMS'!AO251=0,"-",'Cleanup TMS'!AO251)</f>
        <v>29160</v>
      </c>
      <c r="T251" s="73">
        <f>'Cleanup TMS'!AP251</f>
        <v>13597</v>
      </c>
      <c r="U251" s="71">
        <f>IF(OR('Cleanup TMS'!AQ251=0,'Cleanup TMS'!AQ251=""),"-",'Cleanup TMS'!AQ251)</f>
        <v>0.47</v>
      </c>
      <c r="V251" s="71" t="str">
        <f>IF(OR('Cleanup TMS'!AR251=0,'Cleanup TMS'!AR251=""),"-",'Cleanup TMS'!AR251)</f>
        <v>D</v>
      </c>
      <c r="W251" s="73">
        <f>IF('Cleanup TMS'!BB251=0,"-",'Cleanup TMS'!BB251)</f>
        <v>1467</v>
      </c>
      <c r="X251" s="73">
        <f>'Cleanup TMS'!BC251</f>
        <v>683</v>
      </c>
      <c r="Y251" s="73">
        <f>'Cleanup TMS'!BD251</f>
        <v>702</v>
      </c>
      <c r="Z251" s="74">
        <f>IF(OR('Cleanup TMS'!BE251=0,'Cleanup TMS'!BE251=""),"-",'Cleanup TMS'!BE251)</f>
        <v>0.48</v>
      </c>
      <c r="AA251" s="74" t="str">
        <f>IF(OR('Cleanup TMS'!BF251=0,'Cleanup TMS'!BF251=""),"-",'Cleanup TMS'!BF251)</f>
        <v>D</v>
      </c>
      <c r="AB251" s="148">
        <f>IF(OR('Cleanup TMS'!BI251="",'Cleanup TMS'!BI251=0),"-",'Cleanup TMS'!BI251)</f>
        <v>0.01</v>
      </c>
      <c r="AC251" s="73">
        <f>'Cleanup TMS'!BS251</f>
        <v>29160</v>
      </c>
      <c r="AD251" s="73">
        <f t="shared" si="13"/>
        <v>14291</v>
      </c>
      <c r="AE251" s="74">
        <f>IF(OR('Cleanup TMS'!BU251=0,'Cleanup TMS'!BU251=""),"-",'Cleanup TMS'!BU251)</f>
        <v>0.49</v>
      </c>
      <c r="AF251" s="74" t="str">
        <f>IF(OR('Cleanup TMS'!BV251=0,'Cleanup TMS'!BV251=""),"-",'Cleanup TMS'!BV251)</f>
        <v>D</v>
      </c>
      <c r="AG251" s="73">
        <f>'Cleanup TMS'!CF251</f>
        <v>1467</v>
      </c>
      <c r="AH251" s="73">
        <f t="shared" si="14"/>
        <v>718</v>
      </c>
      <c r="AI251" s="73">
        <f t="shared" si="15"/>
        <v>738</v>
      </c>
      <c r="AJ251" s="71">
        <f>IF(OR('Cleanup TMS'!CI251=0,'Cleanup TMS'!CI251=""),"-",'Cleanup TMS'!CI251)</f>
        <v>0.5</v>
      </c>
      <c r="AK251" s="75" t="str">
        <f>IF(OR('Cleanup TMS'!CJ251=0,'Cleanup TMS'!CJ251=""),"-",'Cleanup TMS'!CJ251)</f>
        <v>D</v>
      </c>
    </row>
    <row r="252" spans="1:37" ht="18.75" customHeight="1">
      <c r="A252" s="69">
        <f>'Cleanup TMS'!A252</f>
        <v>60000054</v>
      </c>
      <c r="B252" s="70">
        <f>'Cleanup TMS'!B252</f>
        <v>167</v>
      </c>
      <c r="C252" s="70" t="str">
        <f>IF('Cleanup TMS'!E252="","",'Cleanup TMS'!E252)</f>
        <v/>
      </c>
      <c r="D252" s="70" t="str">
        <f>'Cleanup TMS'!F252</f>
        <v>SUMTER</v>
      </c>
      <c r="E252" s="70">
        <f>'Cleanup TMS'!G252</f>
        <v>35</v>
      </c>
      <c r="F252" s="71">
        <f>ROUND('Cleanup TMS'!H252,2)</f>
        <v>0.61</v>
      </c>
      <c r="G252" s="72" t="str">
        <f>'Cleanup TMS'!I252</f>
        <v>BUENA VISTA BLVD</v>
      </c>
      <c r="H252" s="72" t="str">
        <f>'Cleanup TMS'!J252</f>
        <v>ODELL CIR N. END</v>
      </c>
      <c r="I252" s="72" t="str">
        <f>'Cleanup TMS'!K252</f>
        <v>STILLWATER TRL</v>
      </c>
      <c r="J252" s="70">
        <f>'Cleanup TMS'!L252</f>
        <v>4</v>
      </c>
      <c r="K252" s="70">
        <v>4</v>
      </c>
      <c r="L252" s="70" t="s">
        <v>646</v>
      </c>
      <c r="M252" s="70" t="s">
        <v>649</v>
      </c>
      <c r="N252" s="152" t="s">
        <v>651</v>
      </c>
      <c r="O252" s="152" t="s">
        <v>547</v>
      </c>
      <c r="P252" s="70" t="str">
        <f>'Cleanup TMS'!V252</f>
        <v>COUNTY</v>
      </c>
      <c r="Q252" s="70" t="str">
        <f>'Cleanup TMS'!W252</f>
        <v>UNINCORPORATED SUMTER COUNTY</v>
      </c>
      <c r="R252" s="70" t="s">
        <v>5</v>
      </c>
      <c r="S252" s="73">
        <f>IF('Cleanup TMS'!AO252=0,"-",'Cleanup TMS'!AO252)</f>
        <v>29160</v>
      </c>
      <c r="T252" s="73">
        <f>'Cleanup TMS'!AP252</f>
        <v>21217</v>
      </c>
      <c r="U252" s="71">
        <f>IF(OR('Cleanup TMS'!AQ252=0,'Cleanup TMS'!AQ252=""),"-",'Cleanup TMS'!AQ252)</f>
        <v>0.73</v>
      </c>
      <c r="V252" s="71" t="str">
        <f>IF(OR('Cleanup TMS'!AR252=0,'Cleanup TMS'!AR252=""),"-",'Cleanup TMS'!AR252)</f>
        <v>D</v>
      </c>
      <c r="W252" s="73">
        <f>IF('Cleanup TMS'!BB252=0,"-",'Cleanup TMS'!BB252)</f>
        <v>1467</v>
      </c>
      <c r="X252" s="73">
        <f>'Cleanup TMS'!BC252</f>
        <v>1033</v>
      </c>
      <c r="Y252" s="73">
        <f>'Cleanup TMS'!BD252</f>
        <v>1071</v>
      </c>
      <c r="Z252" s="74">
        <f>IF(OR('Cleanup TMS'!BE252=0,'Cleanup TMS'!BE252=""),"-",'Cleanup TMS'!BE252)</f>
        <v>0.73</v>
      </c>
      <c r="AA252" s="74" t="str">
        <f>IF(OR('Cleanup TMS'!BF252=0,'Cleanup TMS'!BF252=""),"-",'Cleanup TMS'!BF252)</f>
        <v>D</v>
      </c>
      <c r="AB252" s="148">
        <f>IF(OR('Cleanup TMS'!BI252="",'Cleanup TMS'!BI252=0),"-",'Cleanup TMS'!BI252)</f>
        <v>0.01</v>
      </c>
      <c r="AC252" s="73">
        <f>'Cleanup TMS'!BS252</f>
        <v>29160</v>
      </c>
      <c r="AD252" s="73">
        <f t="shared" si="13"/>
        <v>22299</v>
      </c>
      <c r="AE252" s="74">
        <f>IF(OR('Cleanup TMS'!BU252=0,'Cleanup TMS'!BU252=""),"-",'Cleanup TMS'!BU252)</f>
        <v>0.76</v>
      </c>
      <c r="AF252" s="74" t="str">
        <f>IF(OR('Cleanup TMS'!BV252=0,'Cleanup TMS'!BV252=""),"-",'Cleanup TMS'!BV252)</f>
        <v>D</v>
      </c>
      <c r="AG252" s="73">
        <f>'Cleanup TMS'!CF252</f>
        <v>1467</v>
      </c>
      <c r="AH252" s="73">
        <f t="shared" si="14"/>
        <v>1086</v>
      </c>
      <c r="AI252" s="73">
        <f t="shared" si="15"/>
        <v>1126</v>
      </c>
      <c r="AJ252" s="71">
        <f>IF(OR('Cleanup TMS'!CI252=0,'Cleanup TMS'!CI252=""),"-",'Cleanup TMS'!CI252)</f>
        <v>0.77</v>
      </c>
      <c r="AK252" s="75" t="str">
        <f>IF(OR('Cleanup TMS'!CJ252=0,'Cleanup TMS'!CJ252=""),"-",'Cleanup TMS'!CJ252)</f>
        <v>D</v>
      </c>
    </row>
    <row r="253" spans="1:37" ht="18.75" customHeight="1">
      <c r="A253" s="69">
        <f>'Cleanup TMS'!A253</f>
        <v>60000055</v>
      </c>
      <c r="B253" s="70">
        <f>'Cleanup TMS'!B253</f>
        <v>166</v>
      </c>
      <c r="C253" s="70" t="str">
        <f>IF('Cleanup TMS'!E253="","",'Cleanup TMS'!E253)</f>
        <v/>
      </c>
      <c r="D253" s="70" t="str">
        <f>'Cleanup TMS'!F253</f>
        <v>SUMTER</v>
      </c>
      <c r="E253" s="70">
        <f>'Cleanup TMS'!G253</f>
        <v>35</v>
      </c>
      <c r="F253" s="71">
        <f>ROUND('Cleanup TMS'!H253,2)</f>
        <v>0.57999999999999996</v>
      </c>
      <c r="G253" s="72" t="str">
        <f>'Cleanup TMS'!I253</f>
        <v>BUENA VISTA BLVD</v>
      </c>
      <c r="H253" s="72" t="str">
        <f>'Cleanup TMS'!J253</f>
        <v>STILLWATER TRL</v>
      </c>
      <c r="I253" s="72" t="str">
        <f>'Cleanup TMS'!K253</f>
        <v>TEMBERRY FOREST DR</v>
      </c>
      <c r="J253" s="70">
        <f>'Cleanup TMS'!L253</f>
        <v>4</v>
      </c>
      <c r="K253" s="70">
        <v>4</v>
      </c>
      <c r="L253" s="70" t="s">
        <v>646</v>
      </c>
      <c r="M253" s="70" t="s">
        <v>649</v>
      </c>
      <c r="N253" s="152" t="s">
        <v>651</v>
      </c>
      <c r="O253" s="152" t="s">
        <v>547</v>
      </c>
      <c r="P253" s="70" t="str">
        <f>'Cleanup TMS'!V253</f>
        <v>COUNTY</v>
      </c>
      <c r="Q253" s="70" t="str">
        <f>'Cleanup TMS'!W253</f>
        <v>UNINCORPORATED SUMTER COUNTY</v>
      </c>
      <c r="R253" s="70" t="s">
        <v>5</v>
      </c>
      <c r="S253" s="73">
        <f>IF('Cleanup TMS'!AO253=0,"-",'Cleanup TMS'!AO253)</f>
        <v>29160</v>
      </c>
      <c r="T253" s="73">
        <f>'Cleanup TMS'!AP253</f>
        <v>17165</v>
      </c>
      <c r="U253" s="71">
        <f>IF(OR('Cleanup TMS'!AQ253=0,'Cleanup TMS'!AQ253=""),"-",'Cleanup TMS'!AQ253)</f>
        <v>0.59</v>
      </c>
      <c r="V253" s="71" t="str">
        <f>IF(OR('Cleanup TMS'!AR253=0,'Cleanup TMS'!AR253=""),"-",'Cleanup TMS'!AR253)</f>
        <v>D</v>
      </c>
      <c r="W253" s="73">
        <f>IF('Cleanup TMS'!BB253=0,"-",'Cleanup TMS'!BB253)</f>
        <v>1467</v>
      </c>
      <c r="X253" s="73">
        <f>'Cleanup TMS'!BC253</f>
        <v>856</v>
      </c>
      <c r="Y253" s="73">
        <f>'Cleanup TMS'!BD253</f>
        <v>909</v>
      </c>
      <c r="Z253" s="74">
        <f>IF(OR('Cleanup TMS'!BE253=0,'Cleanup TMS'!BE253=""),"-",'Cleanup TMS'!BE253)</f>
        <v>0.62</v>
      </c>
      <c r="AA253" s="74" t="str">
        <f>IF(OR('Cleanup TMS'!BF253=0,'Cleanup TMS'!BF253=""),"-",'Cleanup TMS'!BF253)</f>
        <v>D</v>
      </c>
      <c r="AB253" s="148">
        <f>IF(OR('Cleanup TMS'!BI253="",'Cleanup TMS'!BI253=0),"-",'Cleanup TMS'!BI253)</f>
        <v>0.01</v>
      </c>
      <c r="AC253" s="73">
        <f>'Cleanup TMS'!BS253</f>
        <v>29160</v>
      </c>
      <c r="AD253" s="73">
        <f t="shared" si="13"/>
        <v>18041</v>
      </c>
      <c r="AE253" s="74">
        <f>IF(OR('Cleanup TMS'!BU253=0,'Cleanup TMS'!BU253=""),"-",'Cleanup TMS'!BU253)</f>
        <v>0.62</v>
      </c>
      <c r="AF253" s="74" t="str">
        <f>IF(OR('Cleanup TMS'!BV253=0,'Cleanup TMS'!BV253=""),"-",'Cleanup TMS'!BV253)</f>
        <v>D</v>
      </c>
      <c r="AG253" s="73">
        <f>'Cleanup TMS'!CF253</f>
        <v>1467</v>
      </c>
      <c r="AH253" s="73">
        <f t="shared" si="14"/>
        <v>900</v>
      </c>
      <c r="AI253" s="73">
        <f t="shared" si="15"/>
        <v>955</v>
      </c>
      <c r="AJ253" s="71">
        <f>IF(OR('Cleanup TMS'!CI253=0,'Cleanup TMS'!CI253=""),"-",'Cleanup TMS'!CI253)</f>
        <v>0.65</v>
      </c>
      <c r="AK253" s="75" t="str">
        <f>IF(OR('Cleanup TMS'!CJ253=0,'Cleanup TMS'!CJ253=""),"-",'Cleanup TMS'!CJ253)</f>
        <v>D</v>
      </c>
    </row>
    <row r="254" spans="1:37" ht="18.75" customHeight="1">
      <c r="A254" s="69">
        <f>'Cleanup TMS'!A254</f>
        <v>60000056</v>
      </c>
      <c r="B254" s="70">
        <f>'Cleanup TMS'!B254</f>
        <v>165</v>
      </c>
      <c r="C254" s="70" t="str">
        <f>IF('Cleanup TMS'!E254="","",'Cleanup TMS'!E254)</f>
        <v/>
      </c>
      <c r="D254" s="70" t="str">
        <f>'Cleanup TMS'!F254</f>
        <v>SUMTER</v>
      </c>
      <c r="E254" s="70">
        <f>'Cleanup TMS'!G254</f>
        <v>35</v>
      </c>
      <c r="F254" s="71">
        <f>ROUND('Cleanup TMS'!H254,2)</f>
        <v>0.93</v>
      </c>
      <c r="G254" s="72" t="str">
        <f>'Cleanup TMS'!I254</f>
        <v>BUENA VISTA BLVD</v>
      </c>
      <c r="H254" s="72" t="str">
        <f>'Cleanup TMS'!J254</f>
        <v>TEMBERRY FOREST DR</v>
      </c>
      <c r="I254" s="72" t="str">
        <f>'Cleanup TMS'!K254</f>
        <v>C-472 (RAINEY TRL)</v>
      </c>
      <c r="J254" s="70">
        <f>'Cleanup TMS'!L254</f>
        <v>4</v>
      </c>
      <c r="K254" s="70">
        <v>4</v>
      </c>
      <c r="L254" s="70" t="s">
        <v>646</v>
      </c>
      <c r="M254" s="70" t="s">
        <v>649</v>
      </c>
      <c r="N254" s="152" t="s">
        <v>651</v>
      </c>
      <c r="O254" s="152" t="s">
        <v>547</v>
      </c>
      <c r="P254" s="70" t="str">
        <f>'Cleanup TMS'!V254</f>
        <v>COUNTY</v>
      </c>
      <c r="Q254" s="70" t="str">
        <f>'Cleanup TMS'!W254</f>
        <v>UNINCORPORATED SUMTER COUNTY</v>
      </c>
      <c r="R254" s="70" t="s">
        <v>5</v>
      </c>
      <c r="S254" s="73">
        <f>IF('Cleanup TMS'!AO254=0,"-",'Cleanup TMS'!AO254)</f>
        <v>29160</v>
      </c>
      <c r="T254" s="73">
        <f>'Cleanup TMS'!AP254</f>
        <v>20459</v>
      </c>
      <c r="U254" s="71">
        <f>IF(OR('Cleanup TMS'!AQ254=0,'Cleanup TMS'!AQ254=""),"-",'Cleanup TMS'!AQ254)</f>
        <v>0.7</v>
      </c>
      <c r="V254" s="71" t="str">
        <f>IF(OR('Cleanup TMS'!AR254=0,'Cleanup TMS'!AR254=""),"-",'Cleanup TMS'!AR254)</f>
        <v>D</v>
      </c>
      <c r="W254" s="73">
        <f>IF('Cleanup TMS'!BB254=0,"-",'Cleanup TMS'!BB254)</f>
        <v>1467</v>
      </c>
      <c r="X254" s="73">
        <f>'Cleanup TMS'!BC254</f>
        <v>988</v>
      </c>
      <c r="Y254" s="73">
        <f>'Cleanup TMS'!BD254</f>
        <v>998</v>
      </c>
      <c r="Z254" s="74">
        <f>IF(OR('Cleanup TMS'!BE254=0,'Cleanup TMS'!BE254=""),"-",'Cleanup TMS'!BE254)</f>
        <v>0.68</v>
      </c>
      <c r="AA254" s="74" t="str">
        <f>IF(OR('Cleanup TMS'!BF254=0,'Cleanup TMS'!BF254=""),"-",'Cleanup TMS'!BF254)</f>
        <v>D</v>
      </c>
      <c r="AB254" s="148">
        <f>IF(OR('Cleanup TMS'!BI254="",'Cleanup TMS'!BI254=0),"-",'Cleanup TMS'!BI254)</f>
        <v>0.01</v>
      </c>
      <c r="AC254" s="73">
        <f>'Cleanup TMS'!BS254</f>
        <v>29160</v>
      </c>
      <c r="AD254" s="73">
        <f t="shared" si="13"/>
        <v>21503</v>
      </c>
      <c r="AE254" s="74">
        <f>IF(OR('Cleanup TMS'!BU254=0,'Cleanup TMS'!BU254=""),"-",'Cleanup TMS'!BU254)</f>
        <v>0.74</v>
      </c>
      <c r="AF254" s="74" t="str">
        <f>IF(OR('Cleanup TMS'!BV254=0,'Cleanup TMS'!BV254=""),"-",'Cleanup TMS'!BV254)</f>
        <v>D</v>
      </c>
      <c r="AG254" s="73">
        <f>'Cleanup TMS'!CF254</f>
        <v>1467</v>
      </c>
      <c r="AH254" s="73">
        <f t="shared" si="14"/>
        <v>1038</v>
      </c>
      <c r="AI254" s="73">
        <f t="shared" si="15"/>
        <v>1049</v>
      </c>
      <c r="AJ254" s="71">
        <f>IF(OR('Cleanup TMS'!CI254=0,'Cleanup TMS'!CI254=""),"-",'Cleanup TMS'!CI254)</f>
        <v>0.72</v>
      </c>
      <c r="AK254" s="75" t="str">
        <f>IF(OR('Cleanup TMS'!CJ254=0,'Cleanup TMS'!CJ254=""),"-",'Cleanup TMS'!CJ254)</f>
        <v>D</v>
      </c>
    </row>
    <row r="255" spans="1:37" ht="18.75" customHeight="1">
      <c r="A255" s="69">
        <f>'Cleanup TMS'!A255</f>
        <v>60000201</v>
      </c>
      <c r="B255" s="70">
        <f>'Cleanup TMS'!B255</f>
        <v>0</v>
      </c>
      <c r="C255" s="70" t="str">
        <f>IF('Cleanup TMS'!E255="","",'Cleanup TMS'!E255)</f>
        <v/>
      </c>
      <c r="D255" s="70" t="str">
        <f>'Cleanup TMS'!F255</f>
        <v>NO COUNT</v>
      </c>
      <c r="E255" s="70">
        <f>'Cleanup TMS'!G255</f>
        <v>30</v>
      </c>
      <c r="F255" s="71">
        <f>ROUND('Cleanup TMS'!H255,2)</f>
        <v>0.12</v>
      </c>
      <c r="G255" s="72" t="str">
        <f>'Cleanup TMS'!I255</f>
        <v>MARIPOSA WAY</v>
      </c>
      <c r="H255" s="72" t="str">
        <f>'Cleanup TMS'!J255</f>
        <v>500 FT SOUTH MARIPOSA WAY</v>
      </c>
      <c r="I255" s="72" t="str">
        <f>'Cleanup TMS'!K255</f>
        <v>MORSE BLVD N</v>
      </c>
      <c r="J255" s="70">
        <f>'Cleanup TMS'!L255</f>
        <v>2</v>
      </c>
      <c r="K255" s="70">
        <v>2</v>
      </c>
      <c r="L255" s="70" t="s">
        <v>646</v>
      </c>
      <c r="M255" s="70" t="s">
        <v>648</v>
      </c>
      <c r="N255" s="152" t="s">
        <v>651</v>
      </c>
      <c r="O255" s="152" t="s">
        <v>547</v>
      </c>
      <c r="P255" s="70" t="str">
        <f>'Cleanup TMS'!V255</f>
        <v>COUNTY</v>
      </c>
      <c r="Q255" s="70" t="str">
        <f>'Cleanup TMS'!W255</f>
        <v>UNINCORPORATED SUMTER COUNTY</v>
      </c>
      <c r="R255" s="70" t="s">
        <v>5</v>
      </c>
      <c r="S255" s="73">
        <f>IF('Cleanup TMS'!AO255=0,"-",'Cleanup TMS'!AO255)</f>
        <v>13320</v>
      </c>
      <c r="T255" s="73" t="str">
        <f>'Cleanup TMS'!AP255</f>
        <v>-</v>
      </c>
      <c r="U255" s="71" t="str">
        <f>IF(OR('Cleanup TMS'!AQ255=0,'Cleanup TMS'!AQ255=""),"-",'Cleanup TMS'!AQ255)</f>
        <v>-</v>
      </c>
      <c r="V255" s="71" t="str">
        <f>IF(OR('Cleanup TMS'!AR255=0,'Cleanup TMS'!AR255=""),"-",'Cleanup TMS'!AR255)</f>
        <v>-</v>
      </c>
      <c r="W255" s="73">
        <f>IF('Cleanup TMS'!BB255=0,"-",'Cleanup TMS'!BB255)</f>
        <v>675</v>
      </c>
      <c r="X255" s="73" t="str">
        <f>'Cleanup TMS'!BC255</f>
        <v>-</v>
      </c>
      <c r="Y255" s="73" t="str">
        <f>'Cleanup TMS'!BD255</f>
        <v>-</v>
      </c>
      <c r="Z255" s="74" t="str">
        <f>IF(OR('Cleanup TMS'!BE255=0,'Cleanup TMS'!BE255=""),"-",'Cleanup TMS'!BE255)</f>
        <v>-</v>
      </c>
      <c r="AA255" s="74" t="str">
        <f>IF(OR('Cleanup TMS'!BF255=0,'Cleanup TMS'!BF255=""),"-",'Cleanup TMS'!BF255)</f>
        <v>-</v>
      </c>
      <c r="AB255" s="148" t="str">
        <f>IF(OR('Cleanup TMS'!BI255="",'Cleanup TMS'!BI255=0),"-",'Cleanup TMS'!BI255)</f>
        <v>-</v>
      </c>
      <c r="AC255" s="73">
        <f>'Cleanup TMS'!BS255</f>
        <v>13320</v>
      </c>
      <c r="AD255" s="73" t="str">
        <f t="shared" si="13"/>
        <v>-</v>
      </c>
      <c r="AE255" s="74" t="str">
        <f>IF(OR('Cleanup TMS'!BU255=0,'Cleanup TMS'!BU255=""),"-",'Cleanup TMS'!BU255)</f>
        <v>-</v>
      </c>
      <c r="AF255" s="74" t="str">
        <f>IF(OR('Cleanup TMS'!BV255=0,'Cleanup TMS'!BV255=""),"-",'Cleanup TMS'!BV255)</f>
        <v>-</v>
      </c>
      <c r="AG255" s="73">
        <f>'Cleanup TMS'!CF255</f>
        <v>675</v>
      </c>
      <c r="AH255" s="73" t="str">
        <f t="shared" si="14"/>
        <v>-</v>
      </c>
      <c r="AI255" s="73" t="str">
        <f t="shared" si="15"/>
        <v>-</v>
      </c>
      <c r="AJ255" s="71" t="str">
        <f>IF(OR('Cleanup TMS'!CI255=0,'Cleanup TMS'!CI255=""),"-",'Cleanup TMS'!CI255)</f>
        <v>-</v>
      </c>
      <c r="AK255" s="75" t="str">
        <f>IF(OR('Cleanup TMS'!CJ255=0,'Cleanup TMS'!CJ255=""),"-",'Cleanup TMS'!CJ255)</f>
        <v>-</v>
      </c>
    </row>
    <row r="256" spans="1:37" ht="18.75" customHeight="1">
      <c r="A256" s="69">
        <f>'Cleanup TMS'!A256</f>
        <v>60000801</v>
      </c>
      <c r="B256" s="70">
        <f>'Cleanup TMS'!B256</f>
        <v>188037</v>
      </c>
      <c r="C256" s="70">
        <f>IF('Cleanup TMS'!E256="","",'Cleanup TMS'!E256)</f>
        <v>188037</v>
      </c>
      <c r="D256" s="70" t="str">
        <f>'Cleanup TMS'!F256</f>
        <v>FDOT</v>
      </c>
      <c r="E256" s="70">
        <f>'Cleanup TMS'!G256</f>
        <v>25</v>
      </c>
      <c r="F256" s="71">
        <f>ROUND('Cleanup TMS'!H256,2)</f>
        <v>1.1200000000000001</v>
      </c>
      <c r="G256" s="72" t="str">
        <f>'Cleanup TMS'!I256</f>
        <v>CHURCHILL DOWNS</v>
      </c>
      <c r="H256" s="72" t="str">
        <f>'Cleanup TMS'!J256</f>
        <v>MORVEN PARKWAY</v>
      </c>
      <c r="I256" s="72" t="str">
        <f>'Cleanup TMS'!K256</f>
        <v>LYNNHAVEN LN</v>
      </c>
      <c r="J256" s="70">
        <f>'Cleanup TMS'!L256</f>
        <v>2</v>
      </c>
      <c r="K256" s="70">
        <v>2</v>
      </c>
      <c r="L256" s="70" t="s">
        <v>646</v>
      </c>
      <c r="M256" s="70" t="s">
        <v>648</v>
      </c>
      <c r="N256" s="152" t="s">
        <v>651</v>
      </c>
      <c r="O256" s="152" t="s">
        <v>547</v>
      </c>
      <c r="P256" s="70" t="str">
        <f>'Cleanup TMS'!V256</f>
        <v>COUNTY</v>
      </c>
      <c r="Q256" s="70" t="str">
        <f>'Cleanup TMS'!W256</f>
        <v>UNINCORPORATED SUMTER COUNTY</v>
      </c>
      <c r="R256" s="70" t="s">
        <v>5</v>
      </c>
      <c r="S256" s="73">
        <f>IF('Cleanup TMS'!AO256=0,"-",'Cleanup TMS'!AO256)</f>
        <v>13320</v>
      </c>
      <c r="T256" s="73">
        <f>'Cleanup TMS'!AP256</f>
        <v>1120</v>
      </c>
      <c r="U256" s="71">
        <f>IF(OR('Cleanup TMS'!AQ256=0,'Cleanup TMS'!AQ256=""),"-",'Cleanup TMS'!AQ256)</f>
        <v>0.08</v>
      </c>
      <c r="V256" s="71" t="str">
        <f>IF(OR('Cleanup TMS'!AR256=0,'Cleanup TMS'!AR256=""),"-",'Cleanup TMS'!AR256)</f>
        <v>C</v>
      </c>
      <c r="W256" s="73">
        <f>IF('Cleanup TMS'!BB256=0,"-",'Cleanup TMS'!BB256)</f>
        <v>675</v>
      </c>
      <c r="X256" s="73">
        <f>'Cleanup TMS'!BC256</f>
        <v>83</v>
      </c>
      <c r="Y256" s="73">
        <f>'Cleanup TMS'!BD256</f>
        <v>86</v>
      </c>
      <c r="Z256" s="74">
        <f>IF(OR('Cleanup TMS'!BE256=0,'Cleanup TMS'!BE256=""),"-",'Cleanup TMS'!BE256)</f>
        <v>0.13</v>
      </c>
      <c r="AA256" s="74" t="str">
        <f>IF(OR('Cleanup TMS'!BF256=0,'Cleanup TMS'!BF256=""),"-",'Cleanup TMS'!BF256)</f>
        <v>C</v>
      </c>
      <c r="AB256" s="148">
        <f>IF(OR('Cleanup TMS'!BI256="",'Cleanup TMS'!BI256=0),"-",'Cleanup TMS'!BI256)</f>
        <v>0.01</v>
      </c>
      <c r="AC256" s="73">
        <f>'Cleanup TMS'!BS256</f>
        <v>13320</v>
      </c>
      <c r="AD256" s="73">
        <f t="shared" si="13"/>
        <v>1177</v>
      </c>
      <c r="AE256" s="74">
        <f>IF(OR('Cleanup TMS'!BU256=0,'Cleanup TMS'!BU256=""),"-",'Cleanup TMS'!BU256)</f>
        <v>0.09</v>
      </c>
      <c r="AF256" s="74" t="str">
        <f>IF(OR('Cleanup TMS'!BV256=0,'Cleanup TMS'!BV256=""),"-",'Cleanup TMS'!BV256)</f>
        <v>C</v>
      </c>
      <c r="AG256" s="73">
        <f>'Cleanup TMS'!CF256</f>
        <v>675</v>
      </c>
      <c r="AH256" s="73">
        <f t="shared" si="14"/>
        <v>87</v>
      </c>
      <c r="AI256" s="73">
        <f t="shared" si="15"/>
        <v>90</v>
      </c>
      <c r="AJ256" s="71">
        <f>IF(OR('Cleanup TMS'!CI256=0,'Cleanup TMS'!CI256=""),"-",'Cleanup TMS'!CI256)</f>
        <v>0.13</v>
      </c>
      <c r="AK256" s="75" t="str">
        <f>IF(OR('Cleanup TMS'!CJ256=0,'Cleanup TMS'!CJ256=""),"-",'Cleanup TMS'!CJ256)</f>
        <v>C</v>
      </c>
    </row>
    <row r="257" spans="1:37" ht="18.75" customHeight="1">
      <c r="A257" s="69">
        <f>'Cleanup TMS'!A257</f>
        <v>60001001</v>
      </c>
      <c r="B257" s="70">
        <f>'Cleanup TMS'!B257</f>
        <v>144</v>
      </c>
      <c r="C257" s="70" t="str">
        <f>IF('Cleanup TMS'!E257="","",'Cleanup TMS'!E257)</f>
        <v/>
      </c>
      <c r="D257" s="70" t="str">
        <f>'Cleanup TMS'!F257</f>
        <v>SUMTER</v>
      </c>
      <c r="E257" s="70">
        <f>'Cleanup TMS'!G257</f>
        <v>30</v>
      </c>
      <c r="F257" s="71">
        <f>ROUND('Cleanup TMS'!H257,2)</f>
        <v>0.38</v>
      </c>
      <c r="G257" s="72" t="str">
        <f>'Cleanup TMS'!I257</f>
        <v>ODELL CIR</v>
      </c>
      <c r="H257" s="72" t="str">
        <f>'Cleanup TMS'!J257</f>
        <v>BACKWATER WAY</v>
      </c>
      <c r="I257" s="72" t="str">
        <f>'Cleanup TMS'!K257</f>
        <v>CANAL ST S</v>
      </c>
      <c r="J257" s="70">
        <f>'Cleanup TMS'!L257</f>
        <v>2</v>
      </c>
      <c r="K257" s="70">
        <v>2</v>
      </c>
      <c r="L257" s="70" t="s">
        <v>646</v>
      </c>
      <c r="M257" s="70" t="s">
        <v>648</v>
      </c>
      <c r="N257" s="152" t="s">
        <v>651</v>
      </c>
      <c r="O257" s="152" t="s">
        <v>547</v>
      </c>
      <c r="P257" s="70" t="str">
        <f>'Cleanup TMS'!V257</f>
        <v>COUNTY</v>
      </c>
      <c r="Q257" s="70" t="str">
        <f>'Cleanup TMS'!W257</f>
        <v>UNINCORPORATED SUMTER COUNTY</v>
      </c>
      <c r="R257" s="70" t="s">
        <v>5</v>
      </c>
      <c r="S257" s="73">
        <f>IF('Cleanup TMS'!AO257=0,"-",'Cleanup TMS'!AO257)</f>
        <v>13320</v>
      </c>
      <c r="T257" s="73">
        <f>'Cleanup TMS'!AP257</f>
        <v>6792</v>
      </c>
      <c r="U257" s="71">
        <f>IF(OR('Cleanup TMS'!AQ257=0,'Cleanup TMS'!AQ257=""),"-",'Cleanup TMS'!AQ257)</f>
        <v>0.51</v>
      </c>
      <c r="V257" s="71" t="str">
        <f>IF(OR('Cleanup TMS'!AR257=0,'Cleanup TMS'!AR257=""),"-",'Cleanup TMS'!AR257)</f>
        <v>D</v>
      </c>
      <c r="W257" s="73">
        <f>IF('Cleanup TMS'!BB257=0,"-",'Cleanup TMS'!BB257)</f>
        <v>675</v>
      </c>
      <c r="X257" s="73">
        <f>'Cleanup TMS'!BC257</f>
        <v>346</v>
      </c>
      <c r="Y257" s="73">
        <f>'Cleanup TMS'!BD257</f>
        <v>366</v>
      </c>
      <c r="Z257" s="74">
        <f>IF(OR('Cleanup TMS'!BE257=0,'Cleanup TMS'!BE257=""),"-",'Cleanup TMS'!BE257)</f>
        <v>0.54</v>
      </c>
      <c r="AA257" s="74" t="str">
        <f>IF(OR('Cleanup TMS'!BF257=0,'Cleanup TMS'!BF257=""),"-",'Cleanup TMS'!BF257)</f>
        <v>D</v>
      </c>
      <c r="AB257" s="148">
        <f>IF(OR('Cleanup TMS'!BI257="",'Cleanup TMS'!BI257=0),"-",'Cleanup TMS'!BI257)</f>
        <v>0.01</v>
      </c>
      <c r="AC257" s="73">
        <f>'Cleanup TMS'!BS257</f>
        <v>13320</v>
      </c>
      <c r="AD257" s="73">
        <f t="shared" si="13"/>
        <v>7138</v>
      </c>
      <c r="AE257" s="74">
        <f>IF(OR('Cleanup TMS'!BU257=0,'Cleanup TMS'!BU257=""),"-",'Cleanup TMS'!BU257)</f>
        <v>0.54</v>
      </c>
      <c r="AF257" s="74" t="str">
        <f>IF(OR('Cleanup TMS'!BV257=0,'Cleanup TMS'!BV257=""),"-",'Cleanup TMS'!BV257)</f>
        <v>D</v>
      </c>
      <c r="AG257" s="73">
        <f>'Cleanup TMS'!CF257</f>
        <v>675</v>
      </c>
      <c r="AH257" s="73">
        <f t="shared" si="14"/>
        <v>364</v>
      </c>
      <c r="AI257" s="73">
        <f t="shared" si="15"/>
        <v>385</v>
      </c>
      <c r="AJ257" s="71">
        <f>IF(OR('Cleanup TMS'!CI257=0,'Cleanup TMS'!CI257=""),"-",'Cleanup TMS'!CI257)</f>
        <v>0.56999999999999995</v>
      </c>
      <c r="AK257" s="75" t="str">
        <f>IF(OR('Cleanup TMS'!CJ257=0,'Cleanup TMS'!CJ257=""),"-",'Cleanup TMS'!CJ257)</f>
        <v>D</v>
      </c>
    </row>
    <row r="258" spans="1:37" ht="18.75" customHeight="1">
      <c r="A258" s="69">
        <f>'Cleanup TMS'!A258</f>
        <v>60001051</v>
      </c>
      <c r="B258" s="70">
        <f>'Cleanup TMS'!B258</f>
        <v>142</v>
      </c>
      <c r="C258" s="70" t="str">
        <f>IF('Cleanup TMS'!E258="","",'Cleanup TMS'!E258)</f>
        <v/>
      </c>
      <c r="D258" s="70" t="str">
        <f>'Cleanup TMS'!F258</f>
        <v>SUMTER</v>
      </c>
      <c r="E258" s="70">
        <f>'Cleanup TMS'!G258</f>
        <v>25</v>
      </c>
      <c r="F258" s="71">
        <f>ROUND('Cleanup TMS'!H258,2)</f>
        <v>0.52</v>
      </c>
      <c r="G258" s="72" t="str">
        <f>'Cleanup TMS'!I258</f>
        <v>ODELL CIR</v>
      </c>
      <c r="H258" s="72" t="str">
        <f>'Cleanup TMS'!J258</f>
        <v>ARVIN LN</v>
      </c>
      <c r="I258" s="72" t="str">
        <f>'Cleanup TMS'!K258</f>
        <v>MORSE BLVD N (S)</v>
      </c>
      <c r="J258" s="70">
        <f>'Cleanup TMS'!L258</f>
        <v>2</v>
      </c>
      <c r="K258" s="70">
        <v>2</v>
      </c>
      <c r="L258" s="70" t="s">
        <v>646</v>
      </c>
      <c r="M258" s="70" t="s">
        <v>648</v>
      </c>
      <c r="N258" s="152" t="s">
        <v>651</v>
      </c>
      <c r="O258" s="152" t="s">
        <v>547</v>
      </c>
      <c r="P258" s="70" t="str">
        <f>'Cleanup TMS'!V258</f>
        <v>COUNTY</v>
      </c>
      <c r="Q258" s="70" t="str">
        <f>'Cleanup TMS'!W258</f>
        <v>UNINCORPORATED SUMTER COUNTY</v>
      </c>
      <c r="R258" s="70" t="s">
        <v>5</v>
      </c>
      <c r="S258" s="73">
        <f>IF('Cleanup TMS'!AO258=0,"-",'Cleanup TMS'!AO258)</f>
        <v>13320</v>
      </c>
      <c r="T258" s="73">
        <f>'Cleanup TMS'!AP258</f>
        <v>7857</v>
      </c>
      <c r="U258" s="71">
        <f>IF(OR('Cleanup TMS'!AQ258=0,'Cleanup TMS'!AQ258=""),"-",'Cleanup TMS'!AQ258)</f>
        <v>0.59</v>
      </c>
      <c r="V258" s="71" t="str">
        <f>IF(OR('Cleanup TMS'!AR258=0,'Cleanup TMS'!AR258=""),"-",'Cleanup TMS'!AR258)</f>
        <v>D</v>
      </c>
      <c r="W258" s="73">
        <f>IF('Cleanup TMS'!BB258=0,"-",'Cleanup TMS'!BB258)</f>
        <v>675</v>
      </c>
      <c r="X258" s="73">
        <f>'Cleanup TMS'!BC258</f>
        <v>441</v>
      </c>
      <c r="Y258" s="73">
        <f>'Cleanup TMS'!BD258</f>
        <v>364</v>
      </c>
      <c r="Z258" s="74">
        <f>IF(OR('Cleanup TMS'!BE258=0,'Cleanup TMS'!BE258=""),"-",'Cleanup TMS'!BE258)</f>
        <v>0.65</v>
      </c>
      <c r="AA258" s="74" t="str">
        <f>IF(OR('Cleanup TMS'!BF258=0,'Cleanup TMS'!BF258=""),"-",'Cleanup TMS'!BF258)</f>
        <v>D</v>
      </c>
      <c r="AB258" s="148">
        <f>IF(OR('Cleanup TMS'!BI258="",'Cleanup TMS'!BI258=0),"-",'Cleanup TMS'!BI258)</f>
        <v>0.01</v>
      </c>
      <c r="AC258" s="73">
        <f>'Cleanup TMS'!BS258</f>
        <v>13320</v>
      </c>
      <c r="AD258" s="73">
        <f t="shared" si="13"/>
        <v>8258</v>
      </c>
      <c r="AE258" s="74">
        <f>IF(OR('Cleanup TMS'!BU258=0,'Cleanup TMS'!BU258=""),"-",'Cleanup TMS'!BU258)</f>
        <v>0.62</v>
      </c>
      <c r="AF258" s="74" t="str">
        <f>IF(OR('Cleanup TMS'!BV258=0,'Cleanup TMS'!BV258=""),"-",'Cleanup TMS'!BV258)</f>
        <v>D</v>
      </c>
      <c r="AG258" s="73">
        <f>'Cleanup TMS'!CF258</f>
        <v>675</v>
      </c>
      <c r="AH258" s="73">
        <f t="shared" si="14"/>
        <v>463</v>
      </c>
      <c r="AI258" s="73">
        <f t="shared" si="15"/>
        <v>383</v>
      </c>
      <c r="AJ258" s="71">
        <f>IF(OR('Cleanup TMS'!CI258=0,'Cleanup TMS'!CI258=""),"-",'Cleanup TMS'!CI258)</f>
        <v>0.69</v>
      </c>
      <c r="AK258" s="75" t="str">
        <f>IF(OR('Cleanup TMS'!CJ258=0,'Cleanup TMS'!CJ258=""),"-",'Cleanup TMS'!CJ258)</f>
        <v>D</v>
      </c>
    </row>
    <row r="259" spans="1:37" ht="18.75" customHeight="1">
      <c r="A259" s="69">
        <f>'Cleanup TMS'!A259</f>
        <v>355113021</v>
      </c>
      <c r="B259" s="70">
        <f>'Cleanup TMS'!B259</f>
        <v>180005</v>
      </c>
      <c r="C259" s="70">
        <f>IF('Cleanup TMS'!E259="","",'Cleanup TMS'!E259)</f>
        <v>180005</v>
      </c>
      <c r="D259" s="70" t="str">
        <f>'Cleanup TMS'!F259</f>
        <v>WILDWOOD</v>
      </c>
      <c r="E259" s="70">
        <f>'Cleanup TMS'!G259</f>
        <v>55</v>
      </c>
      <c r="F259" s="71">
        <f>ROUND('Cleanup TMS'!H259,2)</f>
        <v>1.26</v>
      </c>
      <c r="G259" s="72" t="str">
        <f>'Cleanup TMS'!I259</f>
        <v>SR 44</v>
      </c>
      <c r="H259" s="72" t="str">
        <f>'Cleanup TMS'!J259</f>
        <v>CR 468</v>
      </c>
      <c r="I259" s="72" t="str">
        <f>'Cleanup TMS'!K259</f>
        <v>LAKE COUNTY BOUNDARY</v>
      </c>
      <c r="J259" s="70">
        <f>'Cleanup TMS'!L259</f>
        <v>4</v>
      </c>
      <c r="K259" s="70">
        <v>4</v>
      </c>
      <c r="L259" s="70" t="s">
        <v>646</v>
      </c>
      <c r="M259" s="70" t="s">
        <v>649</v>
      </c>
      <c r="N259" s="152" t="s">
        <v>651</v>
      </c>
      <c r="O259" s="152" t="s">
        <v>547</v>
      </c>
      <c r="P259" s="70" t="str">
        <f>'Cleanup TMS'!V259</f>
        <v>STATE</v>
      </c>
      <c r="Q259" s="70" t="str">
        <f>'Cleanup TMS'!W259</f>
        <v>UNINCORPORATED SUMTER COUNTY</v>
      </c>
      <c r="R259" s="70" t="s">
        <v>5</v>
      </c>
      <c r="S259" s="73">
        <f>IF('Cleanup TMS'!AO259=0,"-",'Cleanup TMS'!AO259)</f>
        <v>39800</v>
      </c>
      <c r="T259" s="73">
        <f>'Cleanup TMS'!AP259</f>
        <v>21620</v>
      </c>
      <c r="U259" s="71">
        <f>IF(OR('Cleanup TMS'!AQ259=0,'Cleanup TMS'!AQ259=""),"-",'Cleanup TMS'!AQ259)</f>
        <v>0.54</v>
      </c>
      <c r="V259" s="71" t="str">
        <f>IF(OR('Cleanup TMS'!AR259=0,'Cleanup TMS'!AR259=""),"-",'Cleanup TMS'!AR259)</f>
        <v>C</v>
      </c>
      <c r="W259" s="73">
        <f>IF('Cleanup TMS'!BB259=0,"-",'Cleanup TMS'!BB259)</f>
        <v>2000</v>
      </c>
      <c r="X259" s="73">
        <f>'Cleanup TMS'!BC259</f>
        <v>1031</v>
      </c>
      <c r="Y259" s="73">
        <f>'Cleanup TMS'!BD259</f>
        <v>915</v>
      </c>
      <c r="Z259" s="74">
        <f>IF(OR('Cleanup TMS'!BE259=0,'Cleanup TMS'!BE259=""),"-",'Cleanup TMS'!BE259)</f>
        <v>0.52</v>
      </c>
      <c r="AA259" s="74" t="str">
        <f>IF(OR('Cleanup TMS'!BF259=0,'Cleanup TMS'!BF259=""),"-",'Cleanup TMS'!BF259)</f>
        <v>C</v>
      </c>
      <c r="AB259" s="148">
        <f>IF(OR('Cleanup TMS'!BI259="",'Cleanup TMS'!BI259=0),"-",'Cleanup TMS'!BI259)</f>
        <v>1.4999999999999999E-2</v>
      </c>
      <c r="AC259" s="73">
        <f>'Cleanup TMS'!BS259</f>
        <v>39800</v>
      </c>
      <c r="AD259" s="73">
        <f t="shared" si="13"/>
        <v>23291</v>
      </c>
      <c r="AE259" s="74">
        <f>IF(OR('Cleanup TMS'!BU259=0,'Cleanup TMS'!BU259=""),"-",'Cleanup TMS'!BU259)</f>
        <v>0.59</v>
      </c>
      <c r="AF259" s="74" t="str">
        <f>IF(OR('Cleanup TMS'!BV259=0,'Cleanup TMS'!BV259=""),"-",'Cleanup TMS'!BV259)</f>
        <v>C</v>
      </c>
      <c r="AG259" s="73">
        <f>'Cleanup TMS'!CF259</f>
        <v>2000</v>
      </c>
      <c r="AH259" s="73">
        <f t="shared" si="14"/>
        <v>1111</v>
      </c>
      <c r="AI259" s="73">
        <f t="shared" si="15"/>
        <v>986</v>
      </c>
      <c r="AJ259" s="71">
        <f>IF(OR('Cleanup TMS'!CI259=0,'Cleanup TMS'!CI259=""),"-",'Cleanup TMS'!CI259)</f>
        <v>0.56000000000000005</v>
      </c>
      <c r="AK259" s="75" t="str">
        <f>IF(OR('Cleanup TMS'!CJ259=0,'Cleanup TMS'!CJ259=""),"-",'Cleanup TMS'!CJ259)</f>
        <v>C</v>
      </c>
    </row>
    <row r="260" spans="1:37" ht="18.75" customHeight="1">
      <c r="A260" s="69">
        <f>'Cleanup TMS'!A260</f>
        <v>400100012</v>
      </c>
      <c r="B260" s="70">
        <f>'Cleanup TMS'!B260</f>
        <v>93</v>
      </c>
      <c r="C260" s="70" t="str">
        <f>IF('Cleanup TMS'!E260="","",'Cleanup TMS'!E260)</f>
        <v/>
      </c>
      <c r="D260" s="70" t="str">
        <f>'Cleanup TMS'!F260</f>
        <v>SUMTER</v>
      </c>
      <c r="E260" s="70">
        <f>'Cleanup TMS'!G260</f>
        <v>35</v>
      </c>
      <c r="F260" s="71">
        <f>ROUND('Cleanup TMS'!H260,2)</f>
        <v>2.0099999999999998</v>
      </c>
      <c r="G260" s="72" t="str">
        <f>'Cleanup TMS'!I260</f>
        <v>CR 103</v>
      </c>
      <c r="H260" s="72" t="str">
        <f>'Cleanup TMS'!J260</f>
        <v>WOODRIDGE DR</v>
      </c>
      <c r="I260" s="72" t="str">
        <f>'Cleanup TMS'!K260</f>
        <v>CR 102</v>
      </c>
      <c r="J260" s="70">
        <f>'Cleanup TMS'!L260</f>
        <v>2</v>
      </c>
      <c r="K260" s="70">
        <v>2</v>
      </c>
      <c r="L260" s="70" t="s">
        <v>646</v>
      </c>
      <c r="M260" s="70" t="s">
        <v>648</v>
      </c>
      <c r="N260" s="152" t="s">
        <v>651</v>
      </c>
      <c r="O260" s="152" t="s">
        <v>547</v>
      </c>
      <c r="P260" s="70" t="str">
        <f>'Cleanup TMS'!V260</f>
        <v>COUNTY</v>
      </c>
      <c r="Q260" s="70" t="str">
        <f>'Cleanup TMS'!W260</f>
        <v>WILDWOOD</v>
      </c>
      <c r="R260" s="70" t="s">
        <v>5</v>
      </c>
      <c r="S260" s="73">
        <f>IF('Cleanup TMS'!AO260=0,"-",'Cleanup TMS'!AO260)</f>
        <v>10360</v>
      </c>
      <c r="T260" s="73">
        <f>'Cleanup TMS'!AP260</f>
        <v>3938</v>
      </c>
      <c r="U260" s="71">
        <f>IF(OR('Cleanup TMS'!AQ260=0,'Cleanup TMS'!AQ260=""),"-",'Cleanup TMS'!AQ260)</f>
        <v>0.38</v>
      </c>
      <c r="V260" s="71" t="str">
        <f>IF(OR('Cleanup TMS'!AR260=0,'Cleanup TMS'!AR260=""),"-",'Cleanup TMS'!AR260)</f>
        <v>C</v>
      </c>
      <c r="W260" s="73">
        <f>IF('Cleanup TMS'!BB260=0,"-",'Cleanup TMS'!BB260)</f>
        <v>525</v>
      </c>
      <c r="X260" s="73">
        <f>'Cleanup TMS'!BC260</f>
        <v>192</v>
      </c>
      <c r="Y260" s="73">
        <f>'Cleanup TMS'!BD260</f>
        <v>179</v>
      </c>
      <c r="Z260" s="74">
        <f>IF(OR('Cleanup TMS'!BE260=0,'Cleanup TMS'!BE260=""),"-",'Cleanup TMS'!BE260)</f>
        <v>0.37</v>
      </c>
      <c r="AA260" s="74" t="str">
        <f>IF(OR('Cleanup TMS'!BF260=0,'Cleanup TMS'!BF260=""),"-",'Cleanup TMS'!BF260)</f>
        <v>C</v>
      </c>
      <c r="AB260" s="148">
        <f>IF(OR('Cleanup TMS'!BI260="",'Cleanup TMS'!BI260=0),"-",'Cleanup TMS'!BI260)</f>
        <v>2.75E-2</v>
      </c>
      <c r="AC260" s="73">
        <f>'Cleanup TMS'!BS260</f>
        <v>10360</v>
      </c>
      <c r="AD260" s="73">
        <f t="shared" si="13"/>
        <v>4510</v>
      </c>
      <c r="AE260" s="74">
        <f>IF(OR('Cleanup TMS'!BU260=0,'Cleanup TMS'!BU260=""),"-",'Cleanup TMS'!BU260)</f>
        <v>0.44</v>
      </c>
      <c r="AF260" s="74" t="str">
        <f>IF(OR('Cleanup TMS'!BV260=0,'Cleanup TMS'!BV260=""),"-",'Cleanup TMS'!BV260)</f>
        <v>C</v>
      </c>
      <c r="AG260" s="73">
        <f>'Cleanup TMS'!CF260</f>
        <v>525</v>
      </c>
      <c r="AH260" s="73">
        <f t="shared" si="14"/>
        <v>220</v>
      </c>
      <c r="AI260" s="73">
        <f t="shared" si="15"/>
        <v>205</v>
      </c>
      <c r="AJ260" s="71">
        <f>IF(OR('Cleanup TMS'!CI260=0,'Cleanup TMS'!CI260=""),"-",'Cleanup TMS'!CI260)</f>
        <v>0.42</v>
      </c>
      <c r="AK260" s="75" t="str">
        <f>IF(OR('Cleanup TMS'!CJ260=0,'Cleanup TMS'!CJ260=""),"-",'Cleanup TMS'!CJ260)</f>
        <v>C</v>
      </c>
    </row>
  </sheetData>
  <autoFilter ref="A1:AK260" xr:uid="{9D6CD4FD-933A-44E4-9A9F-AED054BF565A}"/>
  <conditionalFormatting sqref="D1">
    <cfRule type="containsText" dxfId="5" priority="5" operator="containsText" text="NO COUNT">
      <formula>NOT(ISERROR(SEARCH("NO COUNT",D1)))</formula>
    </cfRule>
    <cfRule type="containsText" dxfId="4" priority="6" operator="containsText" text="ADJACENT">
      <formula>NOT(ISERROR(SEARCH("ADJACENT",D1)))</formula>
    </cfRule>
  </conditionalFormatting>
  <conditionalFormatting sqref="D2">
    <cfRule type="containsText" dxfId="3" priority="3" operator="containsText" text="NO COUNT">
      <formula>NOT(ISERROR(SEARCH("NO COUNT",D2)))</formula>
    </cfRule>
    <cfRule type="containsText" dxfId="2" priority="4" operator="containsText" text="ADJACENT">
      <formula>NOT(ISERROR(SEARCH("ADJACENT",D2)))</formula>
    </cfRule>
  </conditionalFormatting>
  <conditionalFormatting sqref="D3:D260">
    <cfRule type="containsText" dxfId="1" priority="1" operator="containsText" text="NO COUNT">
      <formula>NOT(ISERROR(SEARCH("NO COUNT",D3)))</formula>
    </cfRule>
    <cfRule type="containsText" dxfId="0" priority="2" operator="containsText" text="ADJACENT">
      <formula>NOT(ISERROR(SEARCH("ADJACENT",D3)))</formula>
    </cfRule>
  </conditionalFormatting>
  <printOptions horizontalCentered="1"/>
  <pageMargins left="0.7" right="0.7" top="0.75" bottom="0.75" header="0.3" footer="0.3"/>
  <pageSetup paperSize="3" scale="40" fitToHeight="0" orientation="landscape" horizontalDpi="300" r:id="rId1"/>
  <headerFooter>
    <oddHeader>&amp;C&amp;"Arial,Bold"&amp;24&amp;K2791D0Sumter County CMP Database</oddHeader>
    <oddFooter>&amp;R&amp;"Arial,Regular"&amp;12January 2021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22852-964A-40BD-BCE6-43FA0E06524B}">
  <dimension ref="B1:D185"/>
  <sheetViews>
    <sheetView topLeftCell="A94" workbookViewId="0">
      <selection activeCell="D69" sqref="D69"/>
    </sheetView>
  </sheetViews>
  <sheetFormatPr defaultRowHeight="15"/>
  <cols>
    <col min="2" max="2" width="11.7109375" bestFit="1" customWidth="1"/>
    <col min="3" max="4" width="16.140625" bestFit="1" customWidth="1"/>
  </cols>
  <sheetData>
    <row r="1" spans="2:4">
      <c r="B1" s="393" t="s">
        <v>896</v>
      </c>
      <c r="C1" t="s">
        <v>897</v>
      </c>
      <c r="D1" t="s">
        <v>898</v>
      </c>
    </row>
    <row r="2" spans="2:4">
      <c r="B2">
        <v>1</v>
      </c>
      <c r="C2">
        <v>1</v>
      </c>
      <c r="D2">
        <v>1</v>
      </c>
    </row>
    <row r="3" spans="2:4">
      <c r="B3">
        <v>2</v>
      </c>
      <c r="C3">
        <v>2</v>
      </c>
      <c r="D3">
        <v>2</v>
      </c>
    </row>
    <row r="4" spans="2:4">
      <c r="B4">
        <v>3</v>
      </c>
      <c r="C4">
        <v>3</v>
      </c>
      <c r="D4">
        <v>3</v>
      </c>
    </row>
    <row r="5" spans="2:4">
      <c r="B5">
        <v>4</v>
      </c>
      <c r="C5">
        <v>4</v>
      </c>
      <c r="D5">
        <v>4</v>
      </c>
    </row>
    <row r="6" spans="2:4">
      <c r="B6">
        <v>5</v>
      </c>
      <c r="C6">
        <v>5</v>
      </c>
      <c r="D6">
        <v>5</v>
      </c>
    </row>
    <row r="7" spans="2:4">
      <c r="B7">
        <v>6</v>
      </c>
      <c r="C7">
        <v>6</v>
      </c>
      <c r="D7">
        <v>6</v>
      </c>
    </row>
    <row r="8" spans="2:4">
      <c r="B8">
        <v>7</v>
      </c>
      <c r="C8">
        <v>7</v>
      </c>
      <c r="D8">
        <v>7</v>
      </c>
    </row>
    <row r="9" spans="2:4">
      <c r="B9">
        <v>8</v>
      </c>
      <c r="C9">
        <v>8</v>
      </c>
      <c r="D9">
        <v>8</v>
      </c>
    </row>
    <row r="10" spans="2:4">
      <c r="B10">
        <v>9</v>
      </c>
      <c r="C10">
        <v>9</v>
      </c>
      <c r="D10">
        <v>9</v>
      </c>
    </row>
    <row r="11" spans="2:4">
      <c r="B11">
        <v>10</v>
      </c>
      <c r="C11">
        <v>10</v>
      </c>
      <c r="D11">
        <v>10</v>
      </c>
    </row>
    <row r="12" spans="2:4">
      <c r="B12">
        <v>11</v>
      </c>
      <c r="C12">
        <v>11</v>
      </c>
      <c r="D12">
        <v>11</v>
      </c>
    </row>
    <row r="13" spans="2:4">
      <c r="B13">
        <v>12</v>
      </c>
      <c r="C13">
        <v>12</v>
      </c>
      <c r="D13">
        <v>12</v>
      </c>
    </row>
    <row r="14" spans="2:4">
      <c r="B14">
        <v>13</v>
      </c>
      <c r="C14">
        <v>13</v>
      </c>
      <c r="D14">
        <v>13</v>
      </c>
    </row>
    <row r="15" spans="2:4">
      <c r="B15">
        <v>14</v>
      </c>
      <c r="C15">
        <v>14</v>
      </c>
      <c r="D15">
        <v>14</v>
      </c>
    </row>
    <row r="16" spans="2:4">
      <c r="B16">
        <v>15</v>
      </c>
      <c r="C16">
        <v>15</v>
      </c>
      <c r="D16">
        <v>15</v>
      </c>
    </row>
    <row r="17" spans="2:4">
      <c r="B17">
        <v>16</v>
      </c>
      <c r="C17">
        <v>16</v>
      </c>
      <c r="D17">
        <v>16</v>
      </c>
    </row>
    <row r="18" spans="2:4">
      <c r="B18">
        <v>17</v>
      </c>
      <c r="C18">
        <v>17</v>
      </c>
      <c r="D18">
        <v>17</v>
      </c>
    </row>
    <row r="19" spans="2:4">
      <c r="B19">
        <v>18</v>
      </c>
      <c r="C19">
        <v>18</v>
      </c>
      <c r="D19">
        <v>18</v>
      </c>
    </row>
    <row r="20" spans="2:4">
      <c r="B20">
        <v>19</v>
      </c>
      <c r="C20">
        <v>19</v>
      </c>
      <c r="D20">
        <v>19</v>
      </c>
    </row>
    <row r="21" spans="2:4">
      <c r="B21">
        <v>20</v>
      </c>
      <c r="C21">
        <v>20</v>
      </c>
      <c r="D21">
        <v>20</v>
      </c>
    </row>
    <row r="22" spans="2:4">
      <c r="B22">
        <v>21</v>
      </c>
      <c r="C22">
        <v>21</v>
      </c>
      <c r="D22">
        <v>21</v>
      </c>
    </row>
    <row r="23" spans="2:4">
      <c r="B23">
        <v>22</v>
      </c>
      <c r="C23">
        <v>22</v>
      </c>
      <c r="D23">
        <v>22</v>
      </c>
    </row>
    <row r="24" spans="2:4">
      <c r="B24">
        <v>23</v>
      </c>
      <c r="C24">
        <v>23</v>
      </c>
      <c r="D24">
        <v>23</v>
      </c>
    </row>
    <row r="25" spans="2:4">
      <c r="B25">
        <v>24</v>
      </c>
      <c r="C25">
        <v>24</v>
      </c>
      <c r="D25">
        <v>24</v>
      </c>
    </row>
    <row r="26" spans="2:4">
      <c r="B26">
        <v>25</v>
      </c>
      <c r="C26">
        <v>25</v>
      </c>
      <c r="D26">
        <v>25</v>
      </c>
    </row>
    <row r="27" spans="2:4">
      <c r="B27">
        <v>26</v>
      </c>
      <c r="C27">
        <v>26</v>
      </c>
      <c r="D27">
        <v>26</v>
      </c>
    </row>
    <row r="28" spans="2:4">
      <c r="B28">
        <v>27</v>
      </c>
      <c r="C28">
        <v>27</v>
      </c>
      <c r="D28">
        <v>27</v>
      </c>
    </row>
    <row r="29" spans="2:4">
      <c r="B29">
        <v>28</v>
      </c>
      <c r="C29">
        <v>28</v>
      </c>
      <c r="D29">
        <v>28</v>
      </c>
    </row>
    <row r="30" spans="2:4">
      <c r="B30">
        <v>29</v>
      </c>
      <c r="C30">
        <v>29</v>
      </c>
      <c r="D30">
        <v>29</v>
      </c>
    </row>
    <row r="31" spans="2:4">
      <c r="B31">
        <v>30</v>
      </c>
      <c r="C31">
        <v>30</v>
      </c>
      <c r="D31">
        <v>30</v>
      </c>
    </row>
    <row r="32" spans="2:4">
      <c r="B32">
        <v>31</v>
      </c>
      <c r="C32">
        <v>31</v>
      </c>
      <c r="D32">
        <v>31</v>
      </c>
    </row>
    <row r="33" spans="2:4">
      <c r="B33">
        <v>32</v>
      </c>
      <c r="C33">
        <v>32</v>
      </c>
      <c r="D33">
        <v>32</v>
      </c>
    </row>
    <row r="34" spans="2:4">
      <c r="B34">
        <v>33</v>
      </c>
      <c r="C34">
        <v>33</v>
      </c>
      <c r="D34">
        <v>33</v>
      </c>
    </row>
    <row r="35" spans="2:4">
      <c r="B35">
        <v>34</v>
      </c>
      <c r="C35">
        <v>34</v>
      </c>
      <c r="D35">
        <v>34</v>
      </c>
    </row>
    <row r="36" spans="2:4">
      <c r="B36">
        <v>35</v>
      </c>
      <c r="C36">
        <v>35</v>
      </c>
      <c r="D36">
        <v>35</v>
      </c>
    </row>
    <row r="37" spans="2:4">
      <c r="B37">
        <v>36</v>
      </c>
      <c r="C37">
        <v>36</v>
      </c>
      <c r="D37">
        <v>36</v>
      </c>
    </row>
    <row r="38" spans="2:4">
      <c r="B38">
        <v>37</v>
      </c>
      <c r="C38">
        <v>37</v>
      </c>
      <c r="D38">
        <v>37</v>
      </c>
    </row>
    <row r="39" spans="2:4">
      <c r="B39">
        <v>38</v>
      </c>
      <c r="C39">
        <v>38</v>
      </c>
      <c r="D39">
        <v>38</v>
      </c>
    </row>
    <row r="40" spans="2:4">
      <c r="B40">
        <v>39</v>
      </c>
      <c r="C40">
        <v>39</v>
      </c>
      <c r="D40">
        <v>39</v>
      </c>
    </row>
    <row r="41" spans="2:4">
      <c r="B41">
        <v>40</v>
      </c>
      <c r="C41">
        <v>40</v>
      </c>
      <c r="D41">
        <v>40</v>
      </c>
    </row>
    <row r="42" spans="2:4">
      <c r="B42">
        <v>41</v>
      </c>
      <c r="C42">
        <v>41</v>
      </c>
      <c r="D42">
        <v>41</v>
      </c>
    </row>
    <row r="43" spans="2:4">
      <c r="B43">
        <v>42</v>
      </c>
      <c r="C43">
        <v>42</v>
      </c>
      <c r="D43">
        <v>42</v>
      </c>
    </row>
    <row r="44" spans="2:4">
      <c r="B44">
        <v>43</v>
      </c>
      <c r="C44">
        <v>43</v>
      </c>
      <c r="D44">
        <v>43</v>
      </c>
    </row>
    <row r="45" spans="2:4">
      <c r="B45">
        <v>44</v>
      </c>
      <c r="C45">
        <v>44</v>
      </c>
      <c r="D45">
        <v>44</v>
      </c>
    </row>
    <row r="46" spans="2:4">
      <c r="B46">
        <v>45</v>
      </c>
      <c r="C46">
        <v>45</v>
      </c>
      <c r="D46">
        <v>45</v>
      </c>
    </row>
    <row r="47" spans="2:4">
      <c r="B47">
        <v>46</v>
      </c>
      <c r="C47">
        <v>46</v>
      </c>
      <c r="D47">
        <v>46</v>
      </c>
    </row>
    <row r="48" spans="2:4">
      <c r="B48">
        <v>47</v>
      </c>
      <c r="C48">
        <v>47</v>
      </c>
      <c r="D48">
        <v>47</v>
      </c>
    </row>
    <row r="49" spans="2:4">
      <c r="B49">
        <v>48</v>
      </c>
      <c r="C49">
        <v>48</v>
      </c>
      <c r="D49">
        <v>48</v>
      </c>
    </row>
    <row r="50" spans="2:4">
      <c r="B50">
        <v>49</v>
      </c>
      <c r="C50">
        <v>49</v>
      </c>
      <c r="D50">
        <v>49</v>
      </c>
    </row>
    <row r="51" spans="2:4">
      <c r="B51">
        <v>50</v>
      </c>
      <c r="C51">
        <v>50</v>
      </c>
      <c r="D51">
        <v>50</v>
      </c>
    </row>
    <row r="52" spans="2:4">
      <c r="B52">
        <v>51</v>
      </c>
      <c r="C52">
        <v>51</v>
      </c>
      <c r="D52">
        <v>51</v>
      </c>
    </row>
    <row r="53" spans="2:4">
      <c r="B53">
        <v>52</v>
      </c>
      <c r="C53">
        <v>52</v>
      </c>
      <c r="D53">
        <v>52</v>
      </c>
    </row>
    <row r="54" spans="2:4">
      <c r="B54">
        <v>53</v>
      </c>
      <c r="C54">
        <v>53</v>
      </c>
      <c r="D54">
        <v>53</v>
      </c>
    </row>
    <row r="55" spans="2:4">
      <c r="B55">
        <v>54</v>
      </c>
      <c r="C55">
        <v>54</v>
      </c>
      <c r="D55">
        <v>54</v>
      </c>
    </row>
    <row r="56" spans="2:4">
      <c r="B56">
        <v>55</v>
      </c>
      <c r="C56">
        <v>55</v>
      </c>
      <c r="D56">
        <v>55</v>
      </c>
    </row>
    <row r="57" spans="2:4">
      <c r="B57">
        <v>56</v>
      </c>
      <c r="C57">
        <v>56</v>
      </c>
      <c r="D57">
        <v>56</v>
      </c>
    </row>
    <row r="58" spans="2:4">
      <c r="B58">
        <v>57</v>
      </c>
      <c r="C58">
        <v>57</v>
      </c>
      <c r="D58">
        <v>57</v>
      </c>
    </row>
    <row r="59" spans="2:4">
      <c r="B59">
        <v>58</v>
      </c>
      <c r="C59">
        <v>58</v>
      </c>
      <c r="D59">
        <v>58</v>
      </c>
    </row>
    <row r="60" spans="2:4">
      <c r="B60">
        <v>59</v>
      </c>
      <c r="C60">
        <v>59</v>
      </c>
      <c r="D60">
        <v>59</v>
      </c>
    </row>
    <row r="61" spans="2:4">
      <c r="B61">
        <v>60</v>
      </c>
      <c r="C61">
        <v>60</v>
      </c>
      <c r="D61">
        <v>60</v>
      </c>
    </row>
    <row r="62" spans="2:4">
      <c r="B62">
        <v>61</v>
      </c>
      <c r="C62">
        <v>61</v>
      </c>
      <c r="D62">
        <v>61</v>
      </c>
    </row>
    <row r="63" spans="2:4">
      <c r="B63">
        <v>62</v>
      </c>
      <c r="C63">
        <v>62</v>
      </c>
      <c r="D63">
        <v>62</v>
      </c>
    </row>
    <row r="64" spans="2:4">
      <c r="B64">
        <v>63</v>
      </c>
      <c r="C64">
        <v>63</v>
      </c>
      <c r="D64">
        <v>63</v>
      </c>
    </row>
    <row r="65" spans="2:4">
      <c r="B65">
        <v>64</v>
      </c>
      <c r="C65">
        <v>64</v>
      </c>
      <c r="D65">
        <v>64</v>
      </c>
    </row>
    <row r="66" spans="2:4">
      <c r="B66">
        <v>65</v>
      </c>
      <c r="C66">
        <v>65</v>
      </c>
      <c r="D66">
        <v>65</v>
      </c>
    </row>
    <row r="67" spans="2:4">
      <c r="B67">
        <v>66</v>
      </c>
      <c r="C67">
        <v>66</v>
      </c>
      <c r="D67">
        <v>66</v>
      </c>
    </row>
    <row r="68" spans="2:4">
      <c r="B68">
        <v>67</v>
      </c>
      <c r="C68">
        <v>67</v>
      </c>
      <c r="D68">
        <v>67</v>
      </c>
    </row>
    <row r="69" spans="2:4">
      <c r="B69" s="394">
        <v>68</v>
      </c>
      <c r="D69" s="394">
        <v>68</v>
      </c>
    </row>
    <row r="70" spans="2:4">
      <c r="B70">
        <v>69</v>
      </c>
      <c r="C70">
        <v>69</v>
      </c>
      <c r="D70">
        <v>69</v>
      </c>
    </row>
    <row r="71" spans="2:4">
      <c r="B71">
        <v>70</v>
      </c>
      <c r="C71">
        <v>70</v>
      </c>
      <c r="D71">
        <v>70</v>
      </c>
    </row>
    <row r="72" spans="2:4">
      <c r="B72">
        <v>71</v>
      </c>
      <c r="C72">
        <v>71</v>
      </c>
      <c r="D72">
        <v>71</v>
      </c>
    </row>
    <row r="73" spans="2:4">
      <c r="B73">
        <v>72</v>
      </c>
      <c r="C73">
        <v>72</v>
      </c>
      <c r="D73">
        <v>72</v>
      </c>
    </row>
    <row r="74" spans="2:4">
      <c r="B74">
        <v>73</v>
      </c>
      <c r="C74">
        <v>73</v>
      </c>
      <c r="D74">
        <v>73</v>
      </c>
    </row>
    <row r="75" spans="2:4">
      <c r="B75">
        <v>74</v>
      </c>
      <c r="C75">
        <v>74</v>
      </c>
      <c r="D75">
        <v>74</v>
      </c>
    </row>
    <row r="76" spans="2:4">
      <c r="B76">
        <v>75</v>
      </c>
      <c r="C76">
        <v>75</v>
      </c>
      <c r="D76">
        <v>75</v>
      </c>
    </row>
    <row r="77" spans="2:4">
      <c r="B77">
        <v>76</v>
      </c>
      <c r="C77">
        <v>76</v>
      </c>
      <c r="D77">
        <v>76</v>
      </c>
    </row>
    <row r="78" spans="2:4">
      <c r="B78">
        <v>77</v>
      </c>
      <c r="C78">
        <v>77</v>
      </c>
      <c r="D78">
        <v>77</v>
      </c>
    </row>
    <row r="79" spans="2:4">
      <c r="B79">
        <v>78</v>
      </c>
      <c r="C79">
        <v>78</v>
      </c>
      <c r="D79">
        <v>78</v>
      </c>
    </row>
    <row r="80" spans="2:4">
      <c r="B80">
        <v>79</v>
      </c>
      <c r="C80">
        <v>79</v>
      </c>
      <c r="D80">
        <v>79</v>
      </c>
    </row>
    <row r="81" spans="2:4">
      <c r="B81">
        <v>80</v>
      </c>
      <c r="C81">
        <v>80</v>
      </c>
      <c r="D81">
        <v>80</v>
      </c>
    </row>
    <row r="82" spans="2:4">
      <c r="B82">
        <v>81</v>
      </c>
      <c r="C82">
        <v>81</v>
      </c>
      <c r="D82">
        <v>81</v>
      </c>
    </row>
    <row r="83" spans="2:4">
      <c r="B83">
        <v>82</v>
      </c>
      <c r="C83">
        <v>82</v>
      </c>
      <c r="D83">
        <v>82</v>
      </c>
    </row>
    <row r="84" spans="2:4">
      <c r="B84">
        <v>83</v>
      </c>
      <c r="C84">
        <v>83</v>
      </c>
      <c r="D84">
        <v>83</v>
      </c>
    </row>
    <row r="85" spans="2:4">
      <c r="B85">
        <v>84</v>
      </c>
      <c r="C85">
        <v>84</v>
      </c>
      <c r="D85">
        <v>84</v>
      </c>
    </row>
    <row r="86" spans="2:4">
      <c r="B86">
        <v>85</v>
      </c>
      <c r="C86">
        <v>85</v>
      </c>
      <c r="D86">
        <v>85</v>
      </c>
    </row>
    <row r="87" spans="2:4">
      <c r="B87">
        <v>86</v>
      </c>
      <c r="C87">
        <v>86</v>
      </c>
      <c r="D87">
        <v>86</v>
      </c>
    </row>
    <row r="88" spans="2:4">
      <c r="B88">
        <v>87</v>
      </c>
      <c r="C88">
        <v>87</v>
      </c>
      <c r="D88">
        <v>87</v>
      </c>
    </row>
    <row r="89" spans="2:4">
      <c r="B89">
        <v>88</v>
      </c>
      <c r="C89">
        <v>88</v>
      </c>
      <c r="D89">
        <v>88</v>
      </c>
    </row>
    <row r="90" spans="2:4">
      <c r="B90">
        <v>89</v>
      </c>
      <c r="C90">
        <v>89</v>
      </c>
      <c r="D90">
        <v>89</v>
      </c>
    </row>
    <row r="91" spans="2:4">
      <c r="B91">
        <v>90</v>
      </c>
      <c r="C91">
        <v>90</v>
      </c>
      <c r="D91">
        <v>90</v>
      </c>
    </row>
    <row r="92" spans="2:4">
      <c r="B92">
        <v>91</v>
      </c>
      <c r="C92">
        <v>91</v>
      </c>
      <c r="D92">
        <v>91</v>
      </c>
    </row>
    <row r="93" spans="2:4">
      <c r="B93">
        <v>92</v>
      </c>
      <c r="C93">
        <v>92</v>
      </c>
      <c r="D93">
        <v>92</v>
      </c>
    </row>
    <row r="94" spans="2:4">
      <c r="B94">
        <v>93</v>
      </c>
      <c r="C94">
        <v>93</v>
      </c>
      <c r="D94">
        <v>93</v>
      </c>
    </row>
    <row r="95" spans="2:4">
      <c r="B95">
        <v>94</v>
      </c>
      <c r="C95">
        <v>94</v>
      </c>
      <c r="D95">
        <v>94</v>
      </c>
    </row>
    <row r="96" spans="2:4">
      <c r="C96" s="394">
        <v>95</v>
      </c>
      <c r="D96">
        <v>95</v>
      </c>
    </row>
    <row r="97" spans="2:4">
      <c r="B97">
        <v>96</v>
      </c>
      <c r="C97">
        <v>96</v>
      </c>
      <c r="D97">
        <v>96</v>
      </c>
    </row>
    <row r="98" spans="2:4">
      <c r="B98">
        <v>97</v>
      </c>
      <c r="C98">
        <v>97</v>
      </c>
      <c r="D98">
        <v>97</v>
      </c>
    </row>
    <row r="99" spans="2:4">
      <c r="B99">
        <v>98</v>
      </c>
      <c r="C99">
        <v>98</v>
      </c>
      <c r="D99">
        <v>98</v>
      </c>
    </row>
    <row r="100" spans="2:4">
      <c r="B100">
        <v>99</v>
      </c>
      <c r="C100">
        <v>99</v>
      </c>
      <c r="D100">
        <v>99</v>
      </c>
    </row>
    <row r="101" spans="2:4">
      <c r="B101">
        <v>100</v>
      </c>
      <c r="C101">
        <v>100</v>
      </c>
      <c r="D101">
        <v>100</v>
      </c>
    </row>
    <row r="102" spans="2:4">
      <c r="B102">
        <v>101</v>
      </c>
      <c r="C102">
        <v>101</v>
      </c>
      <c r="D102">
        <v>101</v>
      </c>
    </row>
    <row r="103" spans="2:4">
      <c r="B103">
        <v>102</v>
      </c>
      <c r="C103">
        <v>102</v>
      </c>
      <c r="D103">
        <v>102</v>
      </c>
    </row>
    <row r="104" spans="2:4">
      <c r="B104">
        <v>103</v>
      </c>
      <c r="C104">
        <v>103</v>
      </c>
      <c r="D104">
        <v>103</v>
      </c>
    </row>
    <row r="105" spans="2:4">
      <c r="B105">
        <v>104</v>
      </c>
      <c r="C105">
        <v>104</v>
      </c>
      <c r="D105">
        <v>104</v>
      </c>
    </row>
    <row r="106" spans="2:4">
      <c r="B106">
        <v>105</v>
      </c>
      <c r="C106">
        <v>105</v>
      </c>
      <c r="D106">
        <v>105</v>
      </c>
    </row>
    <row r="107" spans="2:4">
      <c r="B107">
        <v>106</v>
      </c>
      <c r="C107">
        <v>106</v>
      </c>
      <c r="D107">
        <v>106</v>
      </c>
    </row>
    <row r="108" spans="2:4">
      <c r="B108">
        <v>107</v>
      </c>
      <c r="C108">
        <v>107</v>
      </c>
      <c r="D108">
        <v>107</v>
      </c>
    </row>
    <row r="109" spans="2:4">
      <c r="B109">
        <v>108</v>
      </c>
      <c r="C109">
        <v>108</v>
      </c>
      <c r="D109">
        <v>108</v>
      </c>
    </row>
    <row r="110" spans="2:4">
      <c r="B110">
        <v>109</v>
      </c>
      <c r="C110">
        <v>109</v>
      </c>
      <c r="D110">
        <v>109</v>
      </c>
    </row>
    <row r="111" spans="2:4">
      <c r="C111" s="394">
        <v>110</v>
      </c>
      <c r="D111">
        <v>110</v>
      </c>
    </row>
    <row r="112" spans="2:4">
      <c r="B112">
        <v>111</v>
      </c>
      <c r="C112">
        <v>111</v>
      </c>
      <c r="D112">
        <v>111</v>
      </c>
    </row>
    <row r="113" spans="2:4">
      <c r="B113">
        <v>112</v>
      </c>
      <c r="C113">
        <v>112</v>
      </c>
      <c r="D113">
        <v>112</v>
      </c>
    </row>
    <row r="114" spans="2:4">
      <c r="B114">
        <v>113</v>
      </c>
      <c r="C114">
        <v>113</v>
      </c>
      <c r="D114">
        <v>113</v>
      </c>
    </row>
    <row r="115" spans="2:4">
      <c r="B115">
        <v>114</v>
      </c>
      <c r="C115">
        <v>114</v>
      </c>
      <c r="D115">
        <v>114</v>
      </c>
    </row>
    <row r="116" spans="2:4">
      <c r="C116" s="394">
        <v>115</v>
      </c>
      <c r="D116">
        <v>115</v>
      </c>
    </row>
    <row r="117" spans="2:4">
      <c r="C117" s="394">
        <v>116</v>
      </c>
      <c r="D117">
        <v>116</v>
      </c>
    </row>
    <row r="118" spans="2:4">
      <c r="C118" s="394">
        <v>117</v>
      </c>
      <c r="D118">
        <v>117</v>
      </c>
    </row>
    <row r="119" spans="2:4">
      <c r="B119">
        <v>118</v>
      </c>
      <c r="C119">
        <v>118</v>
      </c>
      <c r="D119">
        <v>118</v>
      </c>
    </row>
    <row r="120" spans="2:4">
      <c r="B120">
        <v>119</v>
      </c>
      <c r="C120">
        <v>119</v>
      </c>
      <c r="D120">
        <v>119</v>
      </c>
    </row>
    <row r="121" spans="2:4">
      <c r="B121">
        <v>120</v>
      </c>
      <c r="C121">
        <v>120</v>
      </c>
      <c r="D121">
        <v>120</v>
      </c>
    </row>
    <row r="122" spans="2:4">
      <c r="B122">
        <v>121</v>
      </c>
      <c r="C122">
        <v>121</v>
      </c>
      <c r="D122">
        <v>121</v>
      </c>
    </row>
    <row r="123" spans="2:4">
      <c r="C123" s="394">
        <v>122</v>
      </c>
      <c r="D123">
        <v>122</v>
      </c>
    </row>
    <row r="124" spans="2:4">
      <c r="B124">
        <v>123</v>
      </c>
      <c r="C124">
        <v>123</v>
      </c>
      <c r="D124">
        <v>123</v>
      </c>
    </row>
    <row r="125" spans="2:4">
      <c r="B125">
        <v>124</v>
      </c>
      <c r="C125">
        <v>124</v>
      </c>
      <c r="D125">
        <v>124</v>
      </c>
    </row>
    <row r="126" spans="2:4">
      <c r="B126">
        <v>125</v>
      </c>
      <c r="C126">
        <v>125</v>
      </c>
      <c r="D126">
        <v>125</v>
      </c>
    </row>
    <row r="127" spans="2:4">
      <c r="B127">
        <v>126</v>
      </c>
      <c r="C127">
        <v>126</v>
      </c>
      <c r="D127">
        <v>126</v>
      </c>
    </row>
    <row r="128" spans="2:4">
      <c r="B128">
        <v>127</v>
      </c>
      <c r="C128">
        <v>127</v>
      </c>
      <c r="D128">
        <v>127</v>
      </c>
    </row>
    <row r="129" spans="2:4">
      <c r="B129">
        <v>128</v>
      </c>
      <c r="C129">
        <v>128</v>
      </c>
      <c r="D129">
        <v>128</v>
      </c>
    </row>
    <row r="130" spans="2:4">
      <c r="B130">
        <v>129</v>
      </c>
      <c r="C130">
        <v>129</v>
      </c>
      <c r="D130">
        <v>129</v>
      </c>
    </row>
    <row r="131" spans="2:4">
      <c r="B131">
        <v>130</v>
      </c>
      <c r="C131">
        <v>130</v>
      </c>
      <c r="D131">
        <v>130</v>
      </c>
    </row>
    <row r="132" spans="2:4">
      <c r="B132">
        <v>131</v>
      </c>
      <c r="C132">
        <v>131</v>
      </c>
      <c r="D132">
        <v>131</v>
      </c>
    </row>
    <row r="133" spans="2:4">
      <c r="B133">
        <v>132</v>
      </c>
      <c r="C133">
        <v>132</v>
      </c>
      <c r="D133">
        <v>132</v>
      </c>
    </row>
    <row r="134" spans="2:4">
      <c r="B134">
        <v>133</v>
      </c>
      <c r="C134">
        <v>133</v>
      </c>
      <c r="D134">
        <v>133</v>
      </c>
    </row>
    <row r="135" spans="2:4">
      <c r="B135">
        <v>134</v>
      </c>
      <c r="C135">
        <v>134</v>
      </c>
      <c r="D135">
        <v>134</v>
      </c>
    </row>
    <row r="136" spans="2:4">
      <c r="B136">
        <v>135</v>
      </c>
      <c r="C136">
        <v>135</v>
      </c>
      <c r="D136">
        <v>135</v>
      </c>
    </row>
    <row r="137" spans="2:4">
      <c r="B137">
        <v>136</v>
      </c>
      <c r="C137">
        <v>136</v>
      </c>
      <c r="D137">
        <v>136</v>
      </c>
    </row>
    <row r="138" spans="2:4">
      <c r="B138">
        <v>137</v>
      </c>
      <c r="C138">
        <v>137</v>
      </c>
      <c r="D138">
        <v>137</v>
      </c>
    </row>
    <row r="139" spans="2:4">
      <c r="B139">
        <v>138</v>
      </c>
      <c r="C139">
        <v>138</v>
      </c>
      <c r="D139">
        <v>138</v>
      </c>
    </row>
    <row r="140" spans="2:4">
      <c r="B140">
        <v>139</v>
      </c>
      <c r="C140">
        <v>139</v>
      </c>
      <c r="D140">
        <v>139</v>
      </c>
    </row>
    <row r="141" spans="2:4">
      <c r="B141">
        <v>140</v>
      </c>
      <c r="C141">
        <v>140</v>
      </c>
      <c r="D141">
        <v>140</v>
      </c>
    </row>
    <row r="142" spans="2:4">
      <c r="B142">
        <v>141</v>
      </c>
      <c r="C142">
        <v>141</v>
      </c>
      <c r="D142">
        <v>141</v>
      </c>
    </row>
    <row r="143" spans="2:4">
      <c r="B143">
        <v>142</v>
      </c>
      <c r="C143">
        <v>142</v>
      </c>
      <c r="D143">
        <v>142</v>
      </c>
    </row>
    <row r="144" spans="2:4">
      <c r="B144">
        <v>143</v>
      </c>
      <c r="C144">
        <v>143</v>
      </c>
      <c r="D144">
        <v>143</v>
      </c>
    </row>
    <row r="145" spans="2:4">
      <c r="B145">
        <v>144</v>
      </c>
      <c r="C145">
        <v>144</v>
      </c>
      <c r="D145">
        <v>144</v>
      </c>
    </row>
    <row r="146" spans="2:4">
      <c r="B146">
        <v>145</v>
      </c>
      <c r="C146">
        <v>145</v>
      </c>
      <c r="D146">
        <v>145</v>
      </c>
    </row>
    <row r="147" spans="2:4">
      <c r="B147">
        <v>146</v>
      </c>
      <c r="C147">
        <v>146</v>
      </c>
      <c r="D147">
        <v>146</v>
      </c>
    </row>
    <row r="148" spans="2:4">
      <c r="B148">
        <v>147</v>
      </c>
      <c r="C148">
        <v>147</v>
      </c>
      <c r="D148">
        <v>147</v>
      </c>
    </row>
    <row r="149" spans="2:4">
      <c r="B149">
        <v>148</v>
      </c>
      <c r="C149">
        <v>148</v>
      </c>
      <c r="D149">
        <v>148</v>
      </c>
    </row>
    <row r="150" spans="2:4">
      <c r="B150">
        <v>149</v>
      </c>
      <c r="C150">
        <v>149</v>
      </c>
      <c r="D150">
        <v>149</v>
      </c>
    </row>
    <row r="151" spans="2:4">
      <c r="B151">
        <v>150</v>
      </c>
      <c r="C151">
        <v>150</v>
      </c>
      <c r="D151">
        <v>150</v>
      </c>
    </row>
    <row r="152" spans="2:4">
      <c r="B152">
        <v>151</v>
      </c>
      <c r="C152">
        <v>151</v>
      </c>
      <c r="D152">
        <v>151</v>
      </c>
    </row>
    <row r="153" spans="2:4">
      <c r="B153">
        <v>152</v>
      </c>
      <c r="C153">
        <v>152</v>
      </c>
      <c r="D153">
        <v>152</v>
      </c>
    </row>
    <row r="154" spans="2:4">
      <c r="B154">
        <v>153</v>
      </c>
      <c r="C154">
        <v>153</v>
      </c>
      <c r="D154">
        <v>153</v>
      </c>
    </row>
    <row r="155" spans="2:4">
      <c r="B155">
        <v>154</v>
      </c>
      <c r="C155">
        <v>154</v>
      </c>
      <c r="D155">
        <v>154</v>
      </c>
    </row>
    <row r="156" spans="2:4">
      <c r="B156">
        <v>155</v>
      </c>
      <c r="C156">
        <v>155</v>
      </c>
      <c r="D156">
        <v>155</v>
      </c>
    </row>
    <row r="157" spans="2:4">
      <c r="B157">
        <v>156</v>
      </c>
      <c r="C157">
        <v>156</v>
      </c>
      <c r="D157">
        <v>156</v>
      </c>
    </row>
    <row r="158" spans="2:4">
      <c r="B158">
        <v>157</v>
      </c>
      <c r="C158">
        <v>157</v>
      </c>
      <c r="D158">
        <v>157</v>
      </c>
    </row>
    <row r="159" spans="2:4">
      <c r="B159">
        <v>158</v>
      </c>
      <c r="C159">
        <v>158</v>
      </c>
      <c r="D159">
        <v>158</v>
      </c>
    </row>
    <row r="160" spans="2:4">
      <c r="B160">
        <v>159</v>
      </c>
      <c r="C160">
        <v>159</v>
      </c>
      <c r="D160">
        <v>159</v>
      </c>
    </row>
    <row r="161" spans="2:4">
      <c r="B161">
        <v>160</v>
      </c>
      <c r="C161">
        <v>160</v>
      </c>
      <c r="D161">
        <v>160</v>
      </c>
    </row>
    <row r="162" spans="2:4">
      <c r="B162">
        <v>161</v>
      </c>
      <c r="C162">
        <v>161</v>
      </c>
      <c r="D162">
        <v>161</v>
      </c>
    </row>
    <row r="163" spans="2:4">
      <c r="B163">
        <v>162</v>
      </c>
      <c r="C163">
        <v>162</v>
      </c>
      <c r="D163">
        <v>162</v>
      </c>
    </row>
    <row r="164" spans="2:4">
      <c r="B164">
        <v>163</v>
      </c>
      <c r="C164">
        <v>163</v>
      </c>
      <c r="D164">
        <v>163</v>
      </c>
    </row>
    <row r="165" spans="2:4">
      <c r="B165">
        <v>164</v>
      </c>
      <c r="C165">
        <v>164</v>
      </c>
      <c r="D165">
        <v>164</v>
      </c>
    </row>
    <row r="166" spans="2:4">
      <c r="B166">
        <v>165</v>
      </c>
      <c r="C166">
        <v>165</v>
      </c>
      <c r="D166">
        <v>165</v>
      </c>
    </row>
    <row r="167" spans="2:4">
      <c r="B167">
        <v>166</v>
      </c>
      <c r="C167">
        <v>166</v>
      </c>
      <c r="D167">
        <v>166</v>
      </c>
    </row>
    <row r="168" spans="2:4">
      <c r="B168">
        <v>167</v>
      </c>
      <c r="C168">
        <v>167</v>
      </c>
      <c r="D168">
        <v>167</v>
      </c>
    </row>
    <row r="169" spans="2:4">
      <c r="B169">
        <v>168</v>
      </c>
      <c r="C169">
        <v>168</v>
      </c>
      <c r="D169">
        <v>168</v>
      </c>
    </row>
    <row r="170" spans="2:4">
      <c r="B170">
        <v>169</v>
      </c>
      <c r="C170">
        <v>169</v>
      </c>
      <c r="D170">
        <v>169</v>
      </c>
    </row>
    <row r="171" spans="2:4">
      <c r="B171">
        <v>170</v>
      </c>
      <c r="C171">
        <v>170</v>
      </c>
      <c r="D171">
        <v>170</v>
      </c>
    </row>
    <row r="172" spans="2:4">
      <c r="B172">
        <v>171</v>
      </c>
      <c r="C172">
        <v>171</v>
      </c>
      <c r="D172">
        <v>171</v>
      </c>
    </row>
    <row r="173" spans="2:4">
      <c r="B173">
        <v>172</v>
      </c>
      <c r="C173">
        <v>172</v>
      </c>
      <c r="D173">
        <v>172</v>
      </c>
    </row>
    <row r="174" spans="2:4">
      <c r="B174">
        <v>173</v>
      </c>
      <c r="C174">
        <v>173</v>
      </c>
      <c r="D174">
        <v>173</v>
      </c>
    </row>
    <row r="175" spans="2:4">
      <c r="B175">
        <v>174</v>
      </c>
      <c r="C175">
        <v>174</v>
      </c>
      <c r="D175">
        <v>174</v>
      </c>
    </row>
    <row r="176" spans="2:4">
      <c r="B176">
        <v>175</v>
      </c>
      <c r="C176">
        <v>175</v>
      </c>
      <c r="D176">
        <v>175</v>
      </c>
    </row>
    <row r="177" spans="2:4">
      <c r="B177">
        <v>176</v>
      </c>
      <c r="C177">
        <v>176</v>
      </c>
      <c r="D177">
        <v>176</v>
      </c>
    </row>
    <row r="178" spans="2:4">
      <c r="B178">
        <v>177</v>
      </c>
      <c r="C178">
        <v>177</v>
      </c>
      <c r="D178">
        <v>177</v>
      </c>
    </row>
    <row r="179" spans="2:4">
      <c r="B179">
        <v>178</v>
      </c>
      <c r="C179">
        <v>178</v>
      </c>
      <c r="D179">
        <v>178</v>
      </c>
    </row>
    <row r="180" spans="2:4">
      <c r="B180">
        <v>179</v>
      </c>
      <c r="C180">
        <v>179</v>
      </c>
      <c r="D180">
        <v>179</v>
      </c>
    </row>
    <row r="181" spans="2:4">
      <c r="B181">
        <v>180</v>
      </c>
      <c r="C181">
        <v>180</v>
      </c>
      <c r="D181">
        <v>180</v>
      </c>
    </row>
    <row r="182" spans="2:4">
      <c r="B182">
        <v>181</v>
      </c>
      <c r="C182">
        <v>181</v>
      </c>
      <c r="D182">
        <v>181</v>
      </c>
    </row>
    <row r="183" spans="2:4">
      <c r="B183">
        <v>182</v>
      </c>
      <c r="C183">
        <v>182</v>
      </c>
      <c r="D183">
        <v>182</v>
      </c>
    </row>
    <row r="184" spans="2:4">
      <c r="B184">
        <v>183</v>
      </c>
      <c r="C184">
        <v>183</v>
      </c>
      <c r="D184">
        <v>183</v>
      </c>
    </row>
    <row r="185" spans="2:4">
      <c r="B185">
        <v>184</v>
      </c>
      <c r="C185">
        <v>184</v>
      </c>
      <c r="D185">
        <v>184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91074-2577-4952-B589-7614F15F9806}">
  <sheetPr>
    <pageSetUpPr fitToPage="1"/>
  </sheetPr>
  <dimension ref="A1:AF238"/>
  <sheetViews>
    <sheetView topLeftCell="A144" zoomScaleNormal="100" zoomScaleSheetLayoutView="85" workbookViewId="0">
      <selection activeCell="Q226" sqref="Q226"/>
    </sheetView>
  </sheetViews>
  <sheetFormatPr defaultColWidth="9.140625" defaultRowHeight="12.75" outlineLevelRow="1"/>
  <cols>
    <col min="1" max="1" width="6.7109375" style="168" customWidth="1"/>
    <col min="2" max="2" width="30.7109375" style="101" bestFit="1" customWidth="1"/>
    <col min="3" max="3" width="34.7109375" style="101" bestFit="1" customWidth="1"/>
    <col min="4" max="4" width="8.140625" style="101" bestFit="1" customWidth="1"/>
    <col min="5" max="5" width="10.85546875" style="101" bestFit="1" customWidth="1"/>
    <col min="6" max="6" width="9" style="101" customWidth="1"/>
    <col min="7" max="7" width="7.7109375" style="101" customWidth="1"/>
    <col min="8" max="8" width="8.7109375" style="101" customWidth="1"/>
    <col min="9" max="9" width="9.42578125" style="101" customWidth="1"/>
    <col min="10" max="10" width="9" style="101" bestFit="1" customWidth="1"/>
    <col min="11" max="11" width="8.7109375" style="101" customWidth="1"/>
    <col min="12" max="12" width="9.7109375" style="101" customWidth="1"/>
    <col min="13" max="13" width="10.42578125" style="101" hidden="1" customWidth="1"/>
    <col min="14" max="14" width="8.140625" style="101" hidden="1" customWidth="1"/>
    <col min="15" max="18" width="0" style="101" hidden="1" customWidth="1"/>
    <col min="19" max="16384" width="9.140625" style="101"/>
  </cols>
  <sheetData>
    <row r="1" spans="1:24" ht="15.75">
      <c r="A1" s="507" t="s">
        <v>244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</row>
    <row r="2" spans="1:24" ht="15.75">
      <c r="A2" s="507" t="s">
        <v>899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</row>
    <row r="3" spans="1:24" ht="10.5" customHeight="1" thickBot="1">
      <c r="A3" s="101"/>
    </row>
    <row r="4" spans="1:24" s="163" customFormat="1" ht="14.45" customHeight="1">
      <c r="A4" s="395" t="s">
        <v>245</v>
      </c>
      <c r="B4" s="514" t="s">
        <v>254</v>
      </c>
      <c r="C4" s="514" t="s">
        <v>255</v>
      </c>
      <c r="D4" s="396" t="s">
        <v>246</v>
      </c>
      <c r="E4" s="397" t="s">
        <v>247</v>
      </c>
      <c r="F4" s="516" t="s">
        <v>900</v>
      </c>
      <c r="G4" s="517"/>
      <c r="H4" s="517"/>
      <c r="I4" s="517"/>
      <c r="J4" s="517"/>
      <c r="K4" s="517"/>
      <c r="L4" s="518" t="s">
        <v>901</v>
      </c>
      <c r="M4" s="448" t="s">
        <v>248</v>
      </c>
      <c r="N4" s="449"/>
      <c r="O4" s="450"/>
      <c r="P4" s="450"/>
      <c r="Q4" s="449"/>
      <c r="R4" s="449"/>
      <c r="S4" s="448" t="s">
        <v>249</v>
      </c>
      <c r="T4" s="449"/>
      <c r="U4" s="450"/>
      <c r="V4" s="450"/>
      <c r="W4" s="451"/>
      <c r="X4" s="452"/>
    </row>
    <row r="5" spans="1:24" s="163" customFormat="1" ht="13.5" thickBot="1">
      <c r="A5" s="398" t="s">
        <v>253</v>
      </c>
      <c r="B5" s="515"/>
      <c r="C5" s="515"/>
      <c r="D5" s="399" t="s">
        <v>256</v>
      </c>
      <c r="E5" s="400" t="s">
        <v>257</v>
      </c>
      <c r="F5" s="401">
        <v>2017</v>
      </c>
      <c r="G5" s="402">
        <v>2018</v>
      </c>
      <c r="H5" s="402">
        <v>2019</v>
      </c>
      <c r="I5" s="402">
        <v>2020</v>
      </c>
      <c r="J5" s="402">
        <v>2021</v>
      </c>
      <c r="K5" s="402">
        <v>2022</v>
      </c>
      <c r="L5" s="519"/>
      <c r="M5" s="401" t="s">
        <v>258</v>
      </c>
      <c r="N5" s="402" t="s">
        <v>259</v>
      </c>
      <c r="O5" s="402" t="s">
        <v>260</v>
      </c>
      <c r="P5" s="402" t="s">
        <v>261</v>
      </c>
      <c r="Q5" s="402" t="s">
        <v>1093</v>
      </c>
      <c r="R5" s="402" t="s">
        <v>5</v>
      </c>
      <c r="S5" s="401" t="s">
        <v>258</v>
      </c>
      <c r="T5" s="402" t="s">
        <v>259</v>
      </c>
      <c r="U5" s="402" t="s">
        <v>260</v>
      </c>
      <c r="V5" s="402" t="s">
        <v>261</v>
      </c>
      <c r="W5" s="402" t="s">
        <v>1093</v>
      </c>
      <c r="X5" s="453" t="s">
        <v>5</v>
      </c>
    </row>
    <row r="6" spans="1:24" s="162" customFormat="1" ht="18.95" customHeight="1">
      <c r="A6" s="403">
        <v>1</v>
      </c>
      <c r="B6" s="404" t="s">
        <v>515</v>
      </c>
      <c r="C6" s="404" t="s">
        <v>902</v>
      </c>
      <c r="D6" s="405">
        <v>44595</v>
      </c>
      <c r="E6" s="406" t="s">
        <v>267</v>
      </c>
      <c r="F6" s="407">
        <v>3831</v>
      </c>
      <c r="G6" s="408">
        <v>3953</v>
      </c>
      <c r="H6" s="409">
        <v>4453</v>
      </c>
      <c r="I6" s="410">
        <v>3699</v>
      </c>
      <c r="J6" s="410" t="s">
        <v>243</v>
      </c>
      <c r="K6" s="392">
        <v>3976</v>
      </c>
      <c r="L6" s="411">
        <v>7.4885104082184378E-2</v>
      </c>
      <c r="M6" s="454">
        <v>0.45833333333333331</v>
      </c>
      <c r="N6" s="409">
        <v>334</v>
      </c>
      <c r="O6" s="409">
        <v>166</v>
      </c>
      <c r="P6" s="409">
        <v>168</v>
      </c>
      <c r="Q6" s="455">
        <v>8.400402414486921E-2</v>
      </c>
      <c r="R6" s="456">
        <v>0.50299401197604787</v>
      </c>
      <c r="S6" s="457">
        <v>0.5</v>
      </c>
      <c r="T6" s="409">
        <v>396</v>
      </c>
      <c r="U6" s="409">
        <v>199</v>
      </c>
      <c r="V6" s="409">
        <v>197</v>
      </c>
      <c r="W6" s="455">
        <v>9.9597585513078471E-2</v>
      </c>
      <c r="X6" s="456">
        <v>0.50252525252525249</v>
      </c>
    </row>
    <row r="7" spans="1:24" s="162" customFormat="1" ht="18.95" customHeight="1">
      <c r="A7" s="125">
        <v>2</v>
      </c>
      <c r="B7" s="412" t="s">
        <v>903</v>
      </c>
      <c r="C7" s="412" t="s">
        <v>904</v>
      </c>
      <c r="D7" s="17">
        <v>44581</v>
      </c>
      <c r="E7" s="127" t="s">
        <v>267</v>
      </c>
      <c r="F7" s="413">
        <v>12768</v>
      </c>
      <c r="G7" s="414">
        <v>12033</v>
      </c>
      <c r="H7" s="415">
        <v>10981</v>
      </c>
      <c r="I7" s="416">
        <v>10758</v>
      </c>
      <c r="J7" s="416" t="s">
        <v>243</v>
      </c>
      <c r="K7" s="417">
        <v>8045</v>
      </c>
      <c r="L7" s="418">
        <v>-0.25218442089607734</v>
      </c>
      <c r="M7" s="21">
        <v>0.45833333333333331</v>
      </c>
      <c r="N7" s="415">
        <v>747</v>
      </c>
      <c r="O7" s="415">
        <v>362</v>
      </c>
      <c r="P7" s="415">
        <v>385</v>
      </c>
      <c r="Q7" s="458">
        <v>9.2852703542573023E-2</v>
      </c>
      <c r="R7" s="459">
        <v>0.5153949129852744</v>
      </c>
      <c r="S7" s="460">
        <v>0.5</v>
      </c>
      <c r="T7" s="415">
        <v>789</v>
      </c>
      <c r="U7" s="415">
        <v>389</v>
      </c>
      <c r="V7" s="415">
        <v>400</v>
      </c>
      <c r="W7" s="458">
        <v>9.8073337476693598E-2</v>
      </c>
      <c r="X7" s="459">
        <v>0.50697084917617241</v>
      </c>
    </row>
    <row r="8" spans="1:24" s="162" customFormat="1" ht="18.95" customHeight="1">
      <c r="A8" s="125">
        <v>3</v>
      </c>
      <c r="B8" s="412" t="s">
        <v>903</v>
      </c>
      <c r="C8" s="412" t="s">
        <v>905</v>
      </c>
      <c r="D8" s="17">
        <v>44581</v>
      </c>
      <c r="E8" s="127" t="s">
        <v>267</v>
      </c>
      <c r="F8" s="413">
        <v>10578</v>
      </c>
      <c r="G8" s="414">
        <v>11262</v>
      </c>
      <c r="H8" s="415">
        <v>10453</v>
      </c>
      <c r="I8" s="416">
        <v>10139</v>
      </c>
      <c r="J8" s="416" t="s">
        <v>243</v>
      </c>
      <c r="K8" s="417">
        <v>9416</v>
      </c>
      <c r="L8" s="418">
        <v>-7.1308807574711516E-2</v>
      </c>
      <c r="M8" s="21">
        <v>0.45833333333333331</v>
      </c>
      <c r="N8" s="415">
        <v>871</v>
      </c>
      <c r="O8" s="415">
        <v>449</v>
      </c>
      <c r="P8" s="415">
        <v>422</v>
      </c>
      <c r="Q8" s="458">
        <v>9.2502124044180123E-2</v>
      </c>
      <c r="R8" s="459">
        <v>0.51549942594718712</v>
      </c>
      <c r="S8" s="460">
        <v>0.5</v>
      </c>
      <c r="T8" s="415">
        <v>927</v>
      </c>
      <c r="U8" s="415">
        <v>492</v>
      </c>
      <c r="V8" s="415">
        <v>435</v>
      </c>
      <c r="W8" s="458">
        <v>9.8449447748513164E-2</v>
      </c>
      <c r="X8" s="459">
        <v>0.53074433656957931</v>
      </c>
    </row>
    <row r="9" spans="1:24" s="162" customFormat="1" ht="18.95" customHeight="1">
      <c r="A9" s="125">
        <v>4</v>
      </c>
      <c r="B9" s="412" t="s">
        <v>903</v>
      </c>
      <c r="C9" s="412" t="s">
        <v>906</v>
      </c>
      <c r="D9" s="17">
        <v>44581</v>
      </c>
      <c r="E9" s="127" t="s">
        <v>267</v>
      </c>
      <c r="F9" s="413">
        <v>4034</v>
      </c>
      <c r="G9" s="414">
        <v>3840</v>
      </c>
      <c r="H9" s="415">
        <v>3543</v>
      </c>
      <c r="I9" s="416">
        <v>3797</v>
      </c>
      <c r="J9" s="416" t="s">
        <v>243</v>
      </c>
      <c r="K9" s="417">
        <v>3848</v>
      </c>
      <c r="L9" s="418">
        <v>1.3431656570977087E-2</v>
      </c>
      <c r="M9" s="21">
        <v>0.45833333333333331</v>
      </c>
      <c r="N9" s="415">
        <v>351</v>
      </c>
      <c r="O9" s="415">
        <v>170</v>
      </c>
      <c r="P9" s="415">
        <v>181</v>
      </c>
      <c r="Q9" s="458">
        <v>9.1216216216216214E-2</v>
      </c>
      <c r="R9" s="459">
        <v>0.51566951566951569</v>
      </c>
      <c r="S9" s="460">
        <v>0.625</v>
      </c>
      <c r="T9" s="415">
        <v>379</v>
      </c>
      <c r="U9" s="415">
        <v>192</v>
      </c>
      <c r="V9" s="415">
        <v>187</v>
      </c>
      <c r="W9" s="458">
        <v>9.8492723492723491E-2</v>
      </c>
      <c r="X9" s="459">
        <v>0.50659630606860162</v>
      </c>
    </row>
    <row r="10" spans="1:24" s="162" customFormat="1" ht="18.95" customHeight="1">
      <c r="A10" s="125">
        <v>5</v>
      </c>
      <c r="B10" s="412" t="s">
        <v>903</v>
      </c>
      <c r="C10" s="412" t="s">
        <v>907</v>
      </c>
      <c r="D10" s="17">
        <v>44595</v>
      </c>
      <c r="E10" s="127" t="s">
        <v>267</v>
      </c>
      <c r="F10" s="413">
        <v>5741</v>
      </c>
      <c r="G10" s="414">
        <v>5439</v>
      </c>
      <c r="H10" s="415">
        <v>5423</v>
      </c>
      <c r="I10" s="416">
        <v>5848</v>
      </c>
      <c r="J10" s="416" t="s">
        <v>243</v>
      </c>
      <c r="K10" s="417">
        <v>4706</v>
      </c>
      <c r="L10" s="418">
        <v>-0.19528043775649795</v>
      </c>
      <c r="M10" s="21">
        <v>0.45833333333333331</v>
      </c>
      <c r="N10" s="415">
        <v>455</v>
      </c>
      <c r="O10" s="415">
        <v>234</v>
      </c>
      <c r="P10" s="415">
        <v>221</v>
      </c>
      <c r="Q10" s="458">
        <v>9.668508287292818E-2</v>
      </c>
      <c r="R10" s="459">
        <v>0.51428571428571423</v>
      </c>
      <c r="S10" s="460">
        <v>0.5</v>
      </c>
      <c r="T10" s="415">
        <v>499</v>
      </c>
      <c r="U10" s="415">
        <v>241</v>
      </c>
      <c r="V10" s="415">
        <v>258</v>
      </c>
      <c r="W10" s="458">
        <v>0.10603484912877179</v>
      </c>
      <c r="X10" s="459">
        <v>0.51703406813627251</v>
      </c>
    </row>
    <row r="11" spans="1:24" s="162" customFormat="1" ht="18.95" customHeight="1">
      <c r="A11" s="125">
        <v>6</v>
      </c>
      <c r="B11" s="412" t="s">
        <v>908</v>
      </c>
      <c r="C11" s="412" t="s">
        <v>909</v>
      </c>
      <c r="D11" s="17">
        <v>44574</v>
      </c>
      <c r="E11" s="127" t="s">
        <v>267</v>
      </c>
      <c r="F11" s="413">
        <v>9035</v>
      </c>
      <c r="G11" s="414">
        <v>8960</v>
      </c>
      <c r="H11" s="415">
        <v>11502</v>
      </c>
      <c r="I11" s="416">
        <v>9193</v>
      </c>
      <c r="J11" s="416" t="s">
        <v>243</v>
      </c>
      <c r="K11" s="417">
        <v>9830</v>
      </c>
      <c r="L11" s="418">
        <v>6.9291852496464704E-2</v>
      </c>
      <c r="M11" s="21">
        <v>0.4375</v>
      </c>
      <c r="N11" s="415">
        <v>838</v>
      </c>
      <c r="O11" s="415">
        <v>456</v>
      </c>
      <c r="P11" s="415">
        <v>382</v>
      </c>
      <c r="Q11" s="458">
        <v>8.5249237029501532E-2</v>
      </c>
      <c r="R11" s="459">
        <v>0.54415274463007157</v>
      </c>
      <c r="S11" s="460">
        <v>0.60416666666666663</v>
      </c>
      <c r="T11" s="416">
        <v>1061</v>
      </c>
      <c r="U11" s="415">
        <v>531</v>
      </c>
      <c r="V11" s="415">
        <v>530</v>
      </c>
      <c r="W11" s="458">
        <v>0.10793489318413022</v>
      </c>
      <c r="X11" s="459">
        <v>0.50047125353440147</v>
      </c>
    </row>
    <row r="12" spans="1:24" s="162" customFormat="1" ht="18.95" customHeight="1">
      <c r="A12" s="125">
        <v>7</v>
      </c>
      <c r="B12" s="412" t="s">
        <v>908</v>
      </c>
      <c r="C12" s="412" t="s">
        <v>910</v>
      </c>
      <c r="D12" s="17">
        <v>44581</v>
      </c>
      <c r="E12" s="127" t="s">
        <v>267</v>
      </c>
      <c r="F12" s="413">
        <v>5847</v>
      </c>
      <c r="G12" s="414">
        <v>7948</v>
      </c>
      <c r="H12" s="415">
        <v>7855</v>
      </c>
      <c r="I12" s="416">
        <v>7909</v>
      </c>
      <c r="J12" s="416" t="s">
        <v>243</v>
      </c>
      <c r="K12" s="417">
        <v>7685</v>
      </c>
      <c r="L12" s="418">
        <v>-2.8322164622581868E-2</v>
      </c>
      <c r="M12" s="21">
        <v>0.45833333333333331</v>
      </c>
      <c r="N12" s="415">
        <v>749</v>
      </c>
      <c r="O12" s="415">
        <v>405</v>
      </c>
      <c r="P12" s="415">
        <v>344</v>
      </c>
      <c r="Q12" s="458">
        <v>9.7462589459986981E-2</v>
      </c>
      <c r="R12" s="459">
        <v>0.54072096128170899</v>
      </c>
      <c r="S12" s="460">
        <v>0.55208333333333337</v>
      </c>
      <c r="T12" s="415">
        <v>796</v>
      </c>
      <c r="U12" s="415">
        <v>436</v>
      </c>
      <c r="V12" s="415">
        <v>360</v>
      </c>
      <c r="W12" s="458">
        <v>0.10357839947950553</v>
      </c>
      <c r="X12" s="459">
        <v>0.54773869346733672</v>
      </c>
    </row>
    <row r="13" spans="1:24" s="162" customFormat="1" ht="18.95" customHeight="1">
      <c r="A13" s="125">
        <v>8</v>
      </c>
      <c r="B13" s="412" t="s">
        <v>911</v>
      </c>
      <c r="C13" s="412" t="s">
        <v>912</v>
      </c>
      <c r="D13" s="17">
        <v>44581</v>
      </c>
      <c r="E13" s="127" t="s">
        <v>267</v>
      </c>
      <c r="F13" s="413">
        <v>4479</v>
      </c>
      <c r="G13" s="414">
        <v>4267</v>
      </c>
      <c r="H13" s="415">
        <v>4349</v>
      </c>
      <c r="I13" s="416">
        <v>4585</v>
      </c>
      <c r="J13" s="416" t="s">
        <v>243</v>
      </c>
      <c r="K13" s="417">
        <v>4689</v>
      </c>
      <c r="L13" s="418">
        <v>2.2682660850599782E-2</v>
      </c>
      <c r="M13" s="21">
        <v>0.45833333333333331</v>
      </c>
      <c r="N13" s="415">
        <v>446</v>
      </c>
      <c r="O13" s="415">
        <v>266</v>
      </c>
      <c r="P13" s="415">
        <v>180</v>
      </c>
      <c r="Q13" s="458">
        <v>9.5116229473235225E-2</v>
      </c>
      <c r="R13" s="459">
        <v>0.5964125560538116</v>
      </c>
      <c r="S13" s="460">
        <v>0.5</v>
      </c>
      <c r="T13" s="415">
        <v>461</v>
      </c>
      <c r="U13" s="415">
        <v>243</v>
      </c>
      <c r="V13" s="415">
        <v>218</v>
      </c>
      <c r="W13" s="458">
        <v>9.8315205800810407E-2</v>
      </c>
      <c r="X13" s="459">
        <v>0.52711496746203901</v>
      </c>
    </row>
    <row r="14" spans="1:24" s="162" customFormat="1" ht="18.95" customHeight="1">
      <c r="A14" s="125">
        <v>9</v>
      </c>
      <c r="B14" s="412" t="s">
        <v>911</v>
      </c>
      <c r="C14" s="412" t="s">
        <v>913</v>
      </c>
      <c r="D14" s="17">
        <v>44595</v>
      </c>
      <c r="E14" s="127" t="s">
        <v>267</v>
      </c>
      <c r="F14" s="413">
        <v>4326</v>
      </c>
      <c r="G14" s="414">
        <v>4562</v>
      </c>
      <c r="H14" s="415">
        <v>3804</v>
      </c>
      <c r="I14" s="416">
        <v>5757</v>
      </c>
      <c r="J14" s="416" t="s">
        <v>243</v>
      </c>
      <c r="K14" s="417">
        <v>5040</v>
      </c>
      <c r="L14" s="418">
        <v>-0.12454403335070349</v>
      </c>
      <c r="M14" s="21">
        <v>0.45833333333333331</v>
      </c>
      <c r="N14" s="415">
        <v>548</v>
      </c>
      <c r="O14" s="415">
        <v>305</v>
      </c>
      <c r="P14" s="415">
        <v>243</v>
      </c>
      <c r="Q14" s="458">
        <v>0.10873015873015873</v>
      </c>
      <c r="R14" s="459">
        <v>0.55656934306569339</v>
      </c>
      <c r="S14" s="460">
        <v>0.51041666666666663</v>
      </c>
      <c r="T14" s="415">
        <v>487</v>
      </c>
      <c r="U14" s="415">
        <v>260</v>
      </c>
      <c r="V14" s="415">
        <v>227</v>
      </c>
      <c r="W14" s="458">
        <v>9.6626984126984131E-2</v>
      </c>
      <c r="X14" s="459">
        <v>0.53388090349075978</v>
      </c>
    </row>
    <row r="15" spans="1:24" s="162" customFormat="1" ht="18.95" customHeight="1">
      <c r="A15" s="125">
        <v>10</v>
      </c>
      <c r="B15" s="412" t="s">
        <v>914</v>
      </c>
      <c r="C15" s="412" t="s">
        <v>915</v>
      </c>
      <c r="D15" s="17">
        <v>44574</v>
      </c>
      <c r="E15" s="127" t="s">
        <v>267</v>
      </c>
      <c r="F15" s="413">
        <v>11254</v>
      </c>
      <c r="G15" s="414">
        <v>10695</v>
      </c>
      <c r="H15" s="415">
        <v>10612</v>
      </c>
      <c r="I15" s="416">
        <v>11004</v>
      </c>
      <c r="J15" s="416" t="s">
        <v>243</v>
      </c>
      <c r="K15" s="417">
        <v>9956</v>
      </c>
      <c r="L15" s="418">
        <v>-9.5238095238095233E-2</v>
      </c>
      <c r="M15" s="21">
        <v>0.45833333333333331</v>
      </c>
      <c r="N15" s="415">
        <v>960</v>
      </c>
      <c r="O15" s="415">
        <v>480</v>
      </c>
      <c r="P15" s="415">
        <v>480</v>
      </c>
      <c r="Q15" s="458">
        <v>9.6424266773804737E-2</v>
      </c>
      <c r="R15" s="459">
        <v>0.5</v>
      </c>
      <c r="S15" s="460">
        <v>0.58333333333333337</v>
      </c>
      <c r="T15" s="415">
        <v>977</v>
      </c>
      <c r="U15" s="415">
        <v>429</v>
      </c>
      <c r="V15" s="415">
        <v>548</v>
      </c>
      <c r="W15" s="458">
        <v>9.8131779831257537E-2</v>
      </c>
      <c r="X15" s="459">
        <v>0.5609007164790174</v>
      </c>
    </row>
    <row r="16" spans="1:24" s="162" customFormat="1" ht="18.95" customHeight="1">
      <c r="A16" s="125">
        <v>11</v>
      </c>
      <c r="B16" s="412" t="s">
        <v>508</v>
      </c>
      <c r="C16" s="412" t="s">
        <v>507</v>
      </c>
      <c r="D16" s="17">
        <v>44581</v>
      </c>
      <c r="E16" s="127" t="s">
        <v>267</v>
      </c>
      <c r="F16" s="413">
        <v>4697</v>
      </c>
      <c r="G16" s="414">
        <v>4962</v>
      </c>
      <c r="H16" s="415">
        <v>5432</v>
      </c>
      <c r="I16" s="416">
        <v>4701</v>
      </c>
      <c r="J16" s="416" t="s">
        <v>243</v>
      </c>
      <c r="K16" s="417">
        <v>5707</v>
      </c>
      <c r="L16" s="418">
        <v>0.21399702191023187</v>
      </c>
      <c r="M16" s="21">
        <v>0.44791666666666669</v>
      </c>
      <c r="N16" s="415">
        <v>665</v>
      </c>
      <c r="O16" s="415">
        <v>324</v>
      </c>
      <c r="P16" s="415">
        <v>341</v>
      </c>
      <c r="Q16" s="458">
        <v>0.1165235675486245</v>
      </c>
      <c r="R16" s="459">
        <v>0.51278195488721801</v>
      </c>
      <c r="S16" s="460">
        <v>0.54166666666666663</v>
      </c>
      <c r="T16" s="415">
        <v>620</v>
      </c>
      <c r="U16" s="415">
        <v>280</v>
      </c>
      <c r="V16" s="415">
        <v>340</v>
      </c>
      <c r="W16" s="458">
        <v>0.10863851410548449</v>
      </c>
      <c r="X16" s="459">
        <v>0.54838709677419351</v>
      </c>
    </row>
    <row r="17" spans="1:24" s="162" customFormat="1" ht="18.95" customHeight="1">
      <c r="A17" s="125">
        <v>12</v>
      </c>
      <c r="B17" s="412" t="s">
        <v>916</v>
      </c>
      <c r="C17" s="412" t="s">
        <v>917</v>
      </c>
      <c r="D17" s="17">
        <v>44588</v>
      </c>
      <c r="E17" s="127" t="s">
        <v>267</v>
      </c>
      <c r="F17" s="413">
        <v>1372</v>
      </c>
      <c r="G17" s="414">
        <v>1075</v>
      </c>
      <c r="H17" s="415">
        <v>1298</v>
      </c>
      <c r="I17" s="416">
        <v>1522</v>
      </c>
      <c r="J17" s="416" t="s">
        <v>243</v>
      </c>
      <c r="K17" s="417">
        <v>1599</v>
      </c>
      <c r="L17" s="418">
        <v>5.059132720105125E-2</v>
      </c>
      <c r="M17" s="21">
        <v>0.29166666666666669</v>
      </c>
      <c r="N17" s="415">
        <v>133</v>
      </c>
      <c r="O17" s="415">
        <v>90</v>
      </c>
      <c r="P17" s="415">
        <v>43</v>
      </c>
      <c r="Q17" s="458">
        <v>8.3176985616010002E-2</v>
      </c>
      <c r="R17" s="459">
        <v>0.67669172932330823</v>
      </c>
      <c r="S17" s="460">
        <v>0.70833333333333337</v>
      </c>
      <c r="T17" s="415">
        <v>168</v>
      </c>
      <c r="U17" s="415">
        <v>65</v>
      </c>
      <c r="V17" s="415">
        <v>103</v>
      </c>
      <c r="W17" s="458">
        <v>0.1050656660412758</v>
      </c>
      <c r="X17" s="459">
        <v>0.61309523809523814</v>
      </c>
    </row>
    <row r="18" spans="1:24" s="162" customFormat="1" ht="18.95" customHeight="1">
      <c r="A18" s="125">
        <v>13</v>
      </c>
      <c r="B18" s="412" t="s">
        <v>916</v>
      </c>
      <c r="C18" s="412" t="s">
        <v>918</v>
      </c>
      <c r="D18" s="17">
        <v>44595</v>
      </c>
      <c r="E18" s="127" t="s">
        <v>267</v>
      </c>
      <c r="F18" s="413" t="s">
        <v>243</v>
      </c>
      <c r="G18" s="414" t="s">
        <v>243</v>
      </c>
      <c r="H18" s="415" t="s">
        <v>243</v>
      </c>
      <c r="I18" s="416" t="s">
        <v>243</v>
      </c>
      <c r="J18" s="416" t="s">
        <v>243</v>
      </c>
      <c r="K18" s="417">
        <v>7827</v>
      </c>
      <c r="L18" s="418" t="s">
        <v>243</v>
      </c>
      <c r="M18" s="21">
        <v>0.45833333333333331</v>
      </c>
      <c r="N18" s="415">
        <v>704</v>
      </c>
      <c r="O18" s="415">
        <v>314</v>
      </c>
      <c r="P18" s="415">
        <v>390</v>
      </c>
      <c r="Q18" s="458">
        <v>8.9945061964992967E-2</v>
      </c>
      <c r="R18" s="459">
        <v>0.55397727272727271</v>
      </c>
      <c r="S18" s="460">
        <v>0.58333333333333337</v>
      </c>
      <c r="T18" s="415">
        <v>681</v>
      </c>
      <c r="U18" s="415">
        <v>307</v>
      </c>
      <c r="V18" s="415">
        <v>374</v>
      </c>
      <c r="W18" s="458">
        <v>8.700651590647758E-2</v>
      </c>
      <c r="X18" s="459">
        <v>0.54919236417033779</v>
      </c>
    </row>
    <row r="19" spans="1:24" s="162" customFormat="1" ht="18.95" customHeight="1">
      <c r="A19" s="125">
        <v>14</v>
      </c>
      <c r="B19" s="412" t="s">
        <v>916</v>
      </c>
      <c r="C19" s="412" t="s">
        <v>919</v>
      </c>
      <c r="D19" s="17">
        <v>44595</v>
      </c>
      <c r="E19" s="127" t="s">
        <v>267</v>
      </c>
      <c r="F19" s="413" t="s">
        <v>243</v>
      </c>
      <c r="G19" s="414" t="s">
        <v>243</v>
      </c>
      <c r="H19" s="415" t="s">
        <v>243</v>
      </c>
      <c r="I19" s="416" t="s">
        <v>243</v>
      </c>
      <c r="J19" s="416" t="s">
        <v>243</v>
      </c>
      <c r="K19" s="417">
        <v>3155</v>
      </c>
      <c r="L19" s="418" t="s">
        <v>243</v>
      </c>
      <c r="M19" s="21">
        <v>0.45833333333333331</v>
      </c>
      <c r="N19" s="415">
        <v>244</v>
      </c>
      <c r="O19" s="415">
        <v>64</v>
      </c>
      <c r="P19" s="415">
        <v>180</v>
      </c>
      <c r="Q19" s="458">
        <v>7.7337559429477024E-2</v>
      </c>
      <c r="R19" s="459">
        <v>0.73770491803278693</v>
      </c>
      <c r="S19" s="460">
        <v>0.625</v>
      </c>
      <c r="T19" s="415">
        <v>293</v>
      </c>
      <c r="U19" s="415">
        <v>119</v>
      </c>
      <c r="V19" s="415">
        <v>174</v>
      </c>
      <c r="W19" s="458">
        <v>9.2868462757527734E-2</v>
      </c>
      <c r="X19" s="459">
        <v>0.59385665529010234</v>
      </c>
    </row>
    <row r="20" spans="1:24" s="162" customFormat="1" ht="18.95" customHeight="1">
      <c r="A20" s="125">
        <v>15</v>
      </c>
      <c r="B20" s="412" t="s">
        <v>916</v>
      </c>
      <c r="C20" s="412" t="s">
        <v>920</v>
      </c>
      <c r="D20" s="17">
        <v>44588</v>
      </c>
      <c r="E20" s="127" t="s">
        <v>267</v>
      </c>
      <c r="F20" s="413">
        <v>2787</v>
      </c>
      <c r="G20" s="414">
        <v>3141</v>
      </c>
      <c r="H20" s="415">
        <v>3032</v>
      </c>
      <c r="I20" s="416">
        <v>3161</v>
      </c>
      <c r="J20" s="416" t="s">
        <v>243</v>
      </c>
      <c r="K20" s="417">
        <v>3462</v>
      </c>
      <c r="L20" s="418">
        <v>9.5223030686491614E-2</v>
      </c>
      <c r="M20" s="21">
        <v>0.41666666666666669</v>
      </c>
      <c r="N20" s="415">
        <v>297</v>
      </c>
      <c r="O20" s="415">
        <v>164</v>
      </c>
      <c r="P20" s="415">
        <v>133</v>
      </c>
      <c r="Q20" s="458">
        <v>8.578856152512998E-2</v>
      </c>
      <c r="R20" s="459">
        <v>0.55218855218855223</v>
      </c>
      <c r="S20" s="460">
        <v>0.64583333333333337</v>
      </c>
      <c r="T20" s="415">
        <v>322</v>
      </c>
      <c r="U20" s="415">
        <v>178</v>
      </c>
      <c r="V20" s="415">
        <v>144</v>
      </c>
      <c r="W20" s="458">
        <v>9.3009820912767188E-2</v>
      </c>
      <c r="X20" s="459">
        <v>0.55279503105590067</v>
      </c>
    </row>
    <row r="21" spans="1:24" s="162" customFormat="1" ht="18.95" customHeight="1">
      <c r="A21" s="125">
        <v>16</v>
      </c>
      <c r="B21" s="412" t="s">
        <v>921</v>
      </c>
      <c r="C21" s="412" t="s">
        <v>922</v>
      </c>
      <c r="D21" s="17">
        <v>44588</v>
      </c>
      <c r="E21" s="127" t="s">
        <v>267</v>
      </c>
      <c r="F21" s="413">
        <v>1151</v>
      </c>
      <c r="G21" s="414">
        <v>802</v>
      </c>
      <c r="H21" s="415">
        <v>825</v>
      </c>
      <c r="I21" s="416">
        <v>776</v>
      </c>
      <c r="J21" s="416" t="s">
        <v>243</v>
      </c>
      <c r="K21" s="417">
        <v>844</v>
      </c>
      <c r="L21" s="418">
        <v>8.7628865979381437E-2</v>
      </c>
      <c r="M21" s="21">
        <v>0.30208333333333331</v>
      </c>
      <c r="N21" s="415">
        <v>98</v>
      </c>
      <c r="O21" s="415">
        <v>71</v>
      </c>
      <c r="P21" s="415">
        <v>27</v>
      </c>
      <c r="Q21" s="458">
        <v>0.11611374407582939</v>
      </c>
      <c r="R21" s="459">
        <v>0.72448979591836737</v>
      </c>
      <c r="S21" s="460">
        <v>0.6875</v>
      </c>
      <c r="T21" s="415">
        <v>91</v>
      </c>
      <c r="U21" s="415">
        <v>19</v>
      </c>
      <c r="V21" s="415">
        <v>72</v>
      </c>
      <c r="W21" s="458">
        <v>0.10781990521327015</v>
      </c>
      <c r="X21" s="459">
        <v>0.79120879120879117</v>
      </c>
    </row>
    <row r="22" spans="1:24" s="162" customFormat="1" ht="18.95" customHeight="1">
      <c r="A22" s="125">
        <v>17</v>
      </c>
      <c r="B22" s="412" t="s">
        <v>923</v>
      </c>
      <c r="C22" s="412" t="s">
        <v>924</v>
      </c>
      <c r="D22" s="17">
        <v>44588</v>
      </c>
      <c r="E22" s="127" t="s">
        <v>267</v>
      </c>
      <c r="F22" s="413">
        <v>3938</v>
      </c>
      <c r="G22" s="414">
        <v>2644</v>
      </c>
      <c r="H22" s="415">
        <v>2888</v>
      </c>
      <c r="I22" s="416">
        <v>3117</v>
      </c>
      <c r="J22" s="416" t="s">
        <v>243</v>
      </c>
      <c r="K22" s="417">
        <v>2842</v>
      </c>
      <c r="L22" s="418">
        <v>-8.822585819698428E-2</v>
      </c>
      <c r="M22" s="21">
        <v>0.30208333333333331</v>
      </c>
      <c r="N22" s="415">
        <v>257</v>
      </c>
      <c r="O22" s="415">
        <v>172</v>
      </c>
      <c r="P22" s="415">
        <v>85</v>
      </c>
      <c r="Q22" s="458">
        <v>9.0429275158339192E-2</v>
      </c>
      <c r="R22" s="459">
        <v>0.66926070038910501</v>
      </c>
      <c r="S22" s="460">
        <v>0.69791666666666663</v>
      </c>
      <c r="T22" s="415">
        <v>361</v>
      </c>
      <c r="U22" s="415">
        <v>111</v>
      </c>
      <c r="V22" s="415">
        <v>250</v>
      </c>
      <c r="W22" s="458">
        <v>0.12702322308233638</v>
      </c>
      <c r="X22" s="459">
        <v>0.69252077562326875</v>
      </c>
    </row>
    <row r="23" spans="1:24" s="162" customFormat="1" ht="18.95" customHeight="1">
      <c r="A23" s="125">
        <v>18</v>
      </c>
      <c r="B23" s="412" t="s">
        <v>923</v>
      </c>
      <c r="C23" s="412" t="s">
        <v>925</v>
      </c>
      <c r="D23" s="17">
        <v>44588</v>
      </c>
      <c r="E23" s="127" t="s">
        <v>267</v>
      </c>
      <c r="F23" s="413">
        <v>3044</v>
      </c>
      <c r="G23" s="414">
        <v>3331</v>
      </c>
      <c r="H23" s="415">
        <v>3385</v>
      </c>
      <c r="I23" s="416">
        <v>3140</v>
      </c>
      <c r="J23" s="416" t="s">
        <v>243</v>
      </c>
      <c r="K23" s="417">
        <v>3348</v>
      </c>
      <c r="L23" s="418">
        <v>6.6242038216560509E-2</v>
      </c>
      <c r="M23" s="21">
        <v>0.30208333333333331</v>
      </c>
      <c r="N23" s="415">
        <v>273</v>
      </c>
      <c r="O23" s="415">
        <v>179</v>
      </c>
      <c r="P23" s="415">
        <v>94</v>
      </c>
      <c r="Q23" s="458">
        <v>8.1541218637992838E-2</v>
      </c>
      <c r="R23" s="459">
        <v>0.65567765567765568</v>
      </c>
      <c r="S23" s="460">
        <v>0.69791666666666663</v>
      </c>
      <c r="T23" s="415">
        <v>398</v>
      </c>
      <c r="U23" s="415">
        <v>112</v>
      </c>
      <c r="V23" s="415">
        <v>286</v>
      </c>
      <c r="W23" s="458">
        <v>0.11887694145758662</v>
      </c>
      <c r="X23" s="459">
        <v>0.71859296482412061</v>
      </c>
    </row>
    <row r="24" spans="1:24" s="162" customFormat="1" ht="18.95" customHeight="1">
      <c r="A24" s="125">
        <v>19</v>
      </c>
      <c r="B24" s="412" t="s">
        <v>923</v>
      </c>
      <c r="C24" s="412" t="s">
        <v>926</v>
      </c>
      <c r="D24" s="17">
        <v>44588</v>
      </c>
      <c r="E24" s="127" t="s">
        <v>267</v>
      </c>
      <c r="F24" s="413">
        <v>9819</v>
      </c>
      <c r="G24" s="414">
        <v>10876</v>
      </c>
      <c r="H24" s="415">
        <v>12120</v>
      </c>
      <c r="I24" s="416">
        <v>11882</v>
      </c>
      <c r="J24" s="416" t="s">
        <v>243</v>
      </c>
      <c r="K24" s="417">
        <v>11646</v>
      </c>
      <c r="L24" s="418">
        <v>-1.9861976098299948E-2</v>
      </c>
      <c r="M24" s="21">
        <v>0.30208333333333331</v>
      </c>
      <c r="N24" s="415">
        <v>832</v>
      </c>
      <c r="O24" s="415">
        <v>497</v>
      </c>
      <c r="P24" s="415">
        <v>335</v>
      </c>
      <c r="Q24" s="458">
        <v>7.144083805598489E-2</v>
      </c>
      <c r="R24" s="459">
        <v>0.59735576923076927</v>
      </c>
      <c r="S24" s="460">
        <v>0.6875</v>
      </c>
      <c r="T24" s="415">
        <v>1131</v>
      </c>
      <c r="U24" s="415">
        <v>406</v>
      </c>
      <c r="V24" s="415">
        <v>725</v>
      </c>
      <c r="W24" s="458">
        <v>9.7114889232354451E-2</v>
      </c>
      <c r="X24" s="459">
        <v>0.64102564102564108</v>
      </c>
    </row>
    <row r="25" spans="1:24" s="162" customFormat="1" ht="18.95" customHeight="1">
      <c r="A25" s="125">
        <v>20</v>
      </c>
      <c r="B25" s="412" t="s">
        <v>923</v>
      </c>
      <c r="C25" s="412" t="s">
        <v>927</v>
      </c>
      <c r="D25" s="17">
        <v>44588</v>
      </c>
      <c r="E25" s="127" t="s">
        <v>267</v>
      </c>
      <c r="F25" s="413">
        <v>9833</v>
      </c>
      <c r="G25" s="414">
        <v>10954</v>
      </c>
      <c r="H25" s="415">
        <v>11810</v>
      </c>
      <c r="I25" s="416">
        <v>13297</v>
      </c>
      <c r="J25" s="416" t="s">
        <v>243</v>
      </c>
      <c r="K25" s="417">
        <v>13377</v>
      </c>
      <c r="L25" s="418">
        <v>6.0163946754907124E-3</v>
      </c>
      <c r="M25" s="21">
        <v>0.30208333333333331</v>
      </c>
      <c r="N25" s="415">
        <v>1114</v>
      </c>
      <c r="O25" s="415">
        <v>424</v>
      </c>
      <c r="P25" s="415">
        <v>690</v>
      </c>
      <c r="Q25" s="458">
        <v>8.3277266950736339E-2</v>
      </c>
      <c r="R25" s="459">
        <v>0.61938958707360858</v>
      </c>
      <c r="S25" s="460">
        <v>0.6875</v>
      </c>
      <c r="T25" s="415">
        <v>1166</v>
      </c>
      <c r="U25" s="415">
        <v>733</v>
      </c>
      <c r="V25" s="415">
        <v>433</v>
      </c>
      <c r="W25" s="458">
        <v>8.7164536144127974E-2</v>
      </c>
      <c r="X25" s="459">
        <v>0.6286449399656947</v>
      </c>
    </row>
    <row r="26" spans="1:24" s="162" customFormat="1" ht="18.95" customHeight="1">
      <c r="A26" s="125">
        <v>21</v>
      </c>
      <c r="B26" s="412" t="s">
        <v>921</v>
      </c>
      <c r="C26" s="412" t="s">
        <v>445</v>
      </c>
      <c r="D26" s="17">
        <v>44588</v>
      </c>
      <c r="E26" s="127" t="s">
        <v>267</v>
      </c>
      <c r="F26" s="413">
        <v>2472</v>
      </c>
      <c r="G26" s="414">
        <v>1638</v>
      </c>
      <c r="H26" s="415">
        <v>1549</v>
      </c>
      <c r="I26" s="416">
        <v>1577</v>
      </c>
      <c r="J26" s="416" t="s">
        <v>243</v>
      </c>
      <c r="K26" s="417">
        <v>1651</v>
      </c>
      <c r="L26" s="418">
        <v>4.6924540266328474E-2</v>
      </c>
      <c r="M26" s="21">
        <v>0.30208333333333331</v>
      </c>
      <c r="N26" s="415">
        <v>149</v>
      </c>
      <c r="O26" s="415">
        <v>105</v>
      </c>
      <c r="P26" s="415">
        <v>44</v>
      </c>
      <c r="Q26" s="458">
        <v>9.0248334342822534E-2</v>
      </c>
      <c r="R26" s="459">
        <v>0.70469798657718119</v>
      </c>
      <c r="S26" s="460">
        <v>0.65625</v>
      </c>
      <c r="T26" s="415">
        <v>170</v>
      </c>
      <c r="U26" s="415">
        <v>66</v>
      </c>
      <c r="V26" s="415">
        <v>104</v>
      </c>
      <c r="W26" s="458">
        <v>0.1029678982434888</v>
      </c>
      <c r="X26" s="459">
        <v>0.61176470588235299</v>
      </c>
    </row>
    <row r="27" spans="1:24" s="162" customFormat="1" ht="18.95" customHeight="1">
      <c r="A27" s="125">
        <v>22</v>
      </c>
      <c r="B27" s="412" t="s">
        <v>928</v>
      </c>
      <c r="C27" s="412" t="s">
        <v>929</v>
      </c>
      <c r="D27" s="17">
        <v>44588</v>
      </c>
      <c r="E27" s="127" t="s">
        <v>267</v>
      </c>
      <c r="F27" s="413">
        <v>3638</v>
      </c>
      <c r="G27" s="414">
        <v>6854</v>
      </c>
      <c r="H27" s="415">
        <v>7555</v>
      </c>
      <c r="I27" s="416">
        <v>8182</v>
      </c>
      <c r="J27" s="416" t="s">
        <v>243</v>
      </c>
      <c r="K27" s="417">
        <v>8716</v>
      </c>
      <c r="L27" s="418">
        <v>6.5265216328526027E-2</v>
      </c>
      <c r="M27" s="21">
        <v>0.28125</v>
      </c>
      <c r="N27" s="415">
        <v>678</v>
      </c>
      <c r="O27" s="415">
        <v>444</v>
      </c>
      <c r="P27" s="415">
        <v>234</v>
      </c>
      <c r="Q27" s="458">
        <v>7.7787976135842124E-2</v>
      </c>
      <c r="R27" s="459">
        <v>0.65486725663716816</v>
      </c>
      <c r="S27" s="460">
        <v>0.65625</v>
      </c>
      <c r="T27" s="415">
        <v>764</v>
      </c>
      <c r="U27" s="415">
        <v>279</v>
      </c>
      <c r="V27" s="415">
        <v>485</v>
      </c>
      <c r="W27" s="458">
        <v>8.7654887563102343E-2</v>
      </c>
      <c r="X27" s="459">
        <v>0.63481675392670156</v>
      </c>
    </row>
    <row r="28" spans="1:24" s="162" customFormat="1" ht="18.95" customHeight="1">
      <c r="A28" s="125">
        <v>23</v>
      </c>
      <c r="B28" s="412" t="s">
        <v>928</v>
      </c>
      <c r="C28" s="412" t="s">
        <v>930</v>
      </c>
      <c r="D28" s="17">
        <v>44588</v>
      </c>
      <c r="E28" s="127" t="s">
        <v>267</v>
      </c>
      <c r="F28" s="413" t="s">
        <v>243</v>
      </c>
      <c r="G28" s="414">
        <v>8153</v>
      </c>
      <c r="H28" s="415">
        <v>8726</v>
      </c>
      <c r="I28" s="416">
        <v>8682</v>
      </c>
      <c r="J28" s="416" t="s">
        <v>243</v>
      </c>
      <c r="K28" s="417">
        <v>9970</v>
      </c>
      <c r="L28" s="418">
        <v>0.1483529140750979</v>
      </c>
      <c r="M28" s="21">
        <v>0.30208333333333331</v>
      </c>
      <c r="N28" s="415">
        <v>676</v>
      </c>
      <c r="O28" s="415">
        <v>371</v>
      </c>
      <c r="P28" s="415">
        <v>305</v>
      </c>
      <c r="Q28" s="458">
        <v>6.7803410230692071E-2</v>
      </c>
      <c r="R28" s="459">
        <v>0.54881656804733725</v>
      </c>
      <c r="S28" s="460">
        <v>0.6875</v>
      </c>
      <c r="T28" s="415">
        <v>839</v>
      </c>
      <c r="U28" s="415">
        <v>362</v>
      </c>
      <c r="V28" s="415">
        <v>477</v>
      </c>
      <c r="W28" s="458">
        <v>8.4152457372116352E-2</v>
      </c>
      <c r="X28" s="459">
        <v>0.56853396901072706</v>
      </c>
    </row>
    <row r="29" spans="1:24" s="162" customFormat="1" ht="18.95" customHeight="1">
      <c r="A29" s="125">
        <v>24</v>
      </c>
      <c r="B29" s="412" t="s">
        <v>931</v>
      </c>
      <c r="C29" s="412" t="s">
        <v>932</v>
      </c>
      <c r="D29" s="17">
        <v>44574</v>
      </c>
      <c r="E29" s="127" t="s">
        <v>267</v>
      </c>
      <c r="F29" s="413">
        <v>25692</v>
      </c>
      <c r="G29" s="414">
        <v>24995</v>
      </c>
      <c r="H29" s="415">
        <v>25324</v>
      </c>
      <c r="I29" s="416">
        <v>26459</v>
      </c>
      <c r="J29" s="416" t="s">
        <v>243</v>
      </c>
      <c r="K29" s="417">
        <v>25468</v>
      </c>
      <c r="L29" s="418">
        <v>-3.7454174383007674E-2</v>
      </c>
      <c r="M29" s="21">
        <v>0.45833333333333331</v>
      </c>
      <c r="N29" s="415">
        <v>1880</v>
      </c>
      <c r="O29" s="415">
        <v>933</v>
      </c>
      <c r="P29" s="415">
        <v>947</v>
      </c>
      <c r="Q29" s="458">
        <v>7.38181247055128E-2</v>
      </c>
      <c r="R29" s="459">
        <v>0.50372340425531914</v>
      </c>
      <c r="S29" s="460">
        <v>0.58333333333333337</v>
      </c>
      <c r="T29" s="415">
        <v>2158</v>
      </c>
      <c r="U29" s="415">
        <v>1010</v>
      </c>
      <c r="V29" s="415">
        <v>1148</v>
      </c>
      <c r="W29" s="458">
        <v>8.4733783571540752E-2</v>
      </c>
      <c r="X29" s="459">
        <v>0.53197405004633924</v>
      </c>
    </row>
    <row r="30" spans="1:24" s="162" customFormat="1" ht="18.95" customHeight="1">
      <c r="A30" s="125">
        <v>25</v>
      </c>
      <c r="B30" s="412" t="s">
        <v>931</v>
      </c>
      <c r="C30" s="412" t="s">
        <v>933</v>
      </c>
      <c r="D30" s="17">
        <v>44574</v>
      </c>
      <c r="E30" s="127" t="s">
        <v>267</v>
      </c>
      <c r="F30" s="413">
        <v>26729</v>
      </c>
      <c r="G30" s="414">
        <v>24981</v>
      </c>
      <c r="H30" s="415">
        <v>25444</v>
      </c>
      <c r="I30" s="416">
        <v>23530</v>
      </c>
      <c r="J30" s="416" t="s">
        <v>243</v>
      </c>
      <c r="K30" s="417">
        <v>24251</v>
      </c>
      <c r="L30" s="418">
        <v>3.0641733956651082E-2</v>
      </c>
      <c r="M30" s="21">
        <v>0.45833333333333331</v>
      </c>
      <c r="N30" s="415">
        <v>1889</v>
      </c>
      <c r="O30" s="415">
        <v>818</v>
      </c>
      <c r="P30" s="415">
        <v>1071</v>
      </c>
      <c r="Q30" s="458">
        <v>7.7893695105356486E-2</v>
      </c>
      <c r="R30" s="459">
        <v>0.56696664902064586</v>
      </c>
      <c r="S30" s="460">
        <v>0.60416666666666663</v>
      </c>
      <c r="T30" s="415">
        <v>2252</v>
      </c>
      <c r="U30" s="415">
        <v>1121</v>
      </c>
      <c r="V30" s="415">
        <v>1131</v>
      </c>
      <c r="W30" s="458">
        <v>9.286215001443239E-2</v>
      </c>
      <c r="X30" s="459">
        <v>0.50222024866785075</v>
      </c>
    </row>
    <row r="31" spans="1:24" s="162" customFormat="1" ht="18.95" customHeight="1">
      <c r="A31" s="125">
        <v>26</v>
      </c>
      <c r="B31" s="412" t="s">
        <v>931</v>
      </c>
      <c r="C31" s="412" t="s">
        <v>934</v>
      </c>
      <c r="D31" s="17">
        <v>44574</v>
      </c>
      <c r="E31" s="127" t="s">
        <v>267</v>
      </c>
      <c r="F31" s="413">
        <v>31523</v>
      </c>
      <c r="G31" s="414">
        <v>29899</v>
      </c>
      <c r="H31" s="415">
        <v>31080</v>
      </c>
      <c r="I31" s="416">
        <v>31176</v>
      </c>
      <c r="J31" s="416" t="s">
        <v>243</v>
      </c>
      <c r="K31" s="417">
        <v>27786</v>
      </c>
      <c r="L31" s="418">
        <v>-0.10873749037721324</v>
      </c>
      <c r="M31" s="21">
        <v>0.45833333333333331</v>
      </c>
      <c r="N31" s="415">
        <v>2273</v>
      </c>
      <c r="O31" s="415">
        <v>1062</v>
      </c>
      <c r="P31" s="415">
        <v>1211</v>
      </c>
      <c r="Q31" s="458">
        <v>8.1803786079320526E-2</v>
      </c>
      <c r="R31" s="459">
        <v>0.53277606687197532</v>
      </c>
      <c r="S31" s="460">
        <v>0.60416666666666663</v>
      </c>
      <c r="T31" s="415">
        <v>2485</v>
      </c>
      <c r="U31" s="415">
        <v>1228</v>
      </c>
      <c r="V31" s="415">
        <v>1257</v>
      </c>
      <c r="W31" s="458">
        <v>8.9433527675807964E-2</v>
      </c>
      <c r="X31" s="459">
        <v>0.50583501006036213</v>
      </c>
    </row>
    <row r="32" spans="1:24" s="162" customFormat="1" ht="18.95" customHeight="1">
      <c r="A32" s="125">
        <v>27</v>
      </c>
      <c r="B32" s="412" t="s">
        <v>931</v>
      </c>
      <c r="C32" s="412" t="s">
        <v>935</v>
      </c>
      <c r="D32" s="17">
        <v>44574</v>
      </c>
      <c r="E32" s="127" t="s">
        <v>267</v>
      </c>
      <c r="F32" s="413">
        <v>24723</v>
      </c>
      <c r="G32" s="414">
        <v>24377</v>
      </c>
      <c r="H32" s="415">
        <v>24879</v>
      </c>
      <c r="I32" s="416">
        <v>23316</v>
      </c>
      <c r="J32" s="416" t="s">
        <v>243</v>
      </c>
      <c r="K32" s="417">
        <v>23320</v>
      </c>
      <c r="L32" s="418">
        <v>1.7155601303825698E-4</v>
      </c>
      <c r="M32" s="21">
        <v>0.44791666666666669</v>
      </c>
      <c r="N32" s="415">
        <v>1815</v>
      </c>
      <c r="O32" s="415">
        <v>874</v>
      </c>
      <c r="P32" s="415">
        <v>941</v>
      </c>
      <c r="Q32" s="458">
        <v>7.783018867924528E-2</v>
      </c>
      <c r="R32" s="459">
        <v>0.51845730027548209</v>
      </c>
      <c r="S32" s="460">
        <v>0.60416666666666663</v>
      </c>
      <c r="T32" s="415">
        <v>1985</v>
      </c>
      <c r="U32" s="415">
        <v>979</v>
      </c>
      <c r="V32" s="415">
        <v>1006</v>
      </c>
      <c r="W32" s="458">
        <v>8.5120068610634647E-2</v>
      </c>
      <c r="X32" s="459">
        <v>0.50680100755667501</v>
      </c>
    </row>
    <row r="33" spans="1:24" s="162" customFormat="1" ht="18.95" customHeight="1">
      <c r="A33" s="125">
        <v>28</v>
      </c>
      <c r="B33" s="412" t="s">
        <v>931</v>
      </c>
      <c r="C33" s="412" t="s">
        <v>936</v>
      </c>
      <c r="D33" s="17">
        <v>44574</v>
      </c>
      <c r="E33" s="127" t="s">
        <v>267</v>
      </c>
      <c r="F33" s="413">
        <v>28023</v>
      </c>
      <c r="G33" s="414">
        <v>25763</v>
      </c>
      <c r="H33" s="415">
        <v>27144</v>
      </c>
      <c r="I33" s="416">
        <v>25367</v>
      </c>
      <c r="J33" s="416" t="s">
        <v>243</v>
      </c>
      <c r="K33" s="417">
        <v>24669</v>
      </c>
      <c r="L33" s="418">
        <v>-2.7516064177868886E-2</v>
      </c>
      <c r="M33" s="21">
        <v>0.44791666666666669</v>
      </c>
      <c r="N33" s="415">
        <v>2143</v>
      </c>
      <c r="O33" s="415">
        <v>1066</v>
      </c>
      <c r="P33" s="415">
        <v>1077</v>
      </c>
      <c r="Q33" s="458">
        <v>8.6870160930722765E-2</v>
      </c>
      <c r="R33" s="459">
        <v>0.5025664955669622</v>
      </c>
      <c r="S33" s="460">
        <v>0.61458333333333337</v>
      </c>
      <c r="T33" s="415">
        <v>2228</v>
      </c>
      <c r="U33" s="415">
        <v>1168</v>
      </c>
      <c r="V33" s="415">
        <v>1060</v>
      </c>
      <c r="W33" s="458">
        <v>9.031578093964085E-2</v>
      </c>
      <c r="X33" s="459">
        <v>0.52423698384201078</v>
      </c>
    </row>
    <row r="34" spans="1:24" s="162" customFormat="1" ht="18.95" customHeight="1">
      <c r="A34" s="125">
        <v>29</v>
      </c>
      <c r="B34" s="412" t="s">
        <v>937</v>
      </c>
      <c r="C34" s="412" t="s">
        <v>938</v>
      </c>
      <c r="D34" s="17">
        <v>44588</v>
      </c>
      <c r="E34" s="127" t="s">
        <v>267</v>
      </c>
      <c r="F34" s="413">
        <v>18870</v>
      </c>
      <c r="G34" s="414">
        <v>19706</v>
      </c>
      <c r="H34" s="415">
        <v>22776</v>
      </c>
      <c r="I34" s="416">
        <v>24123</v>
      </c>
      <c r="J34" s="416" t="s">
        <v>243</v>
      </c>
      <c r="K34" s="417">
        <v>26935</v>
      </c>
      <c r="L34" s="418">
        <v>0.1165692492641877</v>
      </c>
      <c r="M34" s="21">
        <v>0.45833333333333331</v>
      </c>
      <c r="N34" s="415">
        <v>2277</v>
      </c>
      <c r="O34" s="415">
        <v>1127</v>
      </c>
      <c r="P34" s="415">
        <v>1150</v>
      </c>
      <c r="Q34" s="458">
        <v>8.4536847967328757E-2</v>
      </c>
      <c r="R34" s="459">
        <v>0.50505050505050508</v>
      </c>
      <c r="S34" s="460">
        <v>0.52083333333333337</v>
      </c>
      <c r="T34" s="415">
        <v>2372</v>
      </c>
      <c r="U34" s="415">
        <v>1095</v>
      </c>
      <c r="V34" s="415">
        <v>1277</v>
      </c>
      <c r="W34" s="458">
        <v>8.8063857434564699E-2</v>
      </c>
      <c r="X34" s="459">
        <v>0.53836424957841489</v>
      </c>
    </row>
    <row r="35" spans="1:24" s="162" customFormat="1" ht="18.95" customHeight="1">
      <c r="A35" s="125">
        <v>30</v>
      </c>
      <c r="B35" s="412" t="s">
        <v>937</v>
      </c>
      <c r="C35" s="412" t="s">
        <v>918</v>
      </c>
      <c r="D35" s="17">
        <v>44595</v>
      </c>
      <c r="E35" s="127" t="s">
        <v>267</v>
      </c>
      <c r="F35" s="413">
        <v>21110</v>
      </c>
      <c r="G35" s="414">
        <v>22940</v>
      </c>
      <c r="H35" s="415">
        <v>25010</v>
      </c>
      <c r="I35" s="416">
        <v>26843</v>
      </c>
      <c r="J35" s="416" t="s">
        <v>243</v>
      </c>
      <c r="K35" s="417">
        <v>28605</v>
      </c>
      <c r="L35" s="418">
        <v>6.5640949223261191E-2</v>
      </c>
      <c r="M35" s="21">
        <v>0.45833333333333331</v>
      </c>
      <c r="N35" s="415">
        <v>2591</v>
      </c>
      <c r="O35" s="415">
        <v>1269</v>
      </c>
      <c r="P35" s="415">
        <v>1322</v>
      </c>
      <c r="Q35" s="458">
        <v>9.0578570180038454E-2</v>
      </c>
      <c r="R35" s="459">
        <v>0.51022771130837519</v>
      </c>
      <c r="S35" s="460">
        <v>0.51041666666666663</v>
      </c>
      <c r="T35" s="415">
        <v>2575</v>
      </c>
      <c r="U35" s="415">
        <v>1270</v>
      </c>
      <c r="V35" s="415">
        <v>1305</v>
      </c>
      <c r="W35" s="458">
        <v>9.0019227407795846E-2</v>
      </c>
      <c r="X35" s="459">
        <v>0.50679611650485434</v>
      </c>
    </row>
    <row r="36" spans="1:24" s="162" customFormat="1" ht="18.95" customHeight="1">
      <c r="A36" s="125">
        <v>31</v>
      </c>
      <c r="B36" s="412" t="s">
        <v>937</v>
      </c>
      <c r="C36" s="412" t="s">
        <v>939</v>
      </c>
      <c r="D36" s="17">
        <v>44595</v>
      </c>
      <c r="E36" s="127" t="s">
        <v>267</v>
      </c>
      <c r="F36" s="413">
        <v>17032</v>
      </c>
      <c r="G36" s="414">
        <v>17959</v>
      </c>
      <c r="H36" s="415">
        <v>18028</v>
      </c>
      <c r="I36" s="416">
        <v>18455</v>
      </c>
      <c r="J36" s="416" t="s">
        <v>243</v>
      </c>
      <c r="K36" s="417">
        <v>19155</v>
      </c>
      <c r="L36" s="418">
        <v>3.7930100243836362E-2</v>
      </c>
      <c r="M36" s="21">
        <v>0.45833333333333331</v>
      </c>
      <c r="N36" s="415">
        <v>1597</v>
      </c>
      <c r="O36" s="415">
        <v>791</v>
      </c>
      <c r="P36" s="415">
        <v>806</v>
      </c>
      <c r="Q36" s="458">
        <v>8.3372487601148529E-2</v>
      </c>
      <c r="R36" s="459">
        <v>0.50469630557294931</v>
      </c>
      <c r="S36" s="460">
        <v>0.5</v>
      </c>
      <c r="T36" s="415">
        <v>1737</v>
      </c>
      <c r="U36" s="415">
        <v>879</v>
      </c>
      <c r="V36" s="415">
        <v>858</v>
      </c>
      <c r="W36" s="458">
        <v>9.0681284259984341E-2</v>
      </c>
      <c r="X36" s="459">
        <v>0.50604490500863553</v>
      </c>
    </row>
    <row r="37" spans="1:24" s="162" customFormat="1" ht="18.95" customHeight="1">
      <c r="A37" s="125">
        <v>32</v>
      </c>
      <c r="B37" s="412" t="s">
        <v>937</v>
      </c>
      <c r="C37" s="412" t="s">
        <v>940</v>
      </c>
      <c r="D37" s="17">
        <v>44595</v>
      </c>
      <c r="E37" s="127" t="s">
        <v>267</v>
      </c>
      <c r="F37" s="413">
        <v>17714</v>
      </c>
      <c r="G37" s="414">
        <v>20240</v>
      </c>
      <c r="H37" s="415">
        <v>19532</v>
      </c>
      <c r="I37" s="416">
        <v>20108</v>
      </c>
      <c r="J37" s="416" t="s">
        <v>243</v>
      </c>
      <c r="K37" s="417">
        <v>21232</v>
      </c>
      <c r="L37" s="418">
        <v>5.5898149990053707E-2</v>
      </c>
      <c r="M37" s="21">
        <v>0.45833333333333331</v>
      </c>
      <c r="N37" s="415">
        <v>1661</v>
      </c>
      <c r="O37" s="415">
        <v>821</v>
      </c>
      <c r="P37" s="415">
        <v>840</v>
      </c>
      <c r="Q37" s="458">
        <v>7.8230972117558403E-2</v>
      </c>
      <c r="R37" s="459">
        <v>0.50571944611679709</v>
      </c>
      <c r="S37" s="460">
        <v>0.625</v>
      </c>
      <c r="T37" s="415">
        <v>1811</v>
      </c>
      <c r="U37" s="415">
        <v>785</v>
      </c>
      <c r="V37" s="415">
        <v>1026</v>
      </c>
      <c r="W37" s="458">
        <v>8.5295779954785225E-2</v>
      </c>
      <c r="X37" s="459">
        <v>0.56653782440640532</v>
      </c>
    </row>
    <row r="38" spans="1:24" s="162" customFormat="1" ht="18.95" customHeight="1">
      <c r="A38" s="125">
        <v>33</v>
      </c>
      <c r="B38" s="412" t="s">
        <v>937</v>
      </c>
      <c r="C38" s="412" t="s">
        <v>941</v>
      </c>
      <c r="D38" s="17">
        <v>44588</v>
      </c>
      <c r="E38" s="127" t="s">
        <v>267</v>
      </c>
      <c r="F38" s="413">
        <v>10433</v>
      </c>
      <c r="G38" s="414">
        <v>10317</v>
      </c>
      <c r="H38" s="415">
        <v>9137</v>
      </c>
      <c r="I38" s="416">
        <v>10975</v>
      </c>
      <c r="J38" s="416" t="s">
        <v>243</v>
      </c>
      <c r="K38" s="417">
        <v>9784</v>
      </c>
      <c r="L38" s="418">
        <v>-0.10851936218678815</v>
      </c>
      <c r="M38" s="21">
        <v>0.44791666666666669</v>
      </c>
      <c r="N38" s="415">
        <v>788</v>
      </c>
      <c r="O38" s="415">
        <v>368</v>
      </c>
      <c r="P38" s="415">
        <v>420</v>
      </c>
      <c r="Q38" s="458">
        <v>8.0539656582174976E-2</v>
      </c>
      <c r="R38" s="459">
        <v>0.53299492385786806</v>
      </c>
      <c r="S38" s="460">
        <v>0.5</v>
      </c>
      <c r="T38" s="415">
        <v>821</v>
      </c>
      <c r="U38" s="415">
        <v>381</v>
      </c>
      <c r="V38" s="415">
        <v>440</v>
      </c>
      <c r="W38" s="458">
        <v>8.3912510220768607E-2</v>
      </c>
      <c r="X38" s="459">
        <v>0.53593179049939099</v>
      </c>
    </row>
    <row r="39" spans="1:24" s="162" customFormat="1" ht="18.95" customHeight="1">
      <c r="A39" s="125">
        <v>34</v>
      </c>
      <c r="B39" s="412" t="s">
        <v>669</v>
      </c>
      <c r="C39" s="412" t="s">
        <v>942</v>
      </c>
      <c r="D39" s="17">
        <v>44602</v>
      </c>
      <c r="E39" s="127" t="s">
        <v>267</v>
      </c>
      <c r="F39" s="413">
        <v>6976</v>
      </c>
      <c r="G39" s="414">
        <v>9999</v>
      </c>
      <c r="H39" s="415">
        <v>13344</v>
      </c>
      <c r="I39" s="416">
        <v>12282</v>
      </c>
      <c r="J39" s="416" t="s">
        <v>243</v>
      </c>
      <c r="K39" s="417">
        <v>24892</v>
      </c>
      <c r="L39" s="418">
        <v>1.0267057482494708</v>
      </c>
      <c r="M39" s="21">
        <v>0.45833333333333331</v>
      </c>
      <c r="N39" s="415">
        <v>1978</v>
      </c>
      <c r="O39" s="415">
        <v>1066</v>
      </c>
      <c r="P39" s="415">
        <v>912</v>
      </c>
      <c r="Q39" s="458">
        <v>7.9463281375542344E-2</v>
      </c>
      <c r="R39" s="459">
        <v>0.53892821031344795</v>
      </c>
      <c r="S39" s="460">
        <v>0.5</v>
      </c>
      <c r="T39" s="415">
        <v>2128</v>
      </c>
      <c r="U39" s="415">
        <v>1125</v>
      </c>
      <c r="V39" s="415">
        <v>1003</v>
      </c>
      <c r="W39" s="458">
        <v>8.5489313835770533E-2</v>
      </c>
      <c r="X39" s="459">
        <v>0.52866541353383456</v>
      </c>
    </row>
    <row r="40" spans="1:24" s="162" customFormat="1" ht="18.95" customHeight="1">
      <c r="A40" s="125">
        <v>35</v>
      </c>
      <c r="B40" s="412" t="s">
        <v>943</v>
      </c>
      <c r="C40" s="412" t="s">
        <v>944</v>
      </c>
      <c r="D40" s="17">
        <v>44602</v>
      </c>
      <c r="E40" s="127" t="s">
        <v>267</v>
      </c>
      <c r="F40" s="413">
        <v>5971</v>
      </c>
      <c r="G40" s="414">
        <v>8991</v>
      </c>
      <c r="H40" s="415">
        <v>10996</v>
      </c>
      <c r="I40" s="416">
        <v>11239</v>
      </c>
      <c r="J40" s="416" t="s">
        <v>243</v>
      </c>
      <c r="K40" s="417">
        <v>24291</v>
      </c>
      <c r="L40" s="418">
        <v>1.1613132841000089</v>
      </c>
      <c r="M40" s="21">
        <v>0.45833333333333331</v>
      </c>
      <c r="N40" s="415">
        <v>2064</v>
      </c>
      <c r="O40" s="415">
        <v>989</v>
      </c>
      <c r="P40" s="415">
        <v>1075</v>
      </c>
      <c r="Q40" s="458">
        <v>8.496974187970853E-2</v>
      </c>
      <c r="R40" s="459">
        <v>0.52083333333333337</v>
      </c>
      <c r="S40" s="460">
        <v>0.5</v>
      </c>
      <c r="T40" s="415">
        <v>2170</v>
      </c>
      <c r="U40" s="415">
        <v>1092</v>
      </c>
      <c r="V40" s="415">
        <v>1078</v>
      </c>
      <c r="W40" s="458">
        <v>8.9333498003375741E-2</v>
      </c>
      <c r="X40" s="459">
        <v>0.50322580645161286</v>
      </c>
    </row>
    <row r="41" spans="1:24" s="162" customFormat="1" ht="18.95" customHeight="1">
      <c r="A41" s="125">
        <v>36</v>
      </c>
      <c r="B41" s="412" t="s">
        <v>943</v>
      </c>
      <c r="C41" s="412" t="s">
        <v>945</v>
      </c>
      <c r="D41" s="17">
        <v>44602</v>
      </c>
      <c r="E41" s="127" t="s">
        <v>267</v>
      </c>
      <c r="F41" s="413">
        <v>6732</v>
      </c>
      <c r="G41" s="414">
        <v>6884</v>
      </c>
      <c r="H41" s="415">
        <v>10393</v>
      </c>
      <c r="I41" s="416">
        <v>9271</v>
      </c>
      <c r="J41" s="416" t="s">
        <v>243</v>
      </c>
      <c r="K41" s="417">
        <v>11776</v>
      </c>
      <c r="L41" s="418">
        <v>0.27019738970984791</v>
      </c>
      <c r="M41" s="21">
        <v>0.41666666666666669</v>
      </c>
      <c r="N41" s="415">
        <v>845</v>
      </c>
      <c r="O41" s="415">
        <v>383</v>
      </c>
      <c r="P41" s="415">
        <v>462</v>
      </c>
      <c r="Q41" s="458">
        <v>7.1756114130434784E-2</v>
      </c>
      <c r="R41" s="459">
        <v>0.54674556213017755</v>
      </c>
      <c r="S41" s="460">
        <v>0.67708333333333337</v>
      </c>
      <c r="T41" s="415">
        <v>1045</v>
      </c>
      <c r="U41" s="415">
        <v>477</v>
      </c>
      <c r="V41" s="415">
        <v>568</v>
      </c>
      <c r="W41" s="458">
        <v>8.8739809782608689E-2</v>
      </c>
      <c r="X41" s="459">
        <v>0.54354066985645932</v>
      </c>
    </row>
    <row r="42" spans="1:24" s="162" customFormat="1" ht="18.95" customHeight="1">
      <c r="A42" s="125">
        <v>37</v>
      </c>
      <c r="B42" s="412" t="s">
        <v>946</v>
      </c>
      <c r="C42" s="412" t="s">
        <v>947</v>
      </c>
      <c r="D42" s="17">
        <v>44635</v>
      </c>
      <c r="E42" s="127" t="s">
        <v>267</v>
      </c>
      <c r="F42" s="413">
        <v>3048</v>
      </c>
      <c r="G42" s="414">
        <v>3210</v>
      </c>
      <c r="H42" s="415">
        <v>2766</v>
      </c>
      <c r="I42" s="416">
        <v>3267</v>
      </c>
      <c r="J42" s="416" t="s">
        <v>243</v>
      </c>
      <c r="K42" s="417">
        <v>4863</v>
      </c>
      <c r="L42" s="418">
        <v>0.48852157943067032</v>
      </c>
      <c r="M42" s="21">
        <v>0.33333333333333331</v>
      </c>
      <c r="N42" s="415">
        <v>382</v>
      </c>
      <c r="O42" s="415">
        <v>175</v>
      </c>
      <c r="P42" s="415">
        <v>207</v>
      </c>
      <c r="Q42" s="458">
        <v>7.8552333950236475E-2</v>
      </c>
      <c r="R42" s="459">
        <v>0.54188481675392675</v>
      </c>
      <c r="S42" s="460">
        <v>0.53125</v>
      </c>
      <c r="T42" s="415">
        <v>359</v>
      </c>
      <c r="U42" s="415">
        <v>193</v>
      </c>
      <c r="V42" s="415">
        <v>166</v>
      </c>
      <c r="W42" s="458">
        <v>7.3822743162656801E-2</v>
      </c>
      <c r="X42" s="459">
        <v>0.53760445682451252</v>
      </c>
    </row>
    <row r="43" spans="1:24" s="162" customFormat="1" ht="18.95" customHeight="1">
      <c r="A43" s="125">
        <v>38</v>
      </c>
      <c r="B43" s="412" t="s">
        <v>946</v>
      </c>
      <c r="C43" s="412" t="s">
        <v>494</v>
      </c>
      <c r="D43" s="17">
        <v>44635</v>
      </c>
      <c r="E43" s="127" t="s">
        <v>267</v>
      </c>
      <c r="F43" s="413">
        <v>3001</v>
      </c>
      <c r="G43" s="414">
        <v>2674</v>
      </c>
      <c r="H43" s="415">
        <v>3100</v>
      </c>
      <c r="I43" s="416">
        <v>2996</v>
      </c>
      <c r="J43" s="416" t="s">
        <v>243</v>
      </c>
      <c r="K43" s="417">
        <v>4567</v>
      </c>
      <c r="L43" s="418">
        <v>0.52436582109479302</v>
      </c>
      <c r="M43" s="21">
        <v>0.35416666666666669</v>
      </c>
      <c r="N43" s="415">
        <v>376</v>
      </c>
      <c r="O43" s="415">
        <v>175</v>
      </c>
      <c r="P43" s="415">
        <v>201</v>
      </c>
      <c r="Q43" s="458">
        <v>8.2329756952047292E-2</v>
      </c>
      <c r="R43" s="459">
        <v>0.53457446808510634</v>
      </c>
      <c r="S43" s="460">
        <v>0.53125</v>
      </c>
      <c r="T43" s="415">
        <v>352</v>
      </c>
      <c r="U43" s="415">
        <v>192</v>
      </c>
      <c r="V43" s="415">
        <v>160</v>
      </c>
      <c r="W43" s="458">
        <v>7.7074666082767682E-2</v>
      </c>
      <c r="X43" s="459">
        <v>0.54545454545454541</v>
      </c>
    </row>
    <row r="44" spans="1:24" s="162" customFormat="1" ht="18.95" customHeight="1">
      <c r="A44" s="125">
        <v>39</v>
      </c>
      <c r="B44" s="412" t="s">
        <v>948</v>
      </c>
      <c r="C44" s="412" t="s">
        <v>949</v>
      </c>
      <c r="D44" s="17">
        <v>44602</v>
      </c>
      <c r="E44" s="127" t="s">
        <v>267</v>
      </c>
      <c r="F44" s="413">
        <v>10851</v>
      </c>
      <c r="G44" s="414">
        <v>12938</v>
      </c>
      <c r="H44" s="415">
        <v>11225</v>
      </c>
      <c r="I44" s="416">
        <v>11414</v>
      </c>
      <c r="J44" s="416" t="s">
        <v>243</v>
      </c>
      <c r="K44" s="417">
        <v>17029</v>
      </c>
      <c r="L44" s="418">
        <v>0.49193972314701245</v>
      </c>
      <c r="M44" s="21">
        <v>0.30208333333333331</v>
      </c>
      <c r="N44" s="415">
        <v>1182</v>
      </c>
      <c r="O44" s="415">
        <v>720</v>
      </c>
      <c r="P44" s="415">
        <v>462</v>
      </c>
      <c r="Q44" s="458">
        <v>6.941100475659169E-2</v>
      </c>
      <c r="R44" s="459">
        <v>0.6091370558375635</v>
      </c>
      <c r="S44" s="460">
        <v>0.67708333333333337</v>
      </c>
      <c r="T44" s="415">
        <v>1370</v>
      </c>
      <c r="U44" s="415">
        <v>685</v>
      </c>
      <c r="V44" s="415">
        <v>685</v>
      </c>
      <c r="W44" s="458">
        <v>8.045099536085501E-2</v>
      </c>
      <c r="X44" s="459">
        <v>0.5</v>
      </c>
    </row>
    <row r="45" spans="1:24" s="162" customFormat="1" ht="18.95" customHeight="1">
      <c r="A45" s="125">
        <v>40</v>
      </c>
      <c r="B45" s="412" t="s">
        <v>948</v>
      </c>
      <c r="C45" s="412" t="s">
        <v>950</v>
      </c>
      <c r="D45" s="17">
        <v>44616</v>
      </c>
      <c r="E45" s="127" t="s">
        <v>267</v>
      </c>
      <c r="F45" s="413">
        <v>9966</v>
      </c>
      <c r="G45" s="414">
        <v>10217</v>
      </c>
      <c r="H45" s="415">
        <v>9939</v>
      </c>
      <c r="I45" s="416">
        <v>11739</v>
      </c>
      <c r="J45" s="416" t="s">
        <v>243</v>
      </c>
      <c r="K45" s="417">
        <v>15678</v>
      </c>
      <c r="L45" s="418">
        <v>0.33554817275747506</v>
      </c>
      <c r="M45" s="21">
        <v>0.28125</v>
      </c>
      <c r="N45" s="415">
        <v>1208</v>
      </c>
      <c r="O45" s="415">
        <v>571</v>
      </c>
      <c r="P45" s="415">
        <v>637</v>
      </c>
      <c r="Q45" s="458">
        <v>7.7050644214823313E-2</v>
      </c>
      <c r="R45" s="459">
        <v>0.52731788079470199</v>
      </c>
      <c r="S45" s="460">
        <v>0.64583333333333337</v>
      </c>
      <c r="T45" s="415">
        <v>1112</v>
      </c>
      <c r="U45" s="415">
        <v>647</v>
      </c>
      <c r="V45" s="415">
        <v>465</v>
      </c>
      <c r="W45" s="458">
        <v>7.0927414210996298E-2</v>
      </c>
      <c r="X45" s="459">
        <v>0.58183453237410077</v>
      </c>
    </row>
    <row r="46" spans="1:24" s="162" customFormat="1" ht="18.95" customHeight="1">
      <c r="A46" s="125">
        <v>41</v>
      </c>
      <c r="B46" s="412" t="s">
        <v>948</v>
      </c>
      <c r="C46" s="412" t="s">
        <v>951</v>
      </c>
      <c r="D46" s="17">
        <v>44602</v>
      </c>
      <c r="E46" s="127" t="s">
        <v>267</v>
      </c>
      <c r="F46" s="413">
        <v>10521</v>
      </c>
      <c r="G46" s="414">
        <v>9837</v>
      </c>
      <c r="H46" s="415">
        <v>10669</v>
      </c>
      <c r="I46" s="416">
        <v>10939</v>
      </c>
      <c r="J46" s="416" t="s">
        <v>243</v>
      </c>
      <c r="K46" s="417">
        <v>15563</v>
      </c>
      <c r="L46" s="418">
        <v>0.42270774293811136</v>
      </c>
      <c r="M46" s="21">
        <v>0.3125</v>
      </c>
      <c r="N46" s="415">
        <v>1195</v>
      </c>
      <c r="O46" s="415">
        <v>583</v>
      </c>
      <c r="P46" s="415">
        <v>612</v>
      </c>
      <c r="Q46" s="458">
        <v>7.6784681616654887E-2</v>
      </c>
      <c r="R46" s="459">
        <v>0.51213389121338915</v>
      </c>
      <c r="S46" s="460">
        <v>0.65625</v>
      </c>
      <c r="T46" s="415">
        <v>1220</v>
      </c>
      <c r="U46" s="415">
        <v>691</v>
      </c>
      <c r="V46" s="415">
        <v>529</v>
      </c>
      <c r="W46" s="458">
        <v>7.8391055709053525E-2</v>
      </c>
      <c r="X46" s="459">
        <v>0.56639344262295077</v>
      </c>
    </row>
    <row r="47" spans="1:24" s="162" customFormat="1" ht="18.95" customHeight="1">
      <c r="A47" s="125">
        <v>42</v>
      </c>
      <c r="B47" s="412" t="s">
        <v>952</v>
      </c>
      <c r="C47" s="412" t="s">
        <v>953</v>
      </c>
      <c r="D47" s="17">
        <v>44588</v>
      </c>
      <c r="E47" s="127" t="s">
        <v>267</v>
      </c>
      <c r="F47" s="413">
        <v>7782</v>
      </c>
      <c r="G47" s="414">
        <v>8466</v>
      </c>
      <c r="H47" s="415">
        <v>8107</v>
      </c>
      <c r="I47" s="416">
        <v>8087</v>
      </c>
      <c r="J47" s="416" t="s">
        <v>243</v>
      </c>
      <c r="K47" s="417">
        <v>8454</v>
      </c>
      <c r="L47" s="418">
        <v>4.5381476443675031E-2</v>
      </c>
      <c r="M47" s="21">
        <v>0.29166666666666669</v>
      </c>
      <c r="N47" s="415">
        <v>704</v>
      </c>
      <c r="O47" s="415">
        <v>197</v>
      </c>
      <c r="P47" s="415">
        <v>507</v>
      </c>
      <c r="Q47" s="458">
        <v>8.3274189732670922E-2</v>
      </c>
      <c r="R47" s="459">
        <v>0.72017045454545459</v>
      </c>
      <c r="S47" s="460">
        <v>0.6875</v>
      </c>
      <c r="T47" s="415">
        <v>743</v>
      </c>
      <c r="U47" s="415">
        <v>494</v>
      </c>
      <c r="V47" s="415">
        <v>249</v>
      </c>
      <c r="W47" s="458">
        <v>8.7887390584338781E-2</v>
      </c>
      <c r="X47" s="459">
        <v>0.66487213997308214</v>
      </c>
    </row>
    <row r="48" spans="1:24" s="162" customFormat="1" ht="18.95" customHeight="1">
      <c r="A48" s="125">
        <v>43</v>
      </c>
      <c r="B48" s="412" t="s">
        <v>952</v>
      </c>
      <c r="C48" s="412" t="s">
        <v>954</v>
      </c>
      <c r="D48" s="17">
        <v>44588</v>
      </c>
      <c r="E48" s="127" t="s">
        <v>267</v>
      </c>
      <c r="F48" s="413">
        <v>6467</v>
      </c>
      <c r="G48" s="414">
        <v>7284</v>
      </c>
      <c r="H48" s="415">
        <v>6801</v>
      </c>
      <c r="I48" s="416">
        <v>6496</v>
      </c>
      <c r="J48" s="416" t="s">
        <v>243</v>
      </c>
      <c r="K48" s="417">
        <v>6930</v>
      </c>
      <c r="L48" s="418">
        <v>6.6810344827586202E-2</v>
      </c>
      <c r="M48" s="21">
        <v>0.29166666666666669</v>
      </c>
      <c r="N48" s="415">
        <v>501</v>
      </c>
      <c r="O48" s="415">
        <v>128</v>
      </c>
      <c r="P48" s="415">
        <v>373</v>
      </c>
      <c r="Q48" s="458">
        <v>7.22943722943723E-2</v>
      </c>
      <c r="R48" s="459">
        <v>0.7445109780439122</v>
      </c>
      <c r="S48" s="460">
        <v>0.6875</v>
      </c>
      <c r="T48" s="415">
        <v>603</v>
      </c>
      <c r="U48" s="415">
        <v>405</v>
      </c>
      <c r="V48" s="415">
        <v>198</v>
      </c>
      <c r="W48" s="458">
        <v>8.7012987012987014E-2</v>
      </c>
      <c r="X48" s="459">
        <v>0.67164179104477617</v>
      </c>
    </row>
    <row r="49" spans="1:24" s="162" customFormat="1" ht="18.95" customHeight="1">
      <c r="A49" s="125">
        <v>44</v>
      </c>
      <c r="B49" s="412" t="s">
        <v>952</v>
      </c>
      <c r="C49" s="412" t="s">
        <v>955</v>
      </c>
      <c r="D49" s="17">
        <v>44588</v>
      </c>
      <c r="E49" s="127" t="s">
        <v>267</v>
      </c>
      <c r="F49" s="413">
        <v>4017</v>
      </c>
      <c r="G49" s="414">
        <v>3809</v>
      </c>
      <c r="H49" s="415">
        <v>3729</v>
      </c>
      <c r="I49" s="416">
        <v>3737</v>
      </c>
      <c r="J49" s="416" t="s">
        <v>243</v>
      </c>
      <c r="K49" s="417">
        <v>3990</v>
      </c>
      <c r="L49" s="418">
        <v>6.7701364731067706E-2</v>
      </c>
      <c r="M49" s="21">
        <v>0.29166666666666669</v>
      </c>
      <c r="N49" s="415">
        <v>313</v>
      </c>
      <c r="O49" s="415">
        <v>129</v>
      </c>
      <c r="P49" s="415">
        <v>184</v>
      </c>
      <c r="Q49" s="458">
        <v>7.8446115288220555E-2</v>
      </c>
      <c r="R49" s="459">
        <v>0.58785942492012777</v>
      </c>
      <c r="S49" s="460">
        <v>0.6875</v>
      </c>
      <c r="T49" s="415">
        <v>375</v>
      </c>
      <c r="U49" s="415">
        <v>207</v>
      </c>
      <c r="V49" s="415">
        <v>168</v>
      </c>
      <c r="W49" s="458">
        <v>9.3984962406015032E-2</v>
      </c>
      <c r="X49" s="459">
        <v>0.55200000000000005</v>
      </c>
    </row>
    <row r="50" spans="1:24" s="162" customFormat="1" ht="18.95" customHeight="1">
      <c r="A50" s="125">
        <v>45</v>
      </c>
      <c r="B50" s="412" t="s">
        <v>952</v>
      </c>
      <c r="C50" s="412" t="s">
        <v>956</v>
      </c>
      <c r="D50" s="17">
        <v>44588</v>
      </c>
      <c r="E50" s="127" t="s">
        <v>267</v>
      </c>
      <c r="F50" s="413">
        <v>2840</v>
      </c>
      <c r="G50" s="414">
        <v>3068</v>
      </c>
      <c r="H50" s="415">
        <v>3305</v>
      </c>
      <c r="I50" s="416">
        <v>3964</v>
      </c>
      <c r="J50" s="416" t="s">
        <v>243</v>
      </c>
      <c r="K50" s="417">
        <v>3592</v>
      </c>
      <c r="L50" s="418">
        <v>-9.3844601412714432E-2</v>
      </c>
      <c r="M50" s="21">
        <v>0.28125</v>
      </c>
      <c r="N50" s="415">
        <v>271</v>
      </c>
      <c r="O50" s="415">
        <v>138</v>
      </c>
      <c r="P50" s="415">
        <v>133</v>
      </c>
      <c r="Q50" s="458">
        <v>7.5445434298440986E-2</v>
      </c>
      <c r="R50" s="459">
        <v>0.5092250922509225</v>
      </c>
      <c r="S50" s="460">
        <v>0.6875</v>
      </c>
      <c r="T50" s="415">
        <v>360</v>
      </c>
      <c r="U50" s="415">
        <v>177</v>
      </c>
      <c r="V50" s="415">
        <v>183</v>
      </c>
      <c r="W50" s="458">
        <v>0.10022271714922049</v>
      </c>
      <c r="X50" s="459">
        <v>0.5083333333333333</v>
      </c>
    </row>
    <row r="51" spans="1:24" s="162" customFormat="1" ht="18.95" customHeight="1">
      <c r="A51" s="125">
        <v>46</v>
      </c>
      <c r="B51" s="412" t="s">
        <v>957</v>
      </c>
      <c r="C51" s="412" t="s">
        <v>958</v>
      </c>
      <c r="D51" s="17">
        <v>44581</v>
      </c>
      <c r="E51" s="127" t="s">
        <v>267</v>
      </c>
      <c r="F51" s="413">
        <v>5158</v>
      </c>
      <c r="G51" s="414">
        <v>5054</v>
      </c>
      <c r="H51" s="415">
        <v>5422</v>
      </c>
      <c r="I51" s="416">
        <v>5646</v>
      </c>
      <c r="J51" s="416" t="s">
        <v>243</v>
      </c>
      <c r="K51" s="417">
        <v>6086</v>
      </c>
      <c r="L51" s="418">
        <v>7.7931278781438185E-2</v>
      </c>
      <c r="M51" s="21">
        <v>0.30208333333333331</v>
      </c>
      <c r="N51" s="415">
        <v>548</v>
      </c>
      <c r="O51" s="415">
        <v>401</v>
      </c>
      <c r="P51" s="415">
        <v>147</v>
      </c>
      <c r="Q51" s="458">
        <v>9.0042720999014128E-2</v>
      </c>
      <c r="R51" s="459">
        <v>0.73175182481751821</v>
      </c>
      <c r="S51" s="460">
        <v>0.60416666666666663</v>
      </c>
      <c r="T51" s="415">
        <v>547</v>
      </c>
      <c r="U51" s="415">
        <v>329</v>
      </c>
      <c r="V51" s="415">
        <v>218</v>
      </c>
      <c r="W51" s="458">
        <v>8.9878409464344403E-2</v>
      </c>
      <c r="X51" s="459">
        <v>0.60146252285191959</v>
      </c>
    </row>
    <row r="52" spans="1:24" s="162" customFormat="1" ht="18.95" customHeight="1">
      <c r="A52" s="125">
        <v>47</v>
      </c>
      <c r="B52" s="412" t="s">
        <v>957</v>
      </c>
      <c r="C52" s="412" t="s">
        <v>959</v>
      </c>
      <c r="D52" s="17">
        <v>44581</v>
      </c>
      <c r="E52" s="127" t="s">
        <v>267</v>
      </c>
      <c r="F52" s="413">
        <v>6681</v>
      </c>
      <c r="G52" s="414">
        <v>6149</v>
      </c>
      <c r="H52" s="415">
        <v>6737</v>
      </c>
      <c r="I52" s="416">
        <v>7103</v>
      </c>
      <c r="J52" s="416" t="s">
        <v>243</v>
      </c>
      <c r="K52" s="417">
        <v>7136</v>
      </c>
      <c r="L52" s="418">
        <v>4.6459242573560471E-3</v>
      </c>
      <c r="M52" s="21">
        <v>0.3125</v>
      </c>
      <c r="N52" s="415">
        <v>558</v>
      </c>
      <c r="O52" s="415">
        <v>411</v>
      </c>
      <c r="P52" s="415">
        <v>147</v>
      </c>
      <c r="Q52" s="458">
        <v>7.8195067264573995E-2</v>
      </c>
      <c r="R52" s="459">
        <v>0.73655913978494625</v>
      </c>
      <c r="S52" s="460">
        <v>0.69791666666666663</v>
      </c>
      <c r="T52" s="415">
        <v>643</v>
      </c>
      <c r="U52" s="415">
        <v>278</v>
      </c>
      <c r="V52" s="415">
        <v>365</v>
      </c>
      <c r="W52" s="458">
        <v>9.010650224215247E-2</v>
      </c>
      <c r="X52" s="459">
        <v>0.56765163297045096</v>
      </c>
    </row>
    <row r="53" spans="1:24" s="162" customFormat="1" ht="18.95" customHeight="1">
      <c r="A53" s="125">
        <v>48</v>
      </c>
      <c r="B53" s="412" t="s">
        <v>960</v>
      </c>
      <c r="C53" s="412" t="s">
        <v>961</v>
      </c>
      <c r="D53" s="17">
        <v>44588</v>
      </c>
      <c r="E53" s="127" t="s">
        <v>267</v>
      </c>
      <c r="F53" s="413">
        <v>4010</v>
      </c>
      <c r="G53" s="414">
        <v>4429</v>
      </c>
      <c r="H53" s="415">
        <v>4845</v>
      </c>
      <c r="I53" s="416">
        <v>5210</v>
      </c>
      <c r="J53" s="416" t="s">
        <v>243</v>
      </c>
      <c r="K53" s="417">
        <v>5588</v>
      </c>
      <c r="L53" s="418">
        <v>7.2552783109404995E-2</v>
      </c>
      <c r="M53" s="21">
        <v>0.29166666666666669</v>
      </c>
      <c r="N53" s="415">
        <v>454</v>
      </c>
      <c r="O53" s="415">
        <v>290</v>
      </c>
      <c r="P53" s="415">
        <v>164</v>
      </c>
      <c r="Q53" s="458">
        <v>8.1245526127415896E-2</v>
      </c>
      <c r="R53" s="459">
        <v>0.63876651982378851</v>
      </c>
      <c r="S53" s="460">
        <v>0.69791666666666663</v>
      </c>
      <c r="T53" s="415">
        <v>558</v>
      </c>
      <c r="U53" s="415">
        <v>239</v>
      </c>
      <c r="V53" s="415">
        <v>319</v>
      </c>
      <c r="W53" s="458">
        <v>9.9856836077308525E-2</v>
      </c>
      <c r="X53" s="459">
        <v>0.57168458781362008</v>
      </c>
    </row>
    <row r="54" spans="1:24" s="162" customFormat="1" ht="18.95" customHeight="1" thickBot="1">
      <c r="A54" s="419">
        <v>49</v>
      </c>
      <c r="B54" s="420" t="s">
        <v>960</v>
      </c>
      <c r="C54" s="420" t="s">
        <v>962</v>
      </c>
      <c r="D54" s="421">
        <v>44588</v>
      </c>
      <c r="E54" s="422" t="s">
        <v>267</v>
      </c>
      <c r="F54" s="423">
        <v>4187</v>
      </c>
      <c r="G54" s="424">
        <v>5354</v>
      </c>
      <c r="H54" s="425">
        <v>5787</v>
      </c>
      <c r="I54" s="426">
        <v>6282</v>
      </c>
      <c r="J54" s="426" t="s">
        <v>243</v>
      </c>
      <c r="K54" s="427">
        <v>7106</v>
      </c>
      <c r="L54" s="428">
        <v>0.131168417701369</v>
      </c>
      <c r="M54" s="461">
        <v>0.29166666666666669</v>
      </c>
      <c r="N54" s="425">
        <v>562</v>
      </c>
      <c r="O54" s="425">
        <v>273</v>
      </c>
      <c r="P54" s="425">
        <v>289</v>
      </c>
      <c r="Q54" s="462">
        <v>7.9088094567970724E-2</v>
      </c>
      <c r="R54" s="463">
        <v>0.51423487544483981</v>
      </c>
      <c r="S54" s="464">
        <v>0.6875</v>
      </c>
      <c r="T54" s="425">
        <v>658</v>
      </c>
      <c r="U54" s="425">
        <v>350</v>
      </c>
      <c r="V54" s="425">
        <v>308</v>
      </c>
      <c r="W54" s="462">
        <v>9.2597804672108083E-2</v>
      </c>
      <c r="X54" s="463">
        <v>0.53191489361702127</v>
      </c>
    </row>
    <row r="55" spans="1:24" s="162" customFormat="1" ht="18.95" customHeight="1">
      <c r="A55" s="429">
        <v>50</v>
      </c>
      <c r="B55" s="430" t="s">
        <v>963</v>
      </c>
      <c r="C55" s="430" t="s">
        <v>964</v>
      </c>
      <c r="D55" s="431">
        <v>44602</v>
      </c>
      <c r="E55" s="432" t="s">
        <v>267</v>
      </c>
      <c r="F55" s="433">
        <v>4250</v>
      </c>
      <c r="G55" s="434">
        <v>4021</v>
      </c>
      <c r="H55" s="435" t="s">
        <v>243</v>
      </c>
      <c r="I55" s="436">
        <v>3873</v>
      </c>
      <c r="J55" s="436" t="s">
        <v>243</v>
      </c>
      <c r="K55" s="437">
        <v>5297</v>
      </c>
      <c r="L55" s="438">
        <v>0.36767363800671315</v>
      </c>
      <c r="M55" s="465">
        <v>0.3125</v>
      </c>
      <c r="N55" s="435">
        <v>412</v>
      </c>
      <c r="O55" s="435">
        <v>177</v>
      </c>
      <c r="P55" s="435">
        <v>235</v>
      </c>
      <c r="Q55" s="466">
        <v>7.777987540117047E-2</v>
      </c>
      <c r="R55" s="467">
        <v>0.57038834951456308</v>
      </c>
      <c r="S55" s="468">
        <v>0.67708333333333337</v>
      </c>
      <c r="T55" s="435">
        <v>528</v>
      </c>
      <c r="U55" s="435">
        <v>314</v>
      </c>
      <c r="V55" s="435">
        <v>214</v>
      </c>
      <c r="W55" s="466">
        <v>9.9679063620917496E-2</v>
      </c>
      <c r="X55" s="467">
        <v>0.59469696969696972</v>
      </c>
    </row>
    <row r="56" spans="1:24" s="162" customFormat="1" ht="18.95" customHeight="1">
      <c r="A56" s="125">
        <v>51</v>
      </c>
      <c r="B56" s="412" t="s">
        <v>963</v>
      </c>
      <c r="C56" s="412" t="s">
        <v>965</v>
      </c>
      <c r="D56" s="17">
        <v>44616</v>
      </c>
      <c r="E56" s="127" t="s">
        <v>267</v>
      </c>
      <c r="F56" s="413">
        <v>4973</v>
      </c>
      <c r="G56" s="414">
        <v>4587</v>
      </c>
      <c r="H56" s="415" t="s">
        <v>243</v>
      </c>
      <c r="I56" s="416">
        <v>4652</v>
      </c>
      <c r="J56" s="416" t="s">
        <v>243</v>
      </c>
      <c r="K56" s="417">
        <v>5681</v>
      </c>
      <c r="L56" s="418">
        <v>0.22119518486672399</v>
      </c>
      <c r="M56" s="21">
        <v>0.3125</v>
      </c>
      <c r="N56" s="415">
        <v>464</v>
      </c>
      <c r="O56" s="415">
        <v>207</v>
      </c>
      <c r="P56" s="415">
        <v>257</v>
      </c>
      <c r="Q56" s="458">
        <v>8.1675761309628586E-2</v>
      </c>
      <c r="R56" s="459">
        <v>0.55387931034482762</v>
      </c>
      <c r="S56" s="460">
        <v>0.67708333333333337</v>
      </c>
      <c r="T56" s="415">
        <v>531</v>
      </c>
      <c r="U56" s="415">
        <v>308</v>
      </c>
      <c r="V56" s="415">
        <v>223</v>
      </c>
      <c r="W56" s="458">
        <v>9.3469459602182711E-2</v>
      </c>
      <c r="X56" s="459">
        <v>0.58003766478342744</v>
      </c>
    </row>
    <row r="57" spans="1:24" s="162" customFormat="1" ht="18.95" customHeight="1">
      <c r="A57" s="125">
        <v>52</v>
      </c>
      <c r="B57" s="412" t="s">
        <v>963</v>
      </c>
      <c r="C57" s="412" t="s">
        <v>320</v>
      </c>
      <c r="D57" s="17">
        <v>44609</v>
      </c>
      <c r="E57" s="127" t="s">
        <v>267</v>
      </c>
      <c r="F57" s="413">
        <v>6000</v>
      </c>
      <c r="G57" s="414">
        <v>5396</v>
      </c>
      <c r="H57" s="415">
        <v>3502</v>
      </c>
      <c r="I57" s="416">
        <v>5130</v>
      </c>
      <c r="J57" s="416" t="s">
        <v>243</v>
      </c>
      <c r="K57" s="417">
        <v>5951</v>
      </c>
      <c r="L57" s="418">
        <v>0.16003898635477584</v>
      </c>
      <c r="M57" s="21">
        <v>0.45833333333333331</v>
      </c>
      <c r="N57" s="415">
        <v>456</v>
      </c>
      <c r="O57" s="415">
        <v>228</v>
      </c>
      <c r="P57" s="415">
        <v>228</v>
      </c>
      <c r="Q57" s="458">
        <v>7.6625777180305832E-2</v>
      </c>
      <c r="R57" s="459">
        <v>0.5</v>
      </c>
      <c r="S57" s="460">
        <v>0.64583333333333337</v>
      </c>
      <c r="T57" s="415">
        <v>544</v>
      </c>
      <c r="U57" s="415">
        <v>286</v>
      </c>
      <c r="V57" s="415">
        <v>258</v>
      </c>
      <c r="W57" s="458">
        <v>9.1413207864224494E-2</v>
      </c>
      <c r="X57" s="459">
        <v>0.52573529411764708</v>
      </c>
    </row>
    <row r="58" spans="1:24" s="162" customFormat="1" ht="18.95" customHeight="1">
      <c r="A58" s="439">
        <v>53</v>
      </c>
      <c r="B58" s="412" t="s">
        <v>966</v>
      </c>
      <c r="C58" s="412" t="s">
        <v>967</v>
      </c>
      <c r="D58" s="440">
        <v>44616</v>
      </c>
      <c r="E58" s="441" t="s">
        <v>267</v>
      </c>
      <c r="F58" s="442" t="s">
        <v>243</v>
      </c>
      <c r="G58" s="443" t="s">
        <v>243</v>
      </c>
      <c r="H58" s="444" t="s">
        <v>243</v>
      </c>
      <c r="I58" s="445" t="s">
        <v>243</v>
      </c>
      <c r="J58" s="445" t="s">
        <v>243</v>
      </c>
      <c r="K58" s="446">
        <v>849</v>
      </c>
      <c r="L58" s="447" t="s">
        <v>243</v>
      </c>
      <c r="M58" s="469">
        <v>0.32291666666666669</v>
      </c>
      <c r="N58" s="444">
        <v>67</v>
      </c>
      <c r="O58" s="444">
        <v>32</v>
      </c>
      <c r="P58" s="444">
        <v>35</v>
      </c>
      <c r="Q58" s="470">
        <v>7.8916372202591289E-2</v>
      </c>
      <c r="R58" s="471">
        <v>0.52238805970149249</v>
      </c>
      <c r="S58" s="472">
        <v>0.76041666666666663</v>
      </c>
      <c r="T58" s="444">
        <v>88</v>
      </c>
      <c r="U58" s="444">
        <v>45</v>
      </c>
      <c r="V58" s="444">
        <v>43</v>
      </c>
      <c r="W58" s="470">
        <v>0.10365135453474676</v>
      </c>
      <c r="X58" s="471">
        <v>0.51136363636363635</v>
      </c>
    </row>
    <row r="59" spans="1:24" s="162" customFormat="1" ht="18.95" customHeight="1">
      <c r="A59" s="125">
        <v>54</v>
      </c>
      <c r="B59" s="412" t="s">
        <v>968</v>
      </c>
      <c r="C59" s="412" t="s">
        <v>969</v>
      </c>
      <c r="D59" s="17">
        <v>44609</v>
      </c>
      <c r="E59" s="127" t="s">
        <v>267</v>
      </c>
      <c r="F59" s="413">
        <v>4919</v>
      </c>
      <c r="G59" s="414">
        <v>4325</v>
      </c>
      <c r="H59" s="415">
        <v>4545</v>
      </c>
      <c r="I59" s="416">
        <v>5216</v>
      </c>
      <c r="J59" s="416" t="s">
        <v>243</v>
      </c>
      <c r="K59" s="417">
        <v>5832</v>
      </c>
      <c r="L59" s="418">
        <v>0.11809815950920245</v>
      </c>
      <c r="M59" s="21">
        <v>0.29166666666666669</v>
      </c>
      <c r="N59" s="415">
        <v>433</v>
      </c>
      <c r="O59" s="415">
        <v>234</v>
      </c>
      <c r="P59" s="415">
        <v>199</v>
      </c>
      <c r="Q59" s="458">
        <v>7.4245541838134435E-2</v>
      </c>
      <c r="R59" s="459">
        <v>0.5404157043879908</v>
      </c>
      <c r="S59" s="460">
        <v>0.67708333333333337</v>
      </c>
      <c r="T59" s="415">
        <v>575</v>
      </c>
      <c r="U59" s="415">
        <v>220</v>
      </c>
      <c r="V59" s="415">
        <v>355</v>
      </c>
      <c r="W59" s="458">
        <v>9.8593964334705075E-2</v>
      </c>
      <c r="X59" s="459">
        <v>0.61739130434782608</v>
      </c>
    </row>
    <row r="60" spans="1:24" s="162" customFormat="1" ht="18.95" customHeight="1">
      <c r="A60" s="125">
        <v>55</v>
      </c>
      <c r="B60" s="412" t="s">
        <v>970</v>
      </c>
      <c r="C60" s="412" t="s">
        <v>448</v>
      </c>
      <c r="D60" s="17">
        <v>44602</v>
      </c>
      <c r="E60" s="127" t="s">
        <v>267</v>
      </c>
      <c r="F60" s="413">
        <v>2806</v>
      </c>
      <c r="G60" s="414">
        <v>2448</v>
      </c>
      <c r="H60" s="415">
        <v>2528</v>
      </c>
      <c r="I60" s="416">
        <v>2877</v>
      </c>
      <c r="J60" s="416" t="s">
        <v>243</v>
      </c>
      <c r="K60" s="417">
        <v>3187</v>
      </c>
      <c r="L60" s="418">
        <v>0.10775112964893986</v>
      </c>
      <c r="M60" s="21">
        <v>0.3125</v>
      </c>
      <c r="N60" s="415">
        <v>288</v>
      </c>
      <c r="O60" s="415">
        <v>99</v>
      </c>
      <c r="P60" s="415">
        <v>189</v>
      </c>
      <c r="Q60" s="458">
        <v>9.0367116410417322E-2</v>
      </c>
      <c r="R60" s="459">
        <v>0.65625</v>
      </c>
      <c r="S60" s="460">
        <v>0.66666666666666663</v>
      </c>
      <c r="T60" s="415">
        <v>337</v>
      </c>
      <c r="U60" s="415">
        <v>175</v>
      </c>
      <c r="V60" s="415">
        <v>162</v>
      </c>
      <c r="W60" s="458">
        <v>0.1057420771885786</v>
      </c>
      <c r="X60" s="459">
        <v>0.51928783382789323</v>
      </c>
    </row>
    <row r="61" spans="1:24" s="162" customFormat="1" ht="18.95" customHeight="1">
      <c r="A61" s="125">
        <v>56</v>
      </c>
      <c r="B61" s="412" t="s">
        <v>971</v>
      </c>
      <c r="C61" s="412" t="s">
        <v>449</v>
      </c>
      <c r="D61" s="17">
        <v>44609</v>
      </c>
      <c r="E61" s="127" t="s">
        <v>267</v>
      </c>
      <c r="F61" s="413">
        <v>4705</v>
      </c>
      <c r="G61" s="414">
        <v>4871</v>
      </c>
      <c r="H61" s="415">
        <v>4955</v>
      </c>
      <c r="I61" s="416">
        <v>4962</v>
      </c>
      <c r="J61" s="416" t="s">
        <v>243</v>
      </c>
      <c r="K61" s="417">
        <v>5802</v>
      </c>
      <c r="L61" s="418">
        <v>0.16928657799274485</v>
      </c>
      <c r="M61" s="21">
        <v>0.29166666666666669</v>
      </c>
      <c r="N61" s="415">
        <v>382</v>
      </c>
      <c r="O61" s="415">
        <v>264</v>
      </c>
      <c r="P61" s="415">
        <v>118</v>
      </c>
      <c r="Q61" s="458">
        <v>6.5839365735953115E-2</v>
      </c>
      <c r="R61" s="459">
        <v>0.69109947643979053</v>
      </c>
      <c r="S61" s="460">
        <v>0.6875</v>
      </c>
      <c r="T61" s="415">
        <v>513</v>
      </c>
      <c r="U61" s="415">
        <v>186</v>
      </c>
      <c r="V61" s="415">
        <v>327</v>
      </c>
      <c r="W61" s="458">
        <v>8.8417786970010348E-2</v>
      </c>
      <c r="X61" s="459">
        <v>0.63742690058479534</v>
      </c>
    </row>
    <row r="62" spans="1:24" s="162" customFormat="1" ht="18.95" customHeight="1">
      <c r="A62" s="125">
        <v>57</v>
      </c>
      <c r="B62" s="412" t="s">
        <v>972</v>
      </c>
      <c r="C62" s="412" t="s">
        <v>973</v>
      </c>
      <c r="D62" s="17">
        <v>44635</v>
      </c>
      <c r="E62" s="127" t="s">
        <v>267</v>
      </c>
      <c r="F62" s="413">
        <v>623</v>
      </c>
      <c r="G62" s="414" t="s">
        <v>243</v>
      </c>
      <c r="H62" s="415" t="s">
        <v>243</v>
      </c>
      <c r="I62" s="416">
        <v>611</v>
      </c>
      <c r="J62" s="416" t="s">
        <v>243</v>
      </c>
      <c r="K62" s="417">
        <v>390</v>
      </c>
      <c r="L62" s="418">
        <v>-0.36170212765957449</v>
      </c>
      <c r="M62" s="21">
        <v>0.32291666666666669</v>
      </c>
      <c r="N62" s="415">
        <v>31</v>
      </c>
      <c r="O62" s="415">
        <v>20</v>
      </c>
      <c r="P62" s="415">
        <v>11</v>
      </c>
      <c r="Q62" s="458">
        <v>7.9487179487179482E-2</v>
      </c>
      <c r="R62" s="459">
        <v>0.64516129032258063</v>
      </c>
      <c r="S62" s="460">
        <v>0.65625</v>
      </c>
      <c r="T62" s="415">
        <v>46</v>
      </c>
      <c r="U62" s="415">
        <v>23</v>
      </c>
      <c r="V62" s="415">
        <v>23</v>
      </c>
      <c r="W62" s="458">
        <v>0.11794871794871795</v>
      </c>
      <c r="X62" s="459">
        <v>0.5</v>
      </c>
    </row>
    <row r="63" spans="1:24" s="162" customFormat="1" ht="18.95" customHeight="1">
      <c r="A63" s="125">
        <v>58</v>
      </c>
      <c r="B63" s="412" t="s">
        <v>974</v>
      </c>
      <c r="C63" s="412" t="s">
        <v>975</v>
      </c>
      <c r="D63" s="17">
        <v>44635</v>
      </c>
      <c r="E63" s="127" t="s">
        <v>267</v>
      </c>
      <c r="F63" s="413">
        <v>2037</v>
      </c>
      <c r="G63" s="414">
        <v>1934</v>
      </c>
      <c r="H63" s="415">
        <v>1942</v>
      </c>
      <c r="I63" s="416">
        <v>1817</v>
      </c>
      <c r="J63" s="416" t="s">
        <v>243</v>
      </c>
      <c r="K63" s="417">
        <v>2299</v>
      </c>
      <c r="L63" s="418">
        <v>0.26527242707760046</v>
      </c>
      <c r="M63" s="21">
        <v>0.29166666666666669</v>
      </c>
      <c r="N63" s="415">
        <v>195</v>
      </c>
      <c r="O63" s="415">
        <v>74</v>
      </c>
      <c r="P63" s="415">
        <v>121</v>
      </c>
      <c r="Q63" s="458">
        <v>8.4819486733362329E-2</v>
      </c>
      <c r="R63" s="459">
        <v>0.62051282051282053</v>
      </c>
      <c r="S63" s="460">
        <v>0.66666666666666663</v>
      </c>
      <c r="T63" s="415">
        <v>211</v>
      </c>
      <c r="U63" s="415">
        <v>141</v>
      </c>
      <c r="V63" s="415">
        <v>70</v>
      </c>
      <c r="W63" s="458">
        <v>9.1779034362766423E-2</v>
      </c>
      <c r="X63" s="459">
        <v>0.66824644549763035</v>
      </c>
    </row>
    <row r="64" spans="1:24" s="162" customFormat="1" ht="18.75" customHeight="1" outlineLevel="1">
      <c r="A64" s="125">
        <v>59</v>
      </c>
      <c r="B64" s="412" t="s">
        <v>976</v>
      </c>
      <c r="C64" s="412" t="s">
        <v>977</v>
      </c>
      <c r="D64" s="17">
        <v>44602</v>
      </c>
      <c r="E64" s="127" t="s">
        <v>267</v>
      </c>
      <c r="F64" s="413">
        <v>2595</v>
      </c>
      <c r="G64" s="414" t="s">
        <v>243</v>
      </c>
      <c r="H64" s="415" t="s">
        <v>243</v>
      </c>
      <c r="I64" s="416" t="s">
        <v>243</v>
      </c>
      <c r="J64" s="416" t="s">
        <v>243</v>
      </c>
      <c r="K64" s="417">
        <v>2755</v>
      </c>
      <c r="L64" s="418" t="s">
        <v>243</v>
      </c>
      <c r="M64" s="21">
        <v>0.3125</v>
      </c>
      <c r="N64" s="415">
        <v>255</v>
      </c>
      <c r="O64" s="415">
        <v>91</v>
      </c>
      <c r="P64" s="415">
        <v>164</v>
      </c>
      <c r="Q64" s="458">
        <v>9.2558983666061703E-2</v>
      </c>
      <c r="R64" s="459">
        <v>0.64313725490196083</v>
      </c>
      <c r="S64" s="460">
        <v>0.66666666666666663</v>
      </c>
      <c r="T64" s="415">
        <v>290</v>
      </c>
      <c r="U64" s="415">
        <v>147</v>
      </c>
      <c r="V64" s="415">
        <v>143</v>
      </c>
      <c r="W64" s="458">
        <v>0.10526315789473684</v>
      </c>
      <c r="X64" s="459">
        <v>0.50689655172413794</v>
      </c>
    </row>
    <row r="65" spans="1:24" s="162" customFormat="1" ht="18.95" customHeight="1">
      <c r="A65" s="125">
        <v>60</v>
      </c>
      <c r="B65" s="412" t="s">
        <v>971</v>
      </c>
      <c r="C65" s="412" t="s">
        <v>978</v>
      </c>
      <c r="D65" s="17">
        <v>44609</v>
      </c>
      <c r="E65" s="127" t="s">
        <v>267</v>
      </c>
      <c r="F65" s="413">
        <v>3145</v>
      </c>
      <c r="G65" s="414">
        <v>3848</v>
      </c>
      <c r="H65" s="415">
        <v>3753</v>
      </c>
      <c r="I65" s="416">
        <v>4308</v>
      </c>
      <c r="J65" s="416" t="s">
        <v>243</v>
      </c>
      <c r="K65" s="417">
        <v>5028</v>
      </c>
      <c r="L65" s="418">
        <v>0.16713091922005571</v>
      </c>
      <c r="M65" s="21">
        <v>0.38541666666666669</v>
      </c>
      <c r="N65" s="415">
        <v>331</v>
      </c>
      <c r="O65" s="415">
        <v>167</v>
      </c>
      <c r="P65" s="415">
        <v>164</v>
      </c>
      <c r="Q65" s="458">
        <v>6.5831344470962616E-2</v>
      </c>
      <c r="R65" s="459">
        <v>0.50453172205438068</v>
      </c>
      <c r="S65" s="460">
        <v>0.66666666666666663</v>
      </c>
      <c r="T65" s="415">
        <v>418</v>
      </c>
      <c r="U65" s="415">
        <v>168</v>
      </c>
      <c r="V65" s="415">
        <v>250</v>
      </c>
      <c r="W65" s="458">
        <v>8.3134447096260944E-2</v>
      </c>
      <c r="X65" s="459">
        <v>0.59808612440191389</v>
      </c>
    </row>
    <row r="66" spans="1:24" s="162" customFormat="1" ht="18.95" customHeight="1">
      <c r="A66" s="125">
        <v>61</v>
      </c>
      <c r="B66" s="412" t="s">
        <v>971</v>
      </c>
      <c r="C66" s="412" t="s">
        <v>979</v>
      </c>
      <c r="D66" s="17">
        <v>44609</v>
      </c>
      <c r="E66" s="127" t="s">
        <v>267</v>
      </c>
      <c r="F66" s="413">
        <v>4393</v>
      </c>
      <c r="G66" s="414">
        <v>4360</v>
      </c>
      <c r="H66" s="415">
        <v>4710</v>
      </c>
      <c r="I66" s="416">
        <v>4598</v>
      </c>
      <c r="J66" s="416" t="s">
        <v>243</v>
      </c>
      <c r="K66" s="417">
        <v>5905</v>
      </c>
      <c r="L66" s="418">
        <v>0.28425402348847323</v>
      </c>
      <c r="M66" s="21">
        <v>0.40625</v>
      </c>
      <c r="N66" s="415">
        <v>388</v>
      </c>
      <c r="O66" s="415">
        <v>197</v>
      </c>
      <c r="P66" s="415">
        <v>191</v>
      </c>
      <c r="Q66" s="458">
        <v>6.570702794242167E-2</v>
      </c>
      <c r="R66" s="459">
        <v>0.50773195876288657</v>
      </c>
      <c r="S66" s="460">
        <v>0.6875</v>
      </c>
      <c r="T66" s="415">
        <v>490</v>
      </c>
      <c r="U66" s="415">
        <v>180</v>
      </c>
      <c r="V66" s="415">
        <v>310</v>
      </c>
      <c r="W66" s="458">
        <v>8.2980524978831502E-2</v>
      </c>
      <c r="X66" s="459">
        <v>0.63265306122448983</v>
      </c>
    </row>
    <row r="67" spans="1:24" s="162" customFormat="1" ht="18.95" customHeight="1" outlineLevel="1">
      <c r="A67" s="125">
        <v>62</v>
      </c>
      <c r="B67" s="412" t="s">
        <v>971</v>
      </c>
      <c r="C67" s="412" t="s">
        <v>980</v>
      </c>
      <c r="D67" s="17">
        <v>44609</v>
      </c>
      <c r="E67" s="127" t="s">
        <v>267</v>
      </c>
      <c r="F67" s="413">
        <v>4897</v>
      </c>
      <c r="G67" s="414">
        <v>4227</v>
      </c>
      <c r="H67" s="415">
        <v>4353</v>
      </c>
      <c r="I67" s="416">
        <v>4192</v>
      </c>
      <c r="J67" s="416" t="s">
        <v>243</v>
      </c>
      <c r="K67" s="417">
        <v>5405</v>
      </c>
      <c r="L67" s="418">
        <v>0.28936068702290074</v>
      </c>
      <c r="M67" s="21">
        <v>0.35416666666666669</v>
      </c>
      <c r="N67" s="415">
        <v>353</v>
      </c>
      <c r="O67" s="415">
        <v>182</v>
      </c>
      <c r="P67" s="415">
        <v>171</v>
      </c>
      <c r="Q67" s="458">
        <v>6.5309898242368172E-2</v>
      </c>
      <c r="R67" s="459">
        <v>0.51558073654390935</v>
      </c>
      <c r="S67" s="460">
        <v>0.6875</v>
      </c>
      <c r="T67" s="415">
        <v>463</v>
      </c>
      <c r="U67" s="415">
        <v>173</v>
      </c>
      <c r="V67" s="415">
        <v>290</v>
      </c>
      <c r="W67" s="458">
        <v>8.5661424606845518E-2</v>
      </c>
      <c r="X67" s="459">
        <v>0.62634989200863933</v>
      </c>
    </row>
    <row r="68" spans="1:24" s="162" customFormat="1" ht="18.95" customHeight="1">
      <c r="A68" s="125">
        <v>63</v>
      </c>
      <c r="B68" s="412" t="s">
        <v>971</v>
      </c>
      <c r="C68" s="412" t="s">
        <v>981</v>
      </c>
      <c r="D68" s="17">
        <v>44609</v>
      </c>
      <c r="E68" s="127" t="s">
        <v>267</v>
      </c>
      <c r="F68" s="413">
        <v>5058</v>
      </c>
      <c r="G68" s="414">
        <v>4657</v>
      </c>
      <c r="H68" s="415">
        <v>4730</v>
      </c>
      <c r="I68" s="416">
        <v>5421</v>
      </c>
      <c r="J68" s="416" t="s">
        <v>243</v>
      </c>
      <c r="K68" s="417">
        <v>5572</v>
      </c>
      <c r="L68" s="418">
        <v>2.7854639365430731E-2</v>
      </c>
      <c r="M68" s="21">
        <v>0.29166666666666669</v>
      </c>
      <c r="N68" s="415">
        <v>458</v>
      </c>
      <c r="O68" s="415">
        <v>286</v>
      </c>
      <c r="P68" s="415">
        <v>172</v>
      </c>
      <c r="Q68" s="458">
        <v>8.2196697774587227E-2</v>
      </c>
      <c r="R68" s="459">
        <v>0.62445414847161573</v>
      </c>
      <c r="S68" s="460">
        <v>0.66666666666666663</v>
      </c>
      <c r="T68" s="415">
        <v>551</v>
      </c>
      <c r="U68" s="415">
        <v>223</v>
      </c>
      <c r="V68" s="415">
        <v>328</v>
      </c>
      <c r="W68" s="458">
        <v>9.8887293610911697E-2</v>
      </c>
      <c r="X68" s="459">
        <v>0.59528130671506352</v>
      </c>
    </row>
    <row r="69" spans="1:24" s="162" customFormat="1" ht="18.95" customHeight="1">
      <c r="A69" s="125">
        <v>64</v>
      </c>
      <c r="B69" s="412" t="s">
        <v>982</v>
      </c>
      <c r="C69" s="412" t="s">
        <v>983</v>
      </c>
      <c r="D69" s="17">
        <v>44609</v>
      </c>
      <c r="E69" s="127" t="s">
        <v>267</v>
      </c>
      <c r="F69" s="413">
        <v>756</v>
      </c>
      <c r="G69" s="414">
        <v>731</v>
      </c>
      <c r="H69" s="415">
        <v>755</v>
      </c>
      <c r="I69" s="416">
        <v>680</v>
      </c>
      <c r="J69" s="416" t="s">
        <v>243</v>
      </c>
      <c r="K69" s="417">
        <v>801</v>
      </c>
      <c r="L69" s="418">
        <v>0.17794117647058824</v>
      </c>
      <c r="M69" s="21">
        <v>0.29166666666666669</v>
      </c>
      <c r="N69" s="415">
        <v>81</v>
      </c>
      <c r="O69" s="415">
        <v>57</v>
      </c>
      <c r="P69" s="415">
        <v>24</v>
      </c>
      <c r="Q69" s="458">
        <v>0.10112359550561797</v>
      </c>
      <c r="R69" s="459">
        <v>0.70370370370370372</v>
      </c>
      <c r="S69" s="460">
        <v>0.72916666666666663</v>
      </c>
      <c r="T69" s="415">
        <v>86</v>
      </c>
      <c r="U69" s="415">
        <v>34</v>
      </c>
      <c r="V69" s="415">
        <v>52</v>
      </c>
      <c r="W69" s="458">
        <v>0.10736579275905118</v>
      </c>
      <c r="X69" s="459">
        <v>0.60465116279069764</v>
      </c>
    </row>
    <row r="70" spans="1:24" s="162" customFormat="1" ht="18.95" customHeight="1">
      <c r="A70" s="125">
        <v>65</v>
      </c>
      <c r="B70" s="412" t="s">
        <v>850</v>
      </c>
      <c r="C70" s="412" t="s">
        <v>984</v>
      </c>
      <c r="D70" s="17">
        <v>44609</v>
      </c>
      <c r="E70" s="127" t="s">
        <v>267</v>
      </c>
      <c r="F70" s="413" t="s">
        <v>243</v>
      </c>
      <c r="G70" s="414" t="s">
        <v>243</v>
      </c>
      <c r="H70" s="415" t="s">
        <v>243</v>
      </c>
      <c r="I70" s="416" t="s">
        <v>243</v>
      </c>
      <c r="J70" s="416" t="s">
        <v>243</v>
      </c>
      <c r="K70" s="417">
        <v>658</v>
      </c>
      <c r="L70" s="418" t="s">
        <v>243</v>
      </c>
      <c r="M70" s="21">
        <v>0.42708333333333331</v>
      </c>
      <c r="N70" s="415">
        <v>47</v>
      </c>
      <c r="O70" s="415">
        <v>16</v>
      </c>
      <c r="P70" s="415">
        <v>31</v>
      </c>
      <c r="Q70" s="458">
        <v>7.1428571428571425E-2</v>
      </c>
      <c r="R70" s="459">
        <v>0.65957446808510634</v>
      </c>
      <c r="S70" s="460">
        <v>0.70833333333333337</v>
      </c>
      <c r="T70" s="415">
        <v>60</v>
      </c>
      <c r="U70" s="415">
        <v>40</v>
      </c>
      <c r="V70" s="415">
        <v>20</v>
      </c>
      <c r="W70" s="458">
        <v>9.1185410334346503E-2</v>
      </c>
      <c r="X70" s="459">
        <v>0.66666666666666663</v>
      </c>
    </row>
    <row r="71" spans="1:24" s="162" customFormat="1" ht="18.95" customHeight="1">
      <c r="A71" s="125">
        <v>66</v>
      </c>
      <c r="B71" s="412" t="s">
        <v>985</v>
      </c>
      <c r="C71" s="412" t="s">
        <v>986</v>
      </c>
      <c r="D71" s="17">
        <v>44602</v>
      </c>
      <c r="E71" s="127" t="s">
        <v>267</v>
      </c>
      <c r="F71" s="413">
        <v>1124</v>
      </c>
      <c r="G71" s="414">
        <v>943</v>
      </c>
      <c r="H71" s="415">
        <v>1021</v>
      </c>
      <c r="I71" s="416">
        <v>1016</v>
      </c>
      <c r="J71" s="416" t="s">
        <v>243</v>
      </c>
      <c r="K71" s="417">
        <v>1224</v>
      </c>
      <c r="L71" s="418">
        <v>0.20472440944881889</v>
      </c>
      <c r="M71" s="21">
        <v>0.28125</v>
      </c>
      <c r="N71" s="415">
        <v>112</v>
      </c>
      <c r="O71" s="415">
        <v>64</v>
      </c>
      <c r="P71" s="415">
        <v>48</v>
      </c>
      <c r="Q71" s="458">
        <v>9.1503267973856203E-2</v>
      </c>
      <c r="R71" s="459">
        <v>0.5714285714285714</v>
      </c>
      <c r="S71" s="460">
        <v>0.69791666666666663</v>
      </c>
      <c r="T71" s="415">
        <v>119</v>
      </c>
      <c r="U71" s="415">
        <v>38</v>
      </c>
      <c r="V71" s="415">
        <v>81</v>
      </c>
      <c r="W71" s="458">
        <v>9.7222222222222224E-2</v>
      </c>
      <c r="X71" s="459">
        <v>0.68067226890756305</v>
      </c>
    </row>
    <row r="72" spans="1:24" s="162" customFormat="1" ht="18.95" customHeight="1">
      <c r="A72" s="125">
        <v>67</v>
      </c>
      <c r="B72" s="412" t="s">
        <v>985</v>
      </c>
      <c r="C72" s="412" t="s">
        <v>987</v>
      </c>
      <c r="D72" s="17">
        <v>44635</v>
      </c>
      <c r="E72" s="127" t="s">
        <v>267</v>
      </c>
      <c r="F72" s="413">
        <v>1779</v>
      </c>
      <c r="G72" s="414">
        <v>1584</v>
      </c>
      <c r="H72" s="415">
        <v>1596</v>
      </c>
      <c r="I72" s="416">
        <v>1539</v>
      </c>
      <c r="J72" s="416" t="s">
        <v>243</v>
      </c>
      <c r="K72" s="417">
        <v>2048</v>
      </c>
      <c r="L72" s="418">
        <v>0.33073424301494475</v>
      </c>
      <c r="M72" s="21">
        <v>0.30208333333333331</v>
      </c>
      <c r="N72" s="415">
        <v>147</v>
      </c>
      <c r="O72" s="415">
        <v>71</v>
      </c>
      <c r="P72" s="415">
        <v>76</v>
      </c>
      <c r="Q72" s="458">
        <v>7.177734375E-2</v>
      </c>
      <c r="R72" s="459">
        <v>0.51700680272108845</v>
      </c>
      <c r="S72" s="460">
        <v>0.70833333333333337</v>
      </c>
      <c r="T72" s="415">
        <v>192</v>
      </c>
      <c r="U72" s="415">
        <v>95</v>
      </c>
      <c r="V72" s="415">
        <v>97</v>
      </c>
      <c r="W72" s="458">
        <v>9.375E-2</v>
      </c>
      <c r="X72" s="459">
        <v>0.50520833333333337</v>
      </c>
    </row>
    <row r="73" spans="1:24" s="226" customFormat="1" ht="18.95" customHeight="1">
      <c r="A73" s="210">
        <v>68</v>
      </c>
      <c r="B73" s="484" t="s">
        <v>982</v>
      </c>
      <c r="C73" s="484" t="s">
        <v>988</v>
      </c>
      <c r="D73" s="212">
        <v>44616</v>
      </c>
      <c r="E73" s="213" t="s">
        <v>267</v>
      </c>
      <c r="F73" s="485" t="s">
        <v>243</v>
      </c>
      <c r="G73" s="486" t="s">
        <v>243</v>
      </c>
      <c r="H73" s="487" t="s">
        <v>243</v>
      </c>
      <c r="I73" s="488" t="s">
        <v>243</v>
      </c>
      <c r="J73" s="488" t="s">
        <v>243</v>
      </c>
      <c r="K73" s="489">
        <v>375</v>
      </c>
      <c r="L73" s="490" t="s">
        <v>243</v>
      </c>
      <c r="M73" s="219">
        <v>0.28125</v>
      </c>
      <c r="N73" s="487">
        <v>37</v>
      </c>
      <c r="O73" s="487">
        <v>13</v>
      </c>
      <c r="P73" s="487">
        <v>24</v>
      </c>
      <c r="Q73" s="491">
        <v>9.8666666666666666E-2</v>
      </c>
      <c r="R73" s="492">
        <v>0.64864864864864868</v>
      </c>
      <c r="S73" s="493">
        <v>0.63541666666666663</v>
      </c>
      <c r="T73" s="487">
        <v>53</v>
      </c>
      <c r="U73" s="487">
        <v>35</v>
      </c>
      <c r="V73" s="487">
        <v>18</v>
      </c>
      <c r="W73" s="491">
        <v>0.14133333333333334</v>
      </c>
      <c r="X73" s="492">
        <v>0.660377358490566</v>
      </c>
    </row>
    <row r="74" spans="1:24" s="162" customFormat="1" ht="18.95" customHeight="1">
      <c r="A74" s="125">
        <v>69</v>
      </c>
      <c r="B74" s="412" t="s">
        <v>851</v>
      </c>
      <c r="C74" s="412" t="s">
        <v>989</v>
      </c>
      <c r="D74" s="17">
        <v>44635</v>
      </c>
      <c r="E74" s="127" t="s">
        <v>267</v>
      </c>
      <c r="F74" s="413">
        <v>1768</v>
      </c>
      <c r="G74" s="414">
        <v>1600</v>
      </c>
      <c r="H74" s="415">
        <v>1779</v>
      </c>
      <c r="I74" s="416">
        <v>1752</v>
      </c>
      <c r="J74" s="416" t="s">
        <v>243</v>
      </c>
      <c r="K74" s="417">
        <v>685</v>
      </c>
      <c r="L74" s="418">
        <v>-0.60901826484018262</v>
      </c>
      <c r="M74" s="21">
        <v>0.30208333333333331</v>
      </c>
      <c r="N74" s="415">
        <v>57</v>
      </c>
      <c r="O74" s="415">
        <v>42</v>
      </c>
      <c r="P74" s="415">
        <v>15</v>
      </c>
      <c r="Q74" s="458">
        <v>8.3211678832116789E-2</v>
      </c>
      <c r="R74" s="459">
        <v>0.73684210526315785</v>
      </c>
      <c r="S74" s="460">
        <v>0.67708333333333337</v>
      </c>
      <c r="T74" s="415">
        <v>82</v>
      </c>
      <c r="U74" s="415">
        <v>30</v>
      </c>
      <c r="V74" s="415">
        <v>52</v>
      </c>
      <c r="W74" s="458">
        <v>0.11970802919708029</v>
      </c>
      <c r="X74" s="459">
        <v>0.63414634146341464</v>
      </c>
    </row>
    <row r="75" spans="1:24" s="162" customFormat="1" ht="18.95" customHeight="1">
      <c r="A75" s="125">
        <v>70</v>
      </c>
      <c r="B75" s="412" t="s">
        <v>990</v>
      </c>
      <c r="C75" s="412" t="s">
        <v>991</v>
      </c>
      <c r="D75" s="17">
        <v>44609</v>
      </c>
      <c r="E75" s="127" t="s">
        <v>267</v>
      </c>
      <c r="F75" s="413">
        <v>2662</v>
      </c>
      <c r="G75" s="414">
        <v>2109</v>
      </c>
      <c r="H75" s="415">
        <v>2092</v>
      </c>
      <c r="I75" s="416">
        <v>2146</v>
      </c>
      <c r="J75" s="416" t="s">
        <v>243</v>
      </c>
      <c r="K75" s="417">
        <v>2816</v>
      </c>
      <c r="L75" s="418">
        <v>0.31220876048462254</v>
      </c>
      <c r="M75" s="21">
        <v>0.30208333333333331</v>
      </c>
      <c r="N75" s="415">
        <v>224</v>
      </c>
      <c r="O75" s="415">
        <v>117</v>
      </c>
      <c r="P75" s="415">
        <v>107</v>
      </c>
      <c r="Q75" s="458">
        <v>7.9545454545454544E-2</v>
      </c>
      <c r="R75" s="459">
        <v>0.5223214285714286</v>
      </c>
      <c r="S75" s="460">
        <v>0.66666666666666663</v>
      </c>
      <c r="T75" s="415">
        <v>247</v>
      </c>
      <c r="U75" s="415">
        <v>119</v>
      </c>
      <c r="V75" s="415">
        <v>128</v>
      </c>
      <c r="W75" s="458">
        <v>8.7713068181818177E-2</v>
      </c>
      <c r="X75" s="459">
        <v>0.51821862348178138</v>
      </c>
    </row>
    <row r="76" spans="1:24" s="162" customFormat="1" ht="18.95" customHeight="1">
      <c r="A76" s="125">
        <v>71</v>
      </c>
      <c r="B76" s="412" t="s">
        <v>992</v>
      </c>
      <c r="C76" s="412" t="s">
        <v>993</v>
      </c>
      <c r="D76" s="17">
        <v>44602</v>
      </c>
      <c r="E76" s="127" t="s">
        <v>267</v>
      </c>
      <c r="F76" s="413">
        <v>4014</v>
      </c>
      <c r="G76" s="414">
        <v>3543</v>
      </c>
      <c r="H76" s="415">
        <v>3545</v>
      </c>
      <c r="I76" s="416">
        <v>3758</v>
      </c>
      <c r="J76" s="416" t="s">
        <v>243</v>
      </c>
      <c r="K76" s="417">
        <v>3626</v>
      </c>
      <c r="L76" s="418">
        <v>-3.5125066524747207E-2</v>
      </c>
      <c r="M76" s="21">
        <v>0.33333333333333331</v>
      </c>
      <c r="N76" s="415">
        <v>287</v>
      </c>
      <c r="O76" s="415">
        <v>200</v>
      </c>
      <c r="P76" s="415">
        <v>87</v>
      </c>
      <c r="Q76" s="458">
        <v>7.9150579150579145E-2</v>
      </c>
      <c r="R76" s="459">
        <v>0.69686411149825789</v>
      </c>
      <c r="S76" s="460">
        <v>0.6875</v>
      </c>
      <c r="T76" s="415">
        <v>383</v>
      </c>
      <c r="U76" s="415">
        <v>164</v>
      </c>
      <c r="V76" s="415">
        <v>219</v>
      </c>
      <c r="W76" s="458">
        <v>0.10562603419746276</v>
      </c>
      <c r="X76" s="459">
        <v>0.57180156657963443</v>
      </c>
    </row>
    <row r="77" spans="1:24" s="162" customFormat="1" ht="18.95" customHeight="1">
      <c r="A77" s="125">
        <v>72</v>
      </c>
      <c r="B77" s="412" t="s">
        <v>994</v>
      </c>
      <c r="C77" s="412" t="s">
        <v>995</v>
      </c>
      <c r="D77" s="17">
        <v>44602</v>
      </c>
      <c r="E77" s="127" t="s">
        <v>267</v>
      </c>
      <c r="F77" s="413">
        <v>7189</v>
      </c>
      <c r="G77" s="414">
        <v>6475</v>
      </c>
      <c r="H77" s="415">
        <v>7150</v>
      </c>
      <c r="I77" s="416">
        <v>7721</v>
      </c>
      <c r="J77" s="416" t="s">
        <v>243</v>
      </c>
      <c r="K77" s="417">
        <v>8713</v>
      </c>
      <c r="L77" s="418">
        <v>0.12848076674005957</v>
      </c>
      <c r="M77" s="21">
        <v>0.32291666666666669</v>
      </c>
      <c r="N77" s="415">
        <v>657</v>
      </c>
      <c r="O77" s="415">
        <v>252</v>
      </c>
      <c r="P77" s="415">
        <v>405</v>
      </c>
      <c r="Q77" s="458">
        <v>7.5404567887065302E-2</v>
      </c>
      <c r="R77" s="459">
        <v>0.61643835616438358</v>
      </c>
      <c r="S77" s="460">
        <v>0.67708333333333337</v>
      </c>
      <c r="T77" s="415">
        <v>848</v>
      </c>
      <c r="U77" s="415">
        <v>388</v>
      </c>
      <c r="V77" s="415">
        <v>460</v>
      </c>
      <c r="W77" s="458">
        <v>9.7325834959256285E-2</v>
      </c>
      <c r="X77" s="459">
        <v>0.54245283018867929</v>
      </c>
    </row>
    <row r="78" spans="1:24" s="162" customFormat="1" ht="18.95" customHeight="1">
      <c r="A78" s="125">
        <v>73</v>
      </c>
      <c r="B78" s="412" t="s">
        <v>994</v>
      </c>
      <c r="C78" s="412" t="s">
        <v>455</v>
      </c>
      <c r="D78" s="17">
        <v>44602</v>
      </c>
      <c r="E78" s="127" t="s">
        <v>267</v>
      </c>
      <c r="F78" s="413">
        <v>5699</v>
      </c>
      <c r="G78" s="414">
        <v>5490</v>
      </c>
      <c r="H78" s="415">
        <v>5666</v>
      </c>
      <c r="I78" s="416">
        <v>5962</v>
      </c>
      <c r="J78" s="416" t="s">
        <v>243</v>
      </c>
      <c r="K78" s="417">
        <v>7301</v>
      </c>
      <c r="L78" s="418">
        <v>0.2245890640724589</v>
      </c>
      <c r="M78" s="21">
        <v>0.29166666666666669</v>
      </c>
      <c r="N78" s="415">
        <v>577</v>
      </c>
      <c r="O78" s="415">
        <v>287</v>
      </c>
      <c r="P78" s="415">
        <v>290</v>
      </c>
      <c r="Q78" s="458">
        <v>7.9030269826051228E-2</v>
      </c>
      <c r="R78" s="459">
        <v>0.50259965337954937</v>
      </c>
      <c r="S78" s="460">
        <v>0.67708333333333337</v>
      </c>
      <c r="T78" s="415">
        <v>654</v>
      </c>
      <c r="U78" s="415">
        <v>308</v>
      </c>
      <c r="V78" s="415">
        <v>346</v>
      </c>
      <c r="W78" s="458">
        <v>8.9576770305437606E-2</v>
      </c>
      <c r="X78" s="459">
        <v>0.52905198776758411</v>
      </c>
    </row>
    <row r="79" spans="1:24" s="162" customFormat="1" ht="18.95" customHeight="1">
      <c r="A79" s="125">
        <v>74</v>
      </c>
      <c r="B79" s="412" t="s">
        <v>996</v>
      </c>
      <c r="C79" s="412" t="s">
        <v>457</v>
      </c>
      <c r="D79" s="17">
        <v>44609</v>
      </c>
      <c r="E79" s="127" t="s">
        <v>267</v>
      </c>
      <c r="F79" s="413">
        <v>4494</v>
      </c>
      <c r="G79" s="414">
        <v>4167</v>
      </c>
      <c r="H79" s="415">
        <v>4222</v>
      </c>
      <c r="I79" s="416">
        <v>4153</v>
      </c>
      <c r="J79" s="416" t="s">
        <v>243</v>
      </c>
      <c r="K79" s="417">
        <v>5671</v>
      </c>
      <c r="L79" s="418">
        <v>0.36551890199855525</v>
      </c>
      <c r="M79" s="21">
        <v>0.44791666666666669</v>
      </c>
      <c r="N79" s="415">
        <v>365</v>
      </c>
      <c r="O79" s="415">
        <v>207</v>
      </c>
      <c r="P79" s="415">
        <v>158</v>
      </c>
      <c r="Q79" s="458">
        <v>6.4362546288132608E-2</v>
      </c>
      <c r="R79" s="459">
        <v>0.56712328767123288</v>
      </c>
      <c r="S79" s="460">
        <v>0.5625</v>
      </c>
      <c r="T79" s="415">
        <v>497</v>
      </c>
      <c r="U79" s="415">
        <v>283</v>
      </c>
      <c r="V79" s="415">
        <v>214</v>
      </c>
      <c r="W79" s="458">
        <v>8.7638864397813432E-2</v>
      </c>
      <c r="X79" s="459">
        <v>0.56941649899396374</v>
      </c>
    </row>
    <row r="80" spans="1:24" s="162" customFormat="1" ht="18.95" customHeight="1">
      <c r="A80" s="125">
        <v>75</v>
      </c>
      <c r="B80" s="412" t="s">
        <v>994</v>
      </c>
      <c r="C80" s="412" t="s">
        <v>997</v>
      </c>
      <c r="D80" s="17">
        <v>44602</v>
      </c>
      <c r="E80" s="127" t="s">
        <v>267</v>
      </c>
      <c r="F80" s="413">
        <v>6857</v>
      </c>
      <c r="G80" s="414">
        <v>6162</v>
      </c>
      <c r="H80" s="415">
        <v>6667</v>
      </c>
      <c r="I80" s="416">
        <v>7088</v>
      </c>
      <c r="J80" s="416" t="s">
        <v>243</v>
      </c>
      <c r="K80" s="417">
        <v>8341</v>
      </c>
      <c r="L80" s="418">
        <v>0.17677765237020315</v>
      </c>
      <c r="M80" s="21">
        <v>0.32291666666666669</v>
      </c>
      <c r="N80" s="415">
        <v>641</v>
      </c>
      <c r="O80" s="415">
        <v>249</v>
      </c>
      <c r="P80" s="415">
        <v>392</v>
      </c>
      <c r="Q80" s="458">
        <v>7.6849298645246367E-2</v>
      </c>
      <c r="R80" s="459">
        <v>0.6115444617784711</v>
      </c>
      <c r="S80" s="460">
        <v>0.66666666666666663</v>
      </c>
      <c r="T80" s="415">
        <v>791</v>
      </c>
      <c r="U80" s="415">
        <v>339</v>
      </c>
      <c r="V80" s="415">
        <v>452</v>
      </c>
      <c r="W80" s="458">
        <v>9.4832753866442868E-2</v>
      </c>
      <c r="X80" s="459">
        <v>0.5714285714285714</v>
      </c>
    </row>
    <row r="81" spans="1:24" s="162" customFormat="1" ht="18.95" customHeight="1">
      <c r="A81" s="125">
        <v>76</v>
      </c>
      <c r="B81" s="412" t="s">
        <v>994</v>
      </c>
      <c r="C81" s="412" t="s">
        <v>998</v>
      </c>
      <c r="D81" s="17">
        <v>44602</v>
      </c>
      <c r="E81" s="127" t="s">
        <v>267</v>
      </c>
      <c r="F81" s="413">
        <v>5673</v>
      </c>
      <c r="G81" s="414">
        <v>5172</v>
      </c>
      <c r="H81" s="415">
        <v>5767</v>
      </c>
      <c r="I81" s="416">
        <v>6024</v>
      </c>
      <c r="J81" s="416" t="s">
        <v>243</v>
      </c>
      <c r="K81" s="417">
        <v>7340</v>
      </c>
      <c r="L81" s="418">
        <v>0.21845949535192563</v>
      </c>
      <c r="M81" s="21">
        <v>0.29166666666666669</v>
      </c>
      <c r="N81" s="415">
        <v>571</v>
      </c>
      <c r="O81" s="415">
        <v>255</v>
      </c>
      <c r="P81" s="415">
        <v>316</v>
      </c>
      <c r="Q81" s="458">
        <v>7.7792915531335147E-2</v>
      </c>
      <c r="R81" s="459">
        <v>0.55341506129597196</v>
      </c>
      <c r="S81" s="460">
        <v>0.67708333333333337</v>
      </c>
      <c r="T81" s="415">
        <v>646</v>
      </c>
      <c r="U81" s="415">
        <v>310</v>
      </c>
      <c r="V81" s="415">
        <v>336</v>
      </c>
      <c r="W81" s="458">
        <v>8.8010899182561303E-2</v>
      </c>
      <c r="X81" s="459">
        <v>0.52012383900928794</v>
      </c>
    </row>
    <row r="82" spans="1:24" s="162" customFormat="1" ht="18.95" customHeight="1">
      <c r="A82" s="125">
        <v>77</v>
      </c>
      <c r="B82" s="412" t="s">
        <v>994</v>
      </c>
      <c r="C82" s="412" t="s">
        <v>999</v>
      </c>
      <c r="D82" s="17">
        <v>44602</v>
      </c>
      <c r="E82" s="127" t="s">
        <v>267</v>
      </c>
      <c r="F82" s="413">
        <v>6084</v>
      </c>
      <c r="G82" s="414">
        <v>5709</v>
      </c>
      <c r="H82" s="415">
        <v>6051</v>
      </c>
      <c r="I82" s="416">
        <v>6211</v>
      </c>
      <c r="J82" s="416" t="s">
        <v>243</v>
      </c>
      <c r="K82" s="417">
        <v>8608</v>
      </c>
      <c r="L82" s="418">
        <v>0.38592819191756561</v>
      </c>
      <c r="M82" s="21">
        <v>0.27083333333333331</v>
      </c>
      <c r="N82" s="415">
        <v>653</v>
      </c>
      <c r="O82" s="415">
        <v>338</v>
      </c>
      <c r="P82" s="415">
        <v>315</v>
      </c>
      <c r="Q82" s="458">
        <v>7.5859665427509299E-2</v>
      </c>
      <c r="R82" s="459">
        <v>0.51761102603369069</v>
      </c>
      <c r="S82" s="460">
        <v>0.67708333333333337</v>
      </c>
      <c r="T82" s="415">
        <v>731</v>
      </c>
      <c r="U82" s="415">
        <v>350</v>
      </c>
      <c r="V82" s="415">
        <v>381</v>
      </c>
      <c r="W82" s="458">
        <v>8.4921003717472118E-2</v>
      </c>
      <c r="X82" s="459">
        <v>0.52120383036935702</v>
      </c>
    </row>
    <row r="83" spans="1:24" s="162" customFormat="1" ht="18.95" customHeight="1">
      <c r="A83" s="125">
        <v>78</v>
      </c>
      <c r="B83" s="412" t="s">
        <v>994</v>
      </c>
      <c r="C83" s="412" t="s">
        <v>1000</v>
      </c>
      <c r="D83" s="17">
        <v>44602</v>
      </c>
      <c r="E83" s="127" t="s">
        <v>267</v>
      </c>
      <c r="F83" s="413">
        <v>3825</v>
      </c>
      <c r="G83" s="414">
        <v>4221</v>
      </c>
      <c r="H83" s="415">
        <v>4023</v>
      </c>
      <c r="I83" s="416">
        <v>3775</v>
      </c>
      <c r="J83" s="416" t="s">
        <v>243</v>
      </c>
      <c r="K83" s="417">
        <v>5600</v>
      </c>
      <c r="L83" s="418">
        <v>0.48344370860927155</v>
      </c>
      <c r="M83" s="21">
        <v>0.29166666666666669</v>
      </c>
      <c r="N83" s="415">
        <v>479</v>
      </c>
      <c r="O83" s="415">
        <v>290</v>
      </c>
      <c r="P83" s="415">
        <v>189</v>
      </c>
      <c r="Q83" s="458">
        <v>8.5535714285714284E-2</v>
      </c>
      <c r="R83" s="459">
        <v>0.60542797494780798</v>
      </c>
      <c r="S83" s="460">
        <v>0.66666666666666663</v>
      </c>
      <c r="T83" s="415">
        <v>473</v>
      </c>
      <c r="U83" s="415">
        <v>174</v>
      </c>
      <c r="V83" s="415">
        <v>299</v>
      </c>
      <c r="W83" s="458">
        <v>8.4464285714285714E-2</v>
      </c>
      <c r="X83" s="459">
        <v>0.63213530655391126</v>
      </c>
    </row>
    <row r="84" spans="1:24" s="162" customFormat="1" ht="18.95" customHeight="1">
      <c r="A84" s="125">
        <v>79</v>
      </c>
      <c r="B84" s="412" t="s">
        <v>994</v>
      </c>
      <c r="C84" s="412" t="s">
        <v>345</v>
      </c>
      <c r="D84" s="17">
        <v>44602</v>
      </c>
      <c r="E84" s="127" t="s">
        <v>267</v>
      </c>
      <c r="F84" s="413">
        <v>2775</v>
      </c>
      <c r="G84" s="414">
        <v>3105</v>
      </c>
      <c r="H84" s="415">
        <v>4303</v>
      </c>
      <c r="I84" s="416">
        <v>3422</v>
      </c>
      <c r="J84" s="416" t="s">
        <v>243</v>
      </c>
      <c r="K84" s="417">
        <v>4221</v>
      </c>
      <c r="L84" s="418">
        <v>0.23348918760958504</v>
      </c>
      <c r="M84" s="21">
        <v>0.28125</v>
      </c>
      <c r="N84" s="415">
        <v>353</v>
      </c>
      <c r="O84" s="415">
        <v>222</v>
      </c>
      <c r="P84" s="415">
        <v>131</v>
      </c>
      <c r="Q84" s="458">
        <v>8.3629471689173188E-2</v>
      </c>
      <c r="R84" s="459">
        <v>0.62889518413597734</v>
      </c>
      <c r="S84" s="460">
        <v>0.69791666666666663</v>
      </c>
      <c r="T84" s="415">
        <v>349</v>
      </c>
      <c r="U84" s="415">
        <v>118</v>
      </c>
      <c r="V84" s="415">
        <v>231</v>
      </c>
      <c r="W84" s="458">
        <v>8.2681828950485661E-2</v>
      </c>
      <c r="X84" s="459">
        <v>0.66189111747851004</v>
      </c>
    </row>
    <row r="85" spans="1:24" s="162" customFormat="1" ht="18.95" customHeight="1">
      <c r="A85" s="125">
        <v>80</v>
      </c>
      <c r="B85" s="412" t="s">
        <v>996</v>
      </c>
      <c r="C85" s="412" t="s">
        <v>1001</v>
      </c>
      <c r="D85" s="17">
        <v>44609</v>
      </c>
      <c r="E85" s="127" t="s">
        <v>267</v>
      </c>
      <c r="F85" s="413">
        <v>3970</v>
      </c>
      <c r="G85" s="414">
        <v>3864</v>
      </c>
      <c r="H85" s="415">
        <v>3792</v>
      </c>
      <c r="I85" s="416">
        <v>3458</v>
      </c>
      <c r="J85" s="416" t="s">
        <v>243</v>
      </c>
      <c r="K85" s="417">
        <v>4814</v>
      </c>
      <c r="L85" s="418">
        <v>0.39213418160786584</v>
      </c>
      <c r="M85" s="21">
        <v>0.44791666666666669</v>
      </c>
      <c r="N85" s="415">
        <v>336</v>
      </c>
      <c r="O85" s="415">
        <v>179</v>
      </c>
      <c r="P85" s="415">
        <v>157</v>
      </c>
      <c r="Q85" s="458">
        <v>6.9796427087660984E-2</v>
      </c>
      <c r="R85" s="459">
        <v>0.53273809523809523</v>
      </c>
      <c r="S85" s="460">
        <v>0.6875</v>
      </c>
      <c r="T85" s="415">
        <v>397</v>
      </c>
      <c r="U85" s="415">
        <v>158</v>
      </c>
      <c r="V85" s="415">
        <v>239</v>
      </c>
      <c r="W85" s="458">
        <v>8.2467802243456581E-2</v>
      </c>
      <c r="X85" s="459">
        <v>0.60201511335012592</v>
      </c>
    </row>
    <row r="86" spans="1:24" s="162" customFormat="1" ht="18.95" customHeight="1">
      <c r="A86" s="125">
        <v>81</v>
      </c>
      <c r="B86" s="412" t="s">
        <v>996</v>
      </c>
      <c r="C86" s="412" t="s">
        <v>1002</v>
      </c>
      <c r="D86" s="17">
        <v>44609</v>
      </c>
      <c r="E86" s="127" t="s">
        <v>267</v>
      </c>
      <c r="F86" s="413">
        <v>5632</v>
      </c>
      <c r="G86" s="414">
        <v>5344</v>
      </c>
      <c r="H86" s="415">
        <v>5407</v>
      </c>
      <c r="I86" s="416">
        <v>5778</v>
      </c>
      <c r="J86" s="416" t="s">
        <v>243</v>
      </c>
      <c r="K86" s="417">
        <v>6286</v>
      </c>
      <c r="L86" s="418">
        <v>8.7919695396330905E-2</v>
      </c>
      <c r="M86" s="21">
        <v>0.44791666666666669</v>
      </c>
      <c r="N86" s="415">
        <v>451</v>
      </c>
      <c r="O86" s="415">
        <v>249</v>
      </c>
      <c r="P86" s="415">
        <v>202</v>
      </c>
      <c r="Q86" s="458">
        <v>7.1746738784600694E-2</v>
      </c>
      <c r="R86" s="459">
        <v>0.55210643015521066</v>
      </c>
      <c r="S86" s="460">
        <v>0.67708333333333337</v>
      </c>
      <c r="T86" s="415">
        <v>551</v>
      </c>
      <c r="U86" s="415">
        <v>231</v>
      </c>
      <c r="V86" s="415">
        <v>320</v>
      </c>
      <c r="W86" s="458">
        <v>8.7655106586064263E-2</v>
      </c>
      <c r="X86" s="459">
        <v>0.58076225045372054</v>
      </c>
    </row>
    <row r="87" spans="1:24" s="162" customFormat="1" ht="18.95" customHeight="1">
      <c r="A87" s="125">
        <v>82</v>
      </c>
      <c r="B87" s="412" t="s">
        <v>996</v>
      </c>
      <c r="C87" s="412" t="s">
        <v>1003</v>
      </c>
      <c r="D87" s="17">
        <v>44609</v>
      </c>
      <c r="E87" s="127" t="s">
        <v>267</v>
      </c>
      <c r="F87" s="413">
        <v>8657</v>
      </c>
      <c r="G87" s="414">
        <v>11082</v>
      </c>
      <c r="H87" s="415">
        <v>10439</v>
      </c>
      <c r="I87" s="416">
        <v>12396</v>
      </c>
      <c r="J87" s="416" t="s">
        <v>243</v>
      </c>
      <c r="K87" s="417">
        <v>18941</v>
      </c>
      <c r="L87" s="418">
        <v>0.52799290093578577</v>
      </c>
      <c r="M87" s="21">
        <v>0.45833333333333331</v>
      </c>
      <c r="N87" s="415">
        <v>1221</v>
      </c>
      <c r="O87" s="415">
        <v>607</v>
      </c>
      <c r="P87" s="415">
        <v>614</v>
      </c>
      <c r="Q87" s="458">
        <v>6.4463333509318405E-2</v>
      </c>
      <c r="R87" s="459">
        <v>0.50286650286650292</v>
      </c>
      <c r="S87" s="460">
        <v>0.5625</v>
      </c>
      <c r="T87" s="415">
        <v>1269</v>
      </c>
      <c r="U87" s="415">
        <v>641</v>
      </c>
      <c r="V87" s="415">
        <v>628</v>
      </c>
      <c r="W87" s="458">
        <v>6.699751861042183E-2</v>
      </c>
      <c r="X87" s="459">
        <v>0.50512214342001571</v>
      </c>
    </row>
    <row r="88" spans="1:24" s="162" customFormat="1" ht="18.95" customHeight="1">
      <c r="A88" s="125">
        <v>83</v>
      </c>
      <c r="B88" s="412" t="s">
        <v>1004</v>
      </c>
      <c r="C88" s="412" t="s">
        <v>1005</v>
      </c>
      <c r="D88" s="17">
        <v>44609</v>
      </c>
      <c r="E88" s="127" t="s">
        <v>267</v>
      </c>
      <c r="F88" s="413">
        <v>632</v>
      </c>
      <c r="G88" s="414">
        <v>581</v>
      </c>
      <c r="H88" s="415">
        <v>690</v>
      </c>
      <c r="I88" s="416">
        <v>639</v>
      </c>
      <c r="J88" s="416" t="s">
        <v>243</v>
      </c>
      <c r="K88" s="417">
        <v>836</v>
      </c>
      <c r="L88" s="418">
        <v>0.30829420970266042</v>
      </c>
      <c r="M88" s="21">
        <v>0.29166666666666669</v>
      </c>
      <c r="N88" s="415">
        <v>62</v>
      </c>
      <c r="O88" s="415">
        <v>32</v>
      </c>
      <c r="P88" s="415">
        <v>30</v>
      </c>
      <c r="Q88" s="458">
        <v>7.4162679425837319E-2</v>
      </c>
      <c r="R88" s="459">
        <v>0.5161290322580645</v>
      </c>
      <c r="S88" s="460">
        <v>0.67708333333333337</v>
      </c>
      <c r="T88" s="415">
        <v>79</v>
      </c>
      <c r="U88" s="415">
        <v>36</v>
      </c>
      <c r="V88" s="415">
        <v>43</v>
      </c>
      <c r="W88" s="458">
        <v>9.4497607655502386E-2</v>
      </c>
      <c r="X88" s="459">
        <v>0.54430379746835444</v>
      </c>
    </row>
    <row r="89" spans="1:24" s="162" customFormat="1" ht="18.95" customHeight="1">
      <c r="A89" s="125">
        <v>84</v>
      </c>
      <c r="B89" s="412" t="s">
        <v>1004</v>
      </c>
      <c r="C89" s="412" t="s">
        <v>1006</v>
      </c>
      <c r="D89" s="17">
        <v>44609</v>
      </c>
      <c r="E89" s="127" t="s">
        <v>267</v>
      </c>
      <c r="F89" s="413" t="s">
        <v>243</v>
      </c>
      <c r="G89" s="414" t="s">
        <v>243</v>
      </c>
      <c r="H89" s="415" t="s">
        <v>243</v>
      </c>
      <c r="I89" s="416" t="s">
        <v>243</v>
      </c>
      <c r="J89" s="416" t="s">
        <v>243</v>
      </c>
      <c r="K89" s="417">
        <v>1053</v>
      </c>
      <c r="L89" s="418" t="s">
        <v>243</v>
      </c>
      <c r="M89" s="21">
        <v>0.32291666666666669</v>
      </c>
      <c r="N89" s="415">
        <v>77</v>
      </c>
      <c r="O89" s="415">
        <v>24</v>
      </c>
      <c r="P89" s="415">
        <v>53</v>
      </c>
      <c r="Q89" s="458">
        <v>7.3124406457739793E-2</v>
      </c>
      <c r="R89" s="459">
        <v>0.68831168831168832</v>
      </c>
      <c r="S89" s="460">
        <v>0.52083333333333337</v>
      </c>
      <c r="T89" s="415">
        <v>103</v>
      </c>
      <c r="U89" s="415">
        <v>42</v>
      </c>
      <c r="V89" s="415">
        <v>61</v>
      </c>
      <c r="W89" s="458">
        <v>9.781576448243115E-2</v>
      </c>
      <c r="X89" s="459">
        <v>0.59223300970873782</v>
      </c>
    </row>
    <row r="90" spans="1:24" s="162" customFormat="1" ht="18.95" customHeight="1">
      <c r="A90" s="125">
        <v>85</v>
      </c>
      <c r="B90" s="412" t="s">
        <v>384</v>
      </c>
      <c r="C90" s="412" t="s">
        <v>1007</v>
      </c>
      <c r="D90" s="17">
        <v>44581</v>
      </c>
      <c r="E90" s="127" t="s">
        <v>267</v>
      </c>
      <c r="F90" s="413">
        <v>8103</v>
      </c>
      <c r="G90" s="414">
        <v>6839</v>
      </c>
      <c r="H90" s="415">
        <v>5629</v>
      </c>
      <c r="I90" s="416">
        <v>7158</v>
      </c>
      <c r="J90" s="416" t="s">
        <v>243</v>
      </c>
      <c r="K90" s="417">
        <v>6251</v>
      </c>
      <c r="L90" s="418">
        <v>-0.12671137189158982</v>
      </c>
      <c r="M90" s="21">
        <v>0.45833333333333331</v>
      </c>
      <c r="N90" s="415">
        <v>577</v>
      </c>
      <c r="O90" s="415">
        <v>298</v>
      </c>
      <c r="P90" s="415">
        <v>279</v>
      </c>
      <c r="Q90" s="458">
        <v>9.2305231163013923E-2</v>
      </c>
      <c r="R90" s="459">
        <v>0.5164644714038128</v>
      </c>
      <c r="S90" s="460">
        <v>0.55208333333333337</v>
      </c>
      <c r="T90" s="415">
        <v>619</v>
      </c>
      <c r="U90" s="415">
        <v>287</v>
      </c>
      <c r="V90" s="415">
        <v>332</v>
      </c>
      <c r="W90" s="458">
        <v>9.9024156135018401E-2</v>
      </c>
      <c r="X90" s="459">
        <v>0.53634894991922455</v>
      </c>
    </row>
    <row r="91" spans="1:24" s="162" customFormat="1" ht="18.95" customHeight="1">
      <c r="A91" s="125">
        <v>86</v>
      </c>
      <c r="B91" s="412" t="s">
        <v>384</v>
      </c>
      <c r="C91" s="412" t="s">
        <v>1008</v>
      </c>
      <c r="D91" s="17">
        <v>44595</v>
      </c>
      <c r="E91" s="127" t="s">
        <v>267</v>
      </c>
      <c r="F91" s="413">
        <v>5298</v>
      </c>
      <c r="G91" s="414">
        <v>4767</v>
      </c>
      <c r="H91" s="415">
        <v>5199</v>
      </c>
      <c r="I91" s="416">
        <v>5049</v>
      </c>
      <c r="J91" s="416" t="s">
        <v>243</v>
      </c>
      <c r="K91" s="417">
        <v>4881</v>
      </c>
      <c r="L91" s="418">
        <v>-3.3273915626856804E-2</v>
      </c>
      <c r="M91" s="21">
        <v>0.45833333333333331</v>
      </c>
      <c r="N91" s="415">
        <v>453</v>
      </c>
      <c r="O91" s="415">
        <v>230</v>
      </c>
      <c r="P91" s="415">
        <v>223</v>
      </c>
      <c r="Q91" s="458">
        <v>9.2808850645359556E-2</v>
      </c>
      <c r="R91" s="459">
        <v>0.50772626931567333</v>
      </c>
      <c r="S91" s="460">
        <v>0.53125</v>
      </c>
      <c r="T91" s="415">
        <v>468</v>
      </c>
      <c r="U91" s="415">
        <v>235</v>
      </c>
      <c r="V91" s="415">
        <v>233</v>
      </c>
      <c r="W91" s="458">
        <v>9.5881991395205896E-2</v>
      </c>
      <c r="X91" s="459">
        <v>0.50213675213675213</v>
      </c>
    </row>
    <row r="92" spans="1:24" s="162" customFormat="1" ht="18.95" customHeight="1">
      <c r="A92" s="125">
        <v>87</v>
      </c>
      <c r="B92" s="412" t="s">
        <v>384</v>
      </c>
      <c r="C92" s="412" t="s">
        <v>1009</v>
      </c>
      <c r="D92" s="17">
        <v>44595</v>
      </c>
      <c r="E92" s="127" t="s">
        <v>267</v>
      </c>
      <c r="F92" s="413">
        <v>4211</v>
      </c>
      <c r="G92" s="414">
        <v>3684</v>
      </c>
      <c r="H92" s="415">
        <v>3571</v>
      </c>
      <c r="I92" s="416">
        <v>3582</v>
      </c>
      <c r="J92" s="416" t="s">
        <v>243</v>
      </c>
      <c r="K92" s="417">
        <v>4010</v>
      </c>
      <c r="L92" s="418">
        <v>0.11948632049134561</v>
      </c>
      <c r="M92" s="21">
        <v>0.4375</v>
      </c>
      <c r="N92" s="415">
        <v>378</v>
      </c>
      <c r="O92" s="415">
        <v>196</v>
      </c>
      <c r="P92" s="415">
        <v>182</v>
      </c>
      <c r="Q92" s="458">
        <v>9.4264339152119694E-2</v>
      </c>
      <c r="R92" s="459">
        <v>0.51851851851851849</v>
      </c>
      <c r="S92" s="460">
        <v>0.5</v>
      </c>
      <c r="T92" s="415">
        <v>416</v>
      </c>
      <c r="U92" s="415">
        <v>214</v>
      </c>
      <c r="V92" s="415">
        <v>202</v>
      </c>
      <c r="W92" s="458">
        <v>0.10374064837905236</v>
      </c>
      <c r="X92" s="459">
        <v>0.51442307692307687</v>
      </c>
    </row>
    <row r="93" spans="1:24" s="162" customFormat="1" ht="18.95" customHeight="1">
      <c r="A93" s="125">
        <v>88</v>
      </c>
      <c r="B93" s="412" t="s">
        <v>1010</v>
      </c>
      <c r="C93" s="412" t="s">
        <v>902</v>
      </c>
      <c r="D93" s="17">
        <v>44595</v>
      </c>
      <c r="E93" s="127" t="s">
        <v>267</v>
      </c>
      <c r="F93" s="413">
        <v>2915</v>
      </c>
      <c r="G93" s="414">
        <v>3056</v>
      </c>
      <c r="H93" s="415">
        <v>3218</v>
      </c>
      <c r="I93" s="416">
        <v>3710</v>
      </c>
      <c r="J93" s="416" t="s">
        <v>243</v>
      </c>
      <c r="K93" s="417">
        <v>3349</v>
      </c>
      <c r="L93" s="418">
        <v>-9.7304582210242588E-2</v>
      </c>
      <c r="M93" s="21">
        <v>0.44791666666666669</v>
      </c>
      <c r="N93" s="415">
        <v>322</v>
      </c>
      <c r="O93" s="415">
        <v>147</v>
      </c>
      <c r="P93" s="415">
        <v>175</v>
      </c>
      <c r="Q93" s="458">
        <v>9.6148103911615407E-2</v>
      </c>
      <c r="R93" s="459">
        <v>0.54347826086956519</v>
      </c>
      <c r="S93" s="460">
        <v>0.5</v>
      </c>
      <c r="T93" s="415">
        <v>334</v>
      </c>
      <c r="U93" s="415">
        <v>153</v>
      </c>
      <c r="V93" s="415">
        <v>181</v>
      </c>
      <c r="W93" s="458">
        <v>9.9731263063601069E-2</v>
      </c>
      <c r="X93" s="459">
        <v>0.54191616766467066</v>
      </c>
    </row>
    <row r="94" spans="1:24" s="162" customFormat="1" ht="18.95" customHeight="1">
      <c r="A94" s="125">
        <v>89</v>
      </c>
      <c r="B94" s="412" t="s">
        <v>409</v>
      </c>
      <c r="C94" s="412" t="s">
        <v>1011</v>
      </c>
      <c r="D94" s="17">
        <v>44574</v>
      </c>
      <c r="E94" s="127" t="s">
        <v>267</v>
      </c>
      <c r="F94" s="413">
        <v>1575</v>
      </c>
      <c r="G94" s="414">
        <v>1874</v>
      </c>
      <c r="H94" s="415">
        <v>2080</v>
      </c>
      <c r="I94" s="416">
        <v>2478</v>
      </c>
      <c r="J94" s="416" t="s">
        <v>243</v>
      </c>
      <c r="K94" s="417">
        <v>3362</v>
      </c>
      <c r="L94" s="418">
        <v>0.35673930589184827</v>
      </c>
      <c r="M94" s="21">
        <v>0.29166666666666669</v>
      </c>
      <c r="N94" s="415">
        <v>285</v>
      </c>
      <c r="O94" s="415">
        <v>188</v>
      </c>
      <c r="P94" s="415">
        <v>97</v>
      </c>
      <c r="Q94" s="458">
        <v>8.4770969660916115E-2</v>
      </c>
      <c r="R94" s="459">
        <v>0.6596491228070176</v>
      </c>
      <c r="S94" s="460">
        <v>0.63541666666666663</v>
      </c>
      <c r="T94" s="415">
        <v>299</v>
      </c>
      <c r="U94" s="415">
        <v>137</v>
      </c>
      <c r="V94" s="415">
        <v>162</v>
      </c>
      <c r="W94" s="458">
        <v>8.8935157644259369E-2</v>
      </c>
      <c r="X94" s="459">
        <v>0.5418060200668896</v>
      </c>
    </row>
    <row r="95" spans="1:24" s="162" customFormat="1" ht="18.95" customHeight="1">
      <c r="A95" s="125">
        <v>90</v>
      </c>
      <c r="B95" s="412" t="s">
        <v>54</v>
      </c>
      <c r="C95" s="412" t="s">
        <v>1012</v>
      </c>
      <c r="D95" s="17">
        <v>44574</v>
      </c>
      <c r="E95" s="127" t="s">
        <v>267</v>
      </c>
      <c r="F95" s="413">
        <v>7814</v>
      </c>
      <c r="G95" s="414">
        <v>7448</v>
      </c>
      <c r="H95" s="415">
        <v>7772</v>
      </c>
      <c r="I95" s="416">
        <v>8107</v>
      </c>
      <c r="J95" s="416" t="s">
        <v>243</v>
      </c>
      <c r="K95" s="417">
        <v>7098</v>
      </c>
      <c r="L95" s="418">
        <v>-0.12446034291353152</v>
      </c>
      <c r="M95" s="21">
        <v>0.29166666666666669</v>
      </c>
      <c r="N95" s="415">
        <v>573</v>
      </c>
      <c r="O95" s="415">
        <v>152</v>
      </c>
      <c r="P95" s="415">
        <v>421</v>
      </c>
      <c r="Q95" s="458">
        <v>8.0726965342349952E-2</v>
      </c>
      <c r="R95" s="459">
        <v>0.73472949389179754</v>
      </c>
      <c r="S95" s="460">
        <v>0.60416666666666663</v>
      </c>
      <c r="T95" s="415">
        <v>693</v>
      </c>
      <c r="U95" s="415">
        <v>376</v>
      </c>
      <c r="V95" s="415">
        <v>317</v>
      </c>
      <c r="W95" s="458">
        <v>9.7633136094674555E-2</v>
      </c>
      <c r="X95" s="459">
        <v>0.54256854256854259</v>
      </c>
    </row>
    <row r="96" spans="1:24" s="162" customFormat="1" ht="18.95" customHeight="1">
      <c r="A96" s="125">
        <v>91</v>
      </c>
      <c r="B96" s="412" t="s">
        <v>54</v>
      </c>
      <c r="C96" s="412" t="s">
        <v>1013</v>
      </c>
      <c r="D96" s="17">
        <v>44574</v>
      </c>
      <c r="E96" s="127" t="s">
        <v>267</v>
      </c>
      <c r="F96" s="413">
        <v>4282</v>
      </c>
      <c r="G96" s="414">
        <v>3861</v>
      </c>
      <c r="H96" s="415">
        <v>4198</v>
      </c>
      <c r="I96" s="416">
        <v>4656</v>
      </c>
      <c r="J96" s="416" t="s">
        <v>243</v>
      </c>
      <c r="K96" s="417">
        <v>4597</v>
      </c>
      <c r="L96" s="418">
        <v>-1.2671821305841924E-2</v>
      </c>
      <c r="M96" s="21">
        <v>0.29166666666666669</v>
      </c>
      <c r="N96" s="415">
        <v>527</v>
      </c>
      <c r="O96" s="415">
        <v>148</v>
      </c>
      <c r="P96" s="415">
        <v>379</v>
      </c>
      <c r="Q96" s="458">
        <v>0.11463998259734609</v>
      </c>
      <c r="R96" s="459">
        <v>0.71916508538899426</v>
      </c>
      <c r="S96" s="460">
        <v>0.69791666666666663</v>
      </c>
      <c r="T96" s="415">
        <v>462</v>
      </c>
      <c r="U96" s="415">
        <v>316</v>
      </c>
      <c r="V96" s="415">
        <v>146</v>
      </c>
      <c r="W96" s="458">
        <v>0.10050032629976072</v>
      </c>
      <c r="X96" s="459">
        <v>0.68398268398268403</v>
      </c>
    </row>
    <row r="97" spans="1:24" s="162" customFormat="1" ht="18.95" customHeight="1">
      <c r="A97" s="125">
        <v>92</v>
      </c>
      <c r="B97" s="412" t="s">
        <v>107</v>
      </c>
      <c r="C97" s="412" t="s">
        <v>500</v>
      </c>
      <c r="D97" s="17">
        <v>44574</v>
      </c>
      <c r="E97" s="127" t="s">
        <v>267</v>
      </c>
      <c r="F97" s="413">
        <v>1156</v>
      </c>
      <c r="G97" s="414">
        <v>1076</v>
      </c>
      <c r="H97" s="415">
        <v>1324</v>
      </c>
      <c r="I97" s="416">
        <v>1440</v>
      </c>
      <c r="J97" s="416" t="s">
        <v>243</v>
      </c>
      <c r="K97" s="417">
        <v>1256</v>
      </c>
      <c r="L97" s="418">
        <v>-0.12777777777777777</v>
      </c>
      <c r="M97" s="21">
        <v>0.29166666666666669</v>
      </c>
      <c r="N97" s="415">
        <v>198</v>
      </c>
      <c r="O97" s="415">
        <v>149</v>
      </c>
      <c r="P97" s="415">
        <v>49</v>
      </c>
      <c r="Q97" s="458">
        <v>0.15764331210191082</v>
      </c>
      <c r="R97" s="459">
        <v>0.75252525252525249</v>
      </c>
      <c r="S97" s="460">
        <v>0.6875</v>
      </c>
      <c r="T97" s="415">
        <v>122</v>
      </c>
      <c r="U97" s="415">
        <v>33</v>
      </c>
      <c r="V97" s="415">
        <v>89</v>
      </c>
      <c r="W97" s="458">
        <v>9.7133757961783446E-2</v>
      </c>
      <c r="X97" s="459">
        <v>0.72950819672131151</v>
      </c>
    </row>
    <row r="98" spans="1:24" s="162" customFormat="1" ht="18.95" customHeight="1">
      <c r="A98" s="125">
        <v>93</v>
      </c>
      <c r="B98" s="412" t="s">
        <v>53</v>
      </c>
      <c r="C98" s="412" t="s">
        <v>411</v>
      </c>
      <c r="D98" s="17">
        <v>44574</v>
      </c>
      <c r="E98" s="127" t="s">
        <v>267</v>
      </c>
      <c r="F98" s="413">
        <v>3516</v>
      </c>
      <c r="G98" s="414">
        <v>3422</v>
      </c>
      <c r="H98" s="415">
        <v>3720</v>
      </c>
      <c r="I98" s="416">
        <v>3873</v>
      </c>
      <c r="J98" s="416" t="s">
        <v>243</v>
      </c>
      <c r="K98" s="417">
        <v>3938</v>
      </c>
      <c r="L98" s="418">
        <v>1.6782855667441261E-2</v>
      </c>
      <c r="M98" s="21">
        <v>0.28125</v>
      </c>
      <c r="N98" s="415">
        <v>427</v>
      </c>
      <c r="O98" s="415">
        <v>139</v>
      </c>
      <c r="P98" s="415">
        <v>288</v>
      </c>
      <c r="Q98" s="458">
        <v>0.10843067546978162</v>
      </c>
      <c r="R98" s="459">
        <v>0.67447306791569084</v>
      </c>
      <c r="S98" s="460">
        <v>0.61458333333333337</v>
      </c>
      <c r="T98" s="415">
        <v>371</v>
      </c>
      <c r="U98" s="415">
        <v>192</v>
      </c>
      <c r="V98" s="415">
        <v>179</v>
      </c>
      <c r="W98" s="458">
        <v>9.4210259014728293E-2</v>
      </c>
      <c r="X98" s="459">
        <v>0.51752021563342321</v>
      </c>
    </row>
    <row r="99" spans="1:24" s="162" customFormat="1" ht="18.95" customHeight="1">
      <c r="A99" s="125">
        <v>94</v>
      </c>
      <c r="B99" s="412" t="s">
        <v>108</v>
      </c>
      <c r="C99" s="412" t="s">
        <v>500</v>
      </c>
      <c r="D99" s="17">
        <v>44574</v>
      </c>
      <c r="E99" s="127" t="s">
        <v>267</v>
      </c>
      <c r="F99" s="413">
        <v>2655</v>
      </c>
      <c r="G99" s="414">
        <v>2437</v>
      </c>
      <c r="H99" s="415">
        <v>2928</v>
      </c>
      <c r="I99" s="416">
        <v>3387</v>
      </c>
      <c r="J99" s="416" t="s">
        <v>243</v>
      </c>
      <c r="K99" s="417">
        <v>3208</v>
      </c>
      <c r="L99" s="418">
        <v>-5.2849129022733983E-2</v>
      </c>
      <c r="M99" s="21">
        <v>0.29166666666666669</v>
      </c>
      <c r="N99" s="415">
        <v>439</v>
      </c>
      <c r="O99" s="415">
        <v>350</v>
      </c>
      <c r="P99" s="415">
        <v>89</v>
      </c>
      <c r="Q99" s="458">
        <v>0.13684538653366585</v>
      </c>
      <c r="R99" s="459">
        <v>0.79726651480637811</v>
      </c>
      <c r="S99" s="460">
        <v>0.69791666666666663</v>
      </c>
      <c r="T99" s="415">
        <v>350</v>
      </c>
      <c r="U99" s="415">
        <v>108</v>
      </c>
      <c r="V99" s="415">
        <v>242</v>
      </c>
      <c r="W99" s="458">
        <v>0.10910224438902744</v>
      </c>
      <c r="X99" s="459">
        <v>0.69142857142857139</v>
      </c>
    </row>
    <row r="100" spans="1:24" s="226" customFormat="1" ht="18.95" customHeight="1">
      <c r="A100" s="210">
        <v>95</v>
      </c>
      <c r="B100" s="484" t="s">
        <v>73</v>
      </c>
      <c r="C100" s="484" t="s">
        <v>853</v>
      </c>
      <c r="D100" s="212">
        <v>44581</v>
      </c>
      <c r="E100" s="213" t="s">
        <v>267</v>
      </c>
      <c r="F100" s="485" t="s">
        <v>243</v>
      </c>
      <c r="G100" s="486" t="s">
        <v>243</v>
      </c>
      <c r="H100" s="487" t="s">
        <v>243</v>
      </c>
      <c r="I100" s="488" t="s">
        <v>243</v>
      </c>
      <c r="J100" s="488" t="s">
        <v>243</v>
      </c>
      <c r="K100" s="489">
        <v>2964</v>
      </c>
      <c r="L100" s="490" t="s">
        <v>243</v>
      </c>
      <c r="M100" s="219">
        <v>0.29166666666666669</v>
      </c>
      <c r="N100" s="487">
        <v>288</v>
      </c>
      <c r="O100" s="487">
        <v>133</v>
      </c>
      <c r="P100" s="487">
        <v>155</v>
      </c>
      <c r="Q100" s="491">
        <v>9.7165991902834009E-2</v>
      </c>
      <c r="R100" s="492">
        <v>0.53819444444444442</v>
      </c>
      <c r="S100" s="493">
        <v>0.69791666666666663</v>
      </c>
      <c r="T100" s="487">
        <v>303</v>
      </c>
      <c r="U100" s="487">
        <v>156</v>
      </c>
      <c r="V100" s="487">
        <v>147</v>
      </c>
      <c r="W100" s="491">
        <v>0.10222672064777327</v>
      </c>
      <c r="X100" s="492">
        <v>0.51485148514851486</v>
      </c>
    </row>
    <row r="101" spans="1:24" s="162" customFormat="1" ht="18.95" customHeight="1">
      <c r="A101" s="125">
        <v>96</v>
      </c>
      <c r="B101" s="412" t="s">
        <v>48</v>
      </c>
      <c r="C101" s="412" t="s">
        <v>499</v>
      </c>
      <c r="D101" s="17">
        <v>44581</v>
      </c>
      <c r="E101" s="127" t="s">
        <v>267</v>
      </c>
      <c r="F101" s="413">
        <v>3085</v>
      </c>
      <c r="G101" s="414">
        <v>2772</v>
      </c>
      <c r="H101" s="415">
        <v>3366</v>
      </c>
      <c r="I101" s="416">
        <v>3583</v>
      </c>
      <c r="J101" s="416" t="s">
        <v>243</v>
      </c>
      <c r="K101" s="417">
        <v>4174</v>
      </c>
      <c r="L101" s="418">
        <v>0.16494557633268211</v>
      </c>
      <c r="M101" s="21">
        <v>0.30208333333333331</v>
      </c>
      <c r="N101" s="415">
        <v>378</v>
      </c>
      <c r="O101" s="415">
        <v>89</v>
      </c>
      <c r="P101" s="415">
        <v>289</v>
      </c>
      <c r="Q101" s="458">
        <v>9.0560613320555816E-2</v>
      </c>
      <c r="R101" s="459">
        <v>0.76455026455026454</v>
      </c>
      <c r="S101" s="460">
        <v>0.6875</v>
      </c>
      <c r="T101" s="415">
        <v>412</v>
      </c>
      <c r="U101" s="415">
        <v>257</v>
      </c>
      <c r="V101" s="415">
        <v>155</v>
      </c>
      <c r="W101" s="458">
        <v>9.8706276952563482E-2</v>
      </c>
      <c r="X101" s="459">
        <v>0.62378640776699024</v>
      </c>
    </row>
    <row r="102" spans="1:24" s="162" customFormat="1" ht="18.95" customHeight="1">
      <c r="A102" s="125">
        <v>97</v>
      </c>
      <c r="B102" s="412" t="s">
        <v>110</v>
      </c>
      <c r="C102" s="412" t="s">
        <v>1014</v>
      </c>
      <c r="D102" s="17">
        <v>44588</v>
      </c>
      <c r="E102" s="127" t="s">
        <v>267</v>
      </c>
      <c r="F102" s="413">
        <v>10599</v>
      </c>
      <c r="G102" s="414">
        <v>11485</v>
      </c>
      <c r="H102" s="415">
        <v>13419</v>
      </c>
      <c r="I102" s="416">
        <v>15097</v>
      </c>
      <c r="J102" s="416" t="s">
        <v>243</v>
      </c>
      <c r="K102" s="417">
        <v>17456</v>
      </c>
      <c r="L102" s="418">
        <v>0.15625620984301516</v>
      </c>
      <c r="M102" s="21">
        <v>0.45833333333333331</v>
      </c>
      <c r="N102" s="415">
        <v>1428</v>
      </c>
      <c r="O102" s="415">
        <v>774</v>
      </c>
      <c r="P102" s="415">
        <v>654</v>
      </c>
      <c r="Q102" s="458">
        <v>8.1805682859761683E-2</v>
      </c>
      <c r="R102" s="459">
        <v>0.54201680672268904</v>
      </c>
      <c r="S102" s="460">
        <v>0.6875</v>
      </c>
      <c r="T102" s="415">
        <v>1535</v>
      </c>
      <c r="U102" s="415">
        <v>938</v>
      </c>
      <c r="V102" s="415">
        <v>597</v>
      </c>
      <c r="W102" s="458">
        <v>8.7935380384967926E-2</v>
      </c>
      <c r="X102" s="459">
        <v>0.6110749185667752</v>
      </c>
    </row>
    <row r="103" spans="1:24" s="162" customFormat="1" ht="18.95" customHeight="1">
      <c r="A103" s="125">
        <v>98</v>
      </c>
      <c r="B103" s="412" t="s">
        <v>1015</v>
      </c>
      <c r="C103" s="412" t="s">
        <v>440</v>
      </c>
      <c r="D103" s="17">
        <v>44602</v>
      </c>
      <c r="E103" s="127" t="s">
        <v>267</v>
      </c>
      <c r="F103" s="413">
        <v>9551</v>
      </c>
      <c r="G103" s="414">
        <v>9937</v>
      </c>
      <c r="H103" s="415">
        <v>10667</v>
      </c>
      <c r="I103" s="416">
        <v>12273</v>
      </c>
      <c r="J103" s="416" t="s">
        <v>243</v>
      </c>
      <c r="K103" s="417">
        <v>12446</v>
      </c>
      <c r="L103" s="418">
        <v>1.4095983052228469E-2</v>
      </c>
      <c r="M103" s="21">
        <v>0.45833333333333331</v>
      </c>
      <c r="N103" s="415">
        <v>1102</v>
      </c>
      <c r="O103" s="415">
        <v>491</v>
      </c>
      <c r="P103" s="415">
        <v>611</v>
      </c>
      <c r="Q103" s="458">
        <v>8.8542503615619481E-2</v>
      </c>
      <c r="R103" s="459">
        <v>0.55444646098003625</v>
      </c>
      <c r="S103" s="460">
        <v>0.65625</v>
      </c>
      <c r="T103" s="415">
        <v>1111</v>
      </c>
      <c r="U103" s="415">
        <v>482</v>
      </c>
      <c r="V103" s="415">
        <v>629</v>
      </c>
      <c r="W103" s="458">
        <v>8.9265627510846865E-2</v>
      </c>
      <c r="X103" s="459">
        <v>0.56615661566156616</v>
      </c>
    </row>
    <row r="104" spans="1:24" s="162" customFormat="1" ht="18.95" customHeight="1">
      <c r="A104" s="125">
        <v>99</v>
      </c>
      <c r="B104" s="412" t="s">
        <v>111</v>
      </c>
      <c r="C104" s="412" t="s">
        <v>460</v>
      </c>
      <c r="D104" s="17">
        <v>44588</v>
      </c>
      <c r="E104" s="127" t="s">
        <v>267</v>
      </c>
      <c r="F104" s="413" t="s">
        <v>243</v>
      </c>
      <c r="G104" s="414" t="s">
        <v>243</v>
      </c>
      <c r="H104" s="415" t="s">
        <v>243</v>
      </c>
      <c r="I104" s="416" t="s">
        <v>243</v>
      </c>
      <c r="J104" s="416" t="s">
        <v>243</v>
      </c>
      <c r="K104" s="417">
        <v>1396</v>
      </c>
      <c r="L104" s="418" t="s">
        <v>243</v>
      </c>
      <c r="M104" s="21">
        <v>0.30208333333333331</v>
      </c>
      <c r="N104" s="415">
        <v>138</v>
      </c>
      <c r="O104" s="415">
        <v>104</v>
      </c>
      <c r="P104" s="415">
        <v>34</v>
      </c>
      <c r="Q104" s="458">
        <v>9.8853868194842404E-2</v>
      </c>
      <c r="R104" s="459">
        <v>0.75362318840579712</v>
      </c>
      <c r="S104" s="460">
        <v>0.69791666666666663</v>
      </c>
      <c r="T104" s="415">
        <v>116</v>
      </c>
      <c r="U104" s="415">
        <v>59</v>
      </c>
      <c r="V104" s="415">
        <v>57</v>
      </c>
      <c r="W104" s="458">
        <v>8.3094555873925502E-2</v>
      </c>
      <c r="X104" s="459">
        <v>0.50862068965517238</v>
      </c>
    </row>
    <row r="105" spans="1:24" s="162" customFormat="1" ht="18.95" customHeight="1">
      <c r="A105" s="125">
        <v>100</v>
      </c>
      <c r="B105" s="412" t="s">
        <v>46</v>
      </c>
      <c r="C105" s="412" t="s">
        <v>1016</v>
      </c>
      <c r="D105" s="17">
        <v>44588</v>
      </c>
      <c r="E105" s="127" t="s">
        <v>267</v>
      </c>
      <c r="F105" s="413" t="s">
        <v>243</v>
      </c>
      <c r="G105" s="414" t="s">
        <v>243</v>
      </c>
      <c r="H105" s="415" t="s">
        <v>243</v>
      </c>
      <c r="I105" s="416" t="s">
        <v>243</v>
      </c>
      <c r="J105" s="416" t="s">
        <v>243</v>
      </c>
      <c r="K105" s="417">
        <v>2491</v>
      </c>
      <c r="L105" s="418" t="s">
        <v>243</v>
      </c>
      <c r="M105" s="21">
        <v>0.29166666666666669</v>
      </c>
      <c r="N105" s="415">
        <v>219</v>
      </c>
      <c r="O105" s="415">
        <v>76</v>
      </c>
      <c r="P105" s="415">
        <v>143</v>
      </c>
      <c r="Q105" s="458">
        <v>8.7916499397832193E-2</v>
      </c>
      <c r="R105" s="459">
        <v>0.65296803652968038</v>
      </c>
      <c r="S105" s="460">
        <v>0.70833333333333337</v>
      </c>
      <c r="T105" s="415">
        <v>486</v>
      </c>
      <c r="U105" s="415">
        <v>266</v>
      </c>
      <c r="V105" s="415">
        <v>220</v>
      </c>
      <c r="W105" s="458">
        <v>0.1951023685266961</v>
      </c>
      <c r="X105" s="459">
        <v>0.54732510288065839</v>
      </c>
    </row>
    <row r="106" spans="1:24" s="162" customFormat="1" ht="18.95" customHeight="1">
      <c r="A106" s="125">
        <v>101</v>
      </c>
      <c r="B106" s="412" t="s">
        <v>46</v>
      </c>
      <c r="C106" s="412" t="s">
        <v>498</v>
      </c>
      <c r="D106" s="17">
        <v>44588</v>
      </c>
      <c r="E106" s="127" t="s">
        <v>267</v>
      </c>
      <c r="F106" s="413" t="s">
        <v>243</v>
      </c>
      <c r="G106" s="414" t="s">
        <v>243</v>
      </c>
      <c r="H106" s="415" t="s">
        <v>243</v>
      </c>
      <c r="I106" s="416" t="s">
        <v>243</v>
      </c>
      <c r="J106" s="416" t="s">
        <v>243</v>
      </c>
      <c r="K106" s="417">
        <v>1363</v>
      </c>
      <c r="L106" s="418" t="s">
        <v>243</v>
      </c>
      <c r="M106" s="21">
        <v>0.29166666666666669</v>
      </c>
      <c r="N106" s="415">
        <v>157</v>
      </c>
      <c r="O106" s="415">
        <v>71</v>
      </c>
      <c r="P106" s="415">
        <v>86</v>
      </c>
      <c r="Q106" s="458">
        <v>0.11518708730741012</v>
      </c>
      <c r="R106" s="459">
        <v>0.54777070063694266</v>
      </c>
      <c r="S106" s="460">
        <v>0.69791666666666663</v>
      </c>
      <c r="T106" s="415">
        <v>189</v>
      </c>
      <c r="U106" s="415">
        <v>109</v>
      </c>
      <c r="V106" s="415">
        <v>80</v>
      </c>
      <c r="W106" s="458">
        <v>0.13866471019809246</v>
      </c>
      <c r="X106" s="459">
        <v>0.57671957671957674</v>
      </c>
    </row>
    <row r="107" spans="1:24" s="162" customFormat="1" ht="18.95" customHeight="1">
      <c r="A107" s="125">
        <v>102</v>
      </c>
      <c r="B107" s="412" t="s">
        <v>46</v>
      </c>
      <c r="C107" s="412" t="s">
        <v>1017</v>
      </c>
      <c r="D107" s="17">
        <v>44588</v>
      </c>
      <c r="E107" s="127" t="s">
        <v>267</v>
      </c>
      <c r="F107" s="413" t="s">
        <v>243</v>
      </c>
      <c r="G107" s="414" t="s">
        <v>243</v>
      </c>
      <c r="H107" s="415" t="s">
        <v>243</v>
      </c>
      <c r="I107" s="416" t="s">
        <v>243</v>
      </c>
      <c r="J107" s="416" t="s">
        <v>243</v>
      </c>
      <c r="K107" s="417">
        <v>610</v>
      </c>
      <c r="L107" s="418" t="s">
        <v>243</v>
      </c>
      <c r="M107" s="21">
        <v>0.27083333333333331</v>
      </c>
      <c r="N107" s="415">
        <v>53</v>
      </c>
      <c r="O107" s="415">
        <v>22</v>
      </c>
      <c r="P107" s="415">
        <v>31</v>
      </c>
      <c r="Q107" s="458">
        <v>8.6885245901639346E-2</v>
      </c>
      <c r="R107" s="459">
        <v>0.58490566037735847</v>
      </c>
      <c r="S107" s="460">
        <v>0.69791666666666663</v>
      </c>
      <c r="T107" s="415">
        <v>75</v>
      </c>
      <c r="U107" s="415">
        <v>42</v>
      </c>
      <c r="V107" s="415">
        <v>33</v>
      </c>
      <c r="W107" s="458">
        <v>0.12295081967213115</v>
      </c>
      <c r="X107" s="459">
        <v>0.56000000000000005</v>
      </c>
    </row>
    <row r="108" spans="1:24" s="162" customFormat="1" ht="18.95" customHeight="1">
      <c r="A108" s="125">
        <v>103</v>
      </c>
      <c r="B108" s="412" t="s">
        <v>46</v>
      </c>
      <c r="C108" s="412" t="s">
        <v>1018</v>
      </c>
      <c r="D108" s="17">
        <v>44588</v>
      </c>
      <c r="E108" s="127" t="s">
        <v>267</v>
      </c>
      <c r="F108" s="413" t="s">
        <v>243</v>
      </c>
      <c r="G108" s="414" t="s">
        <v>243</v>
      </c>
      <c r="H108" s="415" t="s">
        <v>243</v>
      </c>
      <c r="I108" s="416" t="s">
        <v>243</v>
      </c>
      <c r="J108" s="416" t="s">
        <v>243</v>
      </c>
      <c r="K108" s="417">
        <v>1272</v>
      </c>
      <c r="L108" s="418" t="s">
        <v>243</v>
      </c>
      <c r="M108" s="21">
        <v>0.29166666666666669</v>
      </c>
      <c r="N108" s="415">
        <v>118</v>
      </c>
      <c r="O108" s="415">
        <v>38</v>
      </c>
      <c r="P108" s="415">
        <v>80</v>
      </c>
      <c r="Q108" s="458">
        <v>9.276729559748427E-2</v>
      </c>
      <c r="R108" s="459">
        <v>0.67796610169491522</v>
      </c>
      <c r="S108" s="460">
        <v>0.70833333333333337</v>
      </c>
      <c r="T108" s="415">
        <v>231</v>
      </c>
      <c r="U108" s="415">
        <v>191</v>
      </c>
      <c r="V108" s="415">
        <v>40</v>
      </c>
      <c r="W108" s="458">
        <v>0.18160377358490565</v>
      </c>
      <c r="X108" s="459">
        <v>0.82683982683982682</v>
      </c>
    </row>
    <row r="109" spans="1:24" s="162" customFormat="1" ht="18.95" customHeight="1">
      <c r="A109" s="125">
        <v>104</v>
      </c>
      <c r="B109" s="412" t="s">
        <v>39</v>
      </c>
      <c r="C109" s="412" t="s">
        <v>1019</v>
      </c>
      <c r="D109" s="17">
        <v>44588</v>
      </c>
      <c r="E109" s="127" t="s">
        <v>267</v>
      </c>
      <c r="F109" s="413" t="s">
        <v>243</v>
      </c>
      <c r="G109" s="414" t="s">
        <v>243</v>
      </c>
      <c r="H109" s="415" t="s">
        <v>243</v>
      </c>
      <c r="I109" s="416" t="s">
        <v>243</v>
      </c>
      <c r="J109" s="416" t="s">
        <v>243</v>
      </c>
      <c r="K109" s="417">
        <v>505</v>
      </c>
      <c r="L109" s="418" t="s">
        <v>243</v>
      </c>
      <c r="M109" s="21">
        <v>0.39583333333333331</v>
      </c>
      <c r="N109" s="415">
        <v>38</v>
      </c>
      <c r="O109" s="415">
        <v>18</v>
      </c>
      <c r="P109" s="415">
        <v>20</v>
      </c>
      <c r="Q109" s="458">
        <v>7.5247524752475245E-2</v>
      </c>
      <c r="R109" s="459">
        <v>0.52631578947368418</v>
      </c>
      <c r="S109" s="460">
        <v>0.70833333333333337</v>
      </c>
      <c r="T109" s="415">
        <v>54</v>
      </c>
      <c r="U109" s="415">
        <v>34</v>
      </c>
      <c r="V109" s="415">
        <v>20</v>
      </c>
      <c r="W109" s="458">
        <v>0.10693069306930693</v>
      </c>
      <c r="X109" s="459">
        <v>0.62962962962962965</v>
      </c>
    </row>
    <row r="110" spans="1:24" s="162" customFormat="1" ht="18.95" customHeight="1">
      <c r="A110" s="125">
        <v>105</v>
      </c>
      <c r="B110" s="412" t="s">
        <v>43</v>
      </c>
      <c r="C110" s="412" t="s">
        <v>1020</v>
      </c>
      <c r="D110" s="17">
        <v>44588</v>
      </c>
      <c r="E110" s="127" t="s">
        <v>267</v>
      </c>
      <c r="F110" s="413" t="s">
        <v>243</v>
      </c>
      <c r="G110" s="414" t="s">
        <v>243</v>
      </c>
      <c r="H110" s="415" t="s">
        <v>243</v>
      </c>
      <c r="I110" s="416" t="s">
        <v>243</v>
      </c>
      <c r="J110" s="416" t="s">
        <v>243</v>
      </c>
      <c r="K110" s="417">
        <v>4654</v>
      </c>
      <c r="L110" s="418" t="s">
        <v>243</v>
      </c>
      <c r="M110" s="21">
        <v>0.3125</v>
      </c>
      <c r="N110" s="415">
        <v>328</v>
      </c>
      <c r="O110" s="415">
        <v>138</v>
      </c>
      <c r="P110" s="415">
        <v>190</v>
      </c>
      <c r="Q110" s="458">
        <v>7.0477009024495052E-2</v>
      </c>
      <c r="R110" s="459">
        <v>0.57926829268292679</v>
      </c>
      <c r="S110" s="460">
        <v>0.6875</v>
      </c>
      <c r="T110" s="415">
        <v>427</v>
      </c>
      <c r="U110" s="415">
        <v>210</v>
      </c>
      <c r="V110" s="415">
        <v>217</v>
      </c>
      <c r="W110" s="458">
        <v>9.1749033089815218E-2</v>
      </c>
      <c r="X110" s="459">
        <v>0.50819672131147542</v>
      </c>
    </row>
    <row r="111" spans="1:24" s="162" customFormat="1" ht="18.95" customHeight="1">
      <c r="A111" s="125">
        <v>106</v>
      </c>
      <c r="B111" s="412" t="s">
        <v>43</v>
      </c>
      <c r="C111" s="412" t="s">
        <v>1021</v>
      </c>
      <c r="D111" s="17">
        <v>44588</v>
      </c>
      <c r="E111" s="127" t="s">
        <v>267</v>
      </c>
      <c r="F111" s="413" t="s">
        <v>243</v>
      </c>
      <c r="G111" s="414" t="s">
        <v>243</v>
      </c>
      <c r="H111" s="415" t="s">
        <v>243</v>
      </c>
      <c r="I111" s="416" t="s">
        <v>243</v>
      </c>
      <c r="J111" s="416" t="s">
        <v>243</v>
      </c>
      <c r="K111" s="417">
        <v>3893</v>
      </c>
      <c r="L111" s="418" t="s">
        <v>243</v>
      </c>
      <c r="M111" s="21">
        <v>0.30208333333333331</v>
      </c>
      <c r="N111" s="415">
        <v>298</v>
      </c>
      <c r="O111" s="415">
        <v>139</v>
      </c>
      <c r="P111" s="415">
        <v>159</v>
      </c>
      <c r="Q111" s="458">
        <v>7.6547649627536601E-2</v>
      </c>
      <c r="R111" s="459">
        <v>0.53355704697986572</v>
      </c>
      <c r="S111" s="460">
        <v>0.6875</v>
      </c>
      <c r="T111" s="415">
        <v>369</v>
      </c>
      <c r="U111" s="415">
        <v>190</v>
      </c>
      <c r="V111" s="415">
        <v>179</v>
      </c>
      <c r="W111" s="458">
        <v>9.4785512458258406E-2</v>
      </c>
      <c r="X111" s="459">
        <v>0.51490514905149054</v>
      </c>
    </row>
    <row r="112" spans="1:24" s="162" customFormat="1" ht="18.95" customHeight="1">
      <c r="A112" s="125">
        <v>107</v>
      </c>
      <c r="B112" s="412" t="s">
        <v>115</v>
      </c>
      <c r="C112" s="412" t="s">
        <v>1022</v>
      </c>
      <c r="D112" s="17">
        <v>44588</v>
      </c>
      <c r="E112" s="127" t="s">
        <v>267</v>
      </c>
      <c r="F112" s="413" t="s">
        <v>243</v>
      </c>
      <c r="G112" s="414" t="s">
        <v>243</v>
      </c>
      <c r="H112" s="415" t="s">
        <v>243</v>
      </c>
      <c r="I112" s="416" t="s">
        <v>243</v>
      </c>
      <c r="J112" s="416" t="s">
        <v>243</v>
      </c>
      <c r="K112" s="417">
        <v>560</v>
      </c>
      <c r="L112" s="418" t="s">
        <v>243</v>
      </c>
      <c r="M112" s="21">
        <v>0.28125</v>
      </c>
      <c r="N112" s="415">
        <v>65</v>
      </c>
      <c r="O112" s="415">
        <v>19</v>
      </c>
      <c r="P112" s="415">
        <v>46</v>
      </c>
      <c r="Q112" s="458">
        <v>0.11607142857142858</v>
      </c>
      <c r="R112" s="459">
        <v>0.70769230769230773</v>
      </c>
      <c r="S112" s="460">
        <v>0.6875</v>
      </c>
      <c r="T112" s="415">
        <v>68</v>
      </c>
      <c r="U112" s="415">
        <v>43</v>
      </c>
      <c r="V112" s="415">
        <v>25</v>
      </c>
      <c r="W112" s="458">
        <v>0.12142857142857143</v>
      </c>
      <c r="X112" s="459">
        <v>0.63235294117647056</v>
      </c>
    </row>
    <row r="113" spans="1:24" s="162" customFormat="1" ht="18.95" customHeight="1">
      <c r="A113" s="125">
        <v>108</v>
      </c>
      <c r="B113" s="412" t="s">
        <v>1023</v>
      </c>
      <c r="C113" s="412" t="s">
        <v>1024</v>
      </c>
      <c r="D113" s="17">
        <v>44635</v>
      </c>
      <c r="E113" s="127" t="s">
        <v>267</v>
      </c>
      <c r="F113" s="413">
        <v>4070</v>
      </c>
      <c r="G113" s="414">
        <v>5444</v>
      </c>
      <c r="H113" s="415">
        <v>6291</v>
      </c>
      <c r="I113" s="416">
        <v>7295</v>
      </c>
      <c r="J113" s="416" t="s">
        <v>243</v>
      </c>
      <c r="K113" s="417">
        <v>11703</v>
      </c>
      <c r="L113" s="418">
        <v>0.6042494859492803</v>
      </c>
      <c r="M113" s="21">
        <v>0.45833333333333331</v>
      </c>
      <c r="N113" s="415">
        <v>964</v>
      </c>
      <c r="O113" s="415">
        <v>527</v>
      </c>
      <c r="P113" s="415">
        <v>437</v>
      </c>
      <c r="Q113" s="458">
        <v>8.2372041356917031E-2</v>
      </c>
      <c r="R113" s="459">
        <v>0.54668049792531115</v>
      </c>
      <c r="S113" s="460">
        <v>0.5</v>
      </c>
      <c r="T113" s="415">
        <v>990</v>
      </c>
      <c r="U113" s="415">
        <v>516</v>
      </c>
      <c r="V113" s="415">
        <v>474</v>
      </c>
      <c r="W113" s="458">
        <v>8.4593693924634714E-2</v>
      </c>
      <c r="X113" s="459">
        <v>0.52121212121212124</v>
      </c>
    </row>
    <row r="114" spans="1:24" s="162" customFormat="1" ht="18.95" customHeight="1">
      <c r="A114" s="125">
        <v>109</v>
      </c>
      <c r="B114" s="412" t="s">
        <v>1023</v>
      </c>
      <c r="C114" s="412" t="s">
        <v>1025</v>
      </c>
      <c r="D114" s="17">
        <v>44602</v>
      </c>
      <c r="E114" s="127" t="s">
        <v>267</v>
      </c>
      <c r="F114" s="413" t="s">
        <v>243</v>
      </c>
      <c r="G114" s="414" t="s">
        <v>243</v>
      </c>
      <c r="H114" s="415" t="s">
        <v>243</v>
      </c>
      <c r="I114" s="416" t="s">
        <v>243</v>
      </c>
      <c r="J114" s="416" t="s">
        <v>243</v>
      </c>
      <c r="K114" s="417">
        <v>6079</v>
      </c>
      <c r="L114" s="418" t="s">
        <v>243</v>
      </c>
      <c r="M114" s="21">
        <v>0.29166666666666669</v>
      </c>
      <c r="N114" s="415">
        <v>541</v>
      </c>
      <c r="O114" s="415">
        <v>254</v>
      </c>
      <c r="P114" s="415">
        <v>287</v>
      </c>
      <c r="Q114" s="458">
        <v>8.899490047705215E-2</v>
      </c>
      <c r="R114" s="459">
        <v>0.53049907578558231</v>
      </c>
      <c r="S114" s="460">
        <v>0.70833333333333337</v>
      </c>
      <c r="T114" s="415">
        <v>566</v>
      </c>
      <c r="U114" s="415">
        <v>288</v>
      </c>
      <c r="V114" s="415">
        <v>278</v>
      </c>
      <c r="W114" s="458">
        <v>9.3107418983385426E-2</v>
      </c>
      <c r="X114" s="459">
        <v>0.50883392226148405</v>
      </c>
    </row>
    <row r="115" spans="1:24" s="226" customFormat="1" ht="18.95" customHeight="1">
      <c r="A115" s="210">
        <v>110</v>
      </c>
      <c r="B115" s="484" t="s">
        <v>95</v>
      </c>
      <c r="C115" s="484" t="s">
        <v>1026</v>
      </c>
      <c r="D115" s="212">
        <v>44602</v>
      </c>
      <c r="E115" s="213" t="s">
        <v>267</v>
      </c>
      <c r="F115" s="485" t="s">
        <v>243</v>
      </c>
      <c r="G115" s="486" t="s">
        <v>243</v>
      </c>
      <c r="H115" s="487" t="s">
        <v>243</v>
      </c>
      <c r="I115" s="488" t="s">
        <v>243</v>
      </c>
      <c r="J115" s="488" t="s">
        <v>243</v>
      </c>
      <c r="K115" s="489">
        <v>275</v>
      </c>
      <c r="L115" s="490" t="s">
        <v>243</v>
      </c>
      <c r="M115" s="219">
        <v>0.28125</v>
      </c>
      <c r="N115" s="487">
        <v>26</v>
      </c>
      <c r="O115" s="487">
        <v>17</v>
      </c>
      <c r="P115" s="487">
        <v>9</v>
      </c>
      <c r="Q115" s="491">
        <v>9.4545454545454544E-2</v>
      </c>
      <c r="R115" s="492">
        <v>0.65384615384615385</v>
      </c>
      <c r="S115" s="493">
        <v>0.65625</v>
      </c>
      <c r="T115" s="487">
        <v>37</v>
      </c>
      <c r="U115" s="487">
        <v>10</v>
      </c>
      <c r="V115" s="487">
        <v>27</v>
      </c>
      <c r="W115" s="491">
        <v>0.13454545454545455</v>
      </c>
      <c r="X115" s="492">
        <v>0.72972972972972971</v>
      </c>
    </row>
    <row r="116" spans="1:24" s="162" customFormat="1" ht="18.95" customHeight="1">
      <c r="A116" s="125">
        <v>111</v>
      </c>
      <c r="B116" s="412" t="s">
        <v>87</v>
      </c>
      <c r="C116" s="412" t="s">
        <v>1027</v>
      </c>
      <c r="D116" s="17">
        <v>44609</v>
      </c>
      <c r="E116" s="127" t="s">
        <v>267</v>
      </c>
      <c r="F116" s="413">
        <v>4054</v>
      </c>
      <c r="G116" s="414">
        <v>4253</v>
      </c>
      <c r="H116" s="415">
        <v>4388</v>
      </c>
      <c r="I116" s="416">
        <v>4517</v>
      </c>
      <c r="J116" s="416" t="s">
        <v>243</v>
      </c>
      <c r="K116" s="417">
        <v>5016</v>
      </c>
      <c r="L116" s="418">
        <v>0.11047155191498782</v>
      </c>
      <c r="M116" s="21">
        <v>0.44791666666666669</v>
      </c>
      <c r="N116" s="415">
        <v>340</v>
      </c>
      <c r="O116" s="415">
        <v>179</v>
      </c>
      <c r="P116" s="415">
        <v>161</v>
      </c>
      <c r="Q116" s="458">
        <v>6.778309409888357E-2</v>
      </c>
      <c r="R116" s="459">
        <v>0.52647058823529413</v>
      </c>
      <c r="S116" s="460">
        <v>0.6875</v>
      </c>
      <c r="T116" s="415">
        <v>416</v>
      </c>
      <c r="U116" s="415">
        <v>198</v>
      </c>
      <c r="V116" s="415">
        <v>218</v>
      </c>
      <c r="W116" s="458">
        <v>8.2934609250398722E-2</v>
      </c>
      <c r="X116" s="459">
        <v>0.52403846153846156</v>
      </c>
    </row>
    <row r="117" spans="1:24" s="162" customFormat="1" ht="18.95" customHeight="1">
      <c r="A117" s="125">
        <v>112</v>
      </c>
      <c r="B117" s="412" t="s">
        <v>86</v>
      </c>
      <c r="C117" s="412" t="s">
        <v>1028</v>
      </c>
      <c r="D117" s="17">
        <v>44609</v>
      </c>
      <c r="E117" s="127" t="s">
        <v>267</v>
      </c>
      <c r="F117" s="413" t="s">
        <v>243</v>
      </c>
      <c r="G117" s="414" t="s">
        <v>243</v>
      </c>
      <c r="H117" s="415" t="s">
        <v>243</v>
      </c>
      <c r="I117" s="416" t="s">
        <v>243</v>
      </c>
      <c r="J117" s="416" t="s">
        <v>243</v>
      </c>
      <c r="K117" s="417">
        <v>362</v>
      </c>
      <c r="L117" s="418" t="s">
        <v>243</v>
      </c>
      <c r="M117" s="21">
        <v>0.41666666666666669</v>
      </c>
      <c r="N117" s="415">
        <v>35</v>
      </c>
      <c r="O117" s="415">
        <v>12</v>
      </c>
      <c r="P117" s="415">
        <v>23</v>
      </c>
      <c r="Q117" s="458">
        <v>9.668508287292818E-2</v>
      </c>
      <c r="R117" s="459">
        <v>0.65714285714285714</v>
      </c>
      <c r="S117" s="460">
        <v>0.67708333333333337</v>
      </c>
      <c r="T117" s="415">
        <v>35</v>
      </c>
      <c r="U117" s="415">
        <v>19</v>
      </c>
      <c r="V117" s="415">
        <v>16</v>
      </c>
      <c r="W117" s="458">
        <v>9.668508287292818E-2</v>
      </c>
      <c r="X117" s="459">
        <v>0.54285714285714282</v>
      </c>
    </row>
    <row r="118" spans="1:24" s="162" customFormat="1" ht="18.95" customHeight="1">
      <c r="A118" s="125">
        <v>113</v>
      </c>
      <c r="B118" s="412" t="s">
        <v>118</v>
      </c>
      <c r="C118" s="412" t="s">
        <v>1029</v>
      </c>
      <c r="D118" s="17">
        <v>44635</v>
      </c>
      <c r="E118" s="127" t="s">
        <v>267</v>
      </c>
      <c r="F118" s="413">
        <v>2025</v>
      </c>
      <c r="G118" s="414">
        <v>1940</v>
      </c>
      <c r="H118" s="415">
        <v>2236</v>
      </c>
      <c r="I118" s="416">
        <v>2197</v>
      </c>
      <c r="J118" s="416" t="s">
        <v>243</v>
      </c>
      <c r="K118" s="417">
        <v>3508</v>
      </c>
      <c r="L118" s="418">
        <v>0.59672280382339549</v>
      </c>
      <c r="M118" s="21">
        <v>0.45833333333333331</v>
      </c>
      <c r="N118" s="415">
        <v>266</v>
      </c>
      <c r="O118" s="415">
        <v>136</v>
      </c>
      <c r="P118" s="415">
        <v>130</v>
      </c>
      <c r="Q118" s="458">
        <v>7.5826681870011403E-2</v>
      </c>
      <c r="R118" s="459">
        <v>0.51127819548872178</v>
      </c>
      <c r="S118" s="460">
        <v>0.5</v>
      </c>
      <c r="T118" s="415">
        <v>298</v>
      </c>
      <c r="U118" s="415">
        <v>130</v>
      </c>
      <c r="V118" s="415">
        <v>168</v>
      </c>
      <c r="W118" s="458">
        <v>8.4948688711516535E-2</v>
      </c>
      <c r="X118" s="459">
        <v>0.56375838926174493</v>
      </c>
    </row>
    <row r="119" spans="1:24" s="162" customFormat="1" ht="18.95" customHeight="1">
      <c r="A119" s="125">
        <v>114</v>
      </c>
      <c r="B119" s="412" t="s">
        <v>118</v>
      </c>
      <c r="C119" s="412" t="s">
        <v>1030</v>
      </c>
      <c r="D119" s="17">
        <v>44635</v>
      </c>
      <c r="E119" s="127" t="s">
        <v>267</v>
      </c>
      <c r="F119" s="413">
        <v>1727</v>
      </c>
      <c r="G119" s="414">
        <v>1604</v>
      </c>
      <c r="H119" s="415">
        <v>2198</v>
      </c>
      <c r="I119" s="416">
        <v>1687</v>
      </c>
      <c r="J119" s="416" t="s">
        <v>243</v>
      </c>
      <c r="K119" s="417">
        <v>2532</v>
      </c>
      <c r="L119" s="418">
        <v>0.5008891523414345</v>
      </c>
      <c r="M119" s="21">
        <v>0.29166666666666669</v>
      </c>
      <c r="N119" s="415">
        <v>175</v>
      </c>
      <c r="O119" s="415">
        <v>96</v>
      </c>
      <c r="P119" s="415">
        <v>79</v>
      </c>
      <c r="Q119" s="458">
        <v>6.9115323854660349E-2</v>
      </c>
      <c r="R119" s="459">
        <v>0.5485714285714286</v>
      </c>
      <c r="S119" s="460">
        <v>0.65625</v>
      </c>
      <c r="T119" s="415">
        <v>228</v>
      </c>
      <c r="U119" s="415">
        <v>103</v>
      </c>
      <c r="V119" s="415">
        <v>125</v>
      </c>
      <c r="W119" s="458">
        <v>9.004739336492891E-2</v>
      </c>
      <c r="X119" s="459">
        <v>0.54824561403508776</v>
      </c>
    </row>
    <row r="120" spans="1:24" s="226" customFormat="1" ht="18.95" customHeight="1">
      <c r="A120" s="210">
        <v>115</v>
      </c>
      <c r="B120" s="484" t="s">
        <v>119</v>
      </c>
      <c r="C120" s="484" t="s">
        <v>1031</v>
      </c>
      <c r="D120" s="212">
        <v>44609</v>
      </c>
      <c r="E120" s="213" t="s">
        <v>267</v>
      </c>
      <c r="F120" s="485" t="s">
        <v>243</v>
      </c>
      <c r="G120" s="486" t="s">
        <v>243</v>
      </c>
      <c r="H120" s="487" t="s">
        <v>243</v>
      </c>
      <c r="I120" s="488" t="s">
        <v>243</v>
      </c>
      <c r="J120" s="488" t="s">
        <v>243</v>
      </c>
      <c r="K120" s="489">
        <v>285</v>
      </c>
      <c r="L120" s="490" t="s">
        <v>243</v>
      </c>
      <c r="M120" s="219">
        <v>0.45833333333333331</v>
      </c>
      <c r="N120" s="487">
        <v>24</v>
      </c>
      <c r="O120" s="487">
        <v>11</v>
      </c>
      <c r="P120" s="487">
        <v>13</v>
      </c>
      <c r="Q120" s="491">
        <v>8.4210526315789472E-2</v>
      </c>
      <c r="R120" s="492">
        <v>0.54166666666666663</v>
      </c>
      <c r="S120" s="493">
        <v>0.66666666666666663</v>
      </c>
      <c r="T120" s="487">
        <v>28</v>
      </c>
      <c r="U120" s="487">
        <v>15</v>
      </c>
      <c r="V120" s="487">
        <v>13</v>
      </c>
      <c r="W120" s="491">
        <v>9.8245614035087719E-2</v>
      </c>
      <c r="X120" s="492">
        <v>0.5357142857142857</v>
      </c>
    </row>
    <row r="121" spans="1:24" s="226" customFormat="1" ht="18.95" customHeight="1">
      <c r="A121" s="210">
        <v>116</v>
      </c>
      <c r="B121" s="484" t="s">
        <v>854</v>
      </c>
      <c r="C121" s="484" t="s">
        <v>1032</v>
      </c>
      <c r="D121" s="212">
        <v>44616</v>
      </c>
      <c r="E121" s="213" t="s">
        <v>267</v>
      </c>
      <c r="F121" s="485" t="s">
        <v>243</v>
      </c>
      <c r="G121" s="486" t="s">
        <v>243</v>
      </c>
      <c r="H121" s="487" t="s">
        <v>243</v>
      </c>
      <c r="I121" s="488" t="s">
        <v>243</v>
      </c>
      <c r="J121" s="488" t="s">
        <v>243</v>
      </c>
      <c r="K121" s="489">
        <v>1078</v>
      </c>
      <c r="L121" s="490" t="s">
        <v>243</v>
      </c>
      <c r="M121" s="219">
        <v>0.33333333333333331</v>
      </c>
      <c r="N121" s="487">
        <v>74</v>
      </c>
      <c r="O121" s="487">
        <v>53</v>
      </c>
      <c r="P121" s="487">
        <v>21</v>
      </c>
      <c r="Q121" s="491">
        <v>6.8645640074211506E-2</v>
      </c>
      <c r="R121" s="492">
        <v>0.71621621621621623</v>
      </c>
      <c r="S121" s="493">
        <v>0.70833333333333337</v>
      </c>
      <c r="T121" s="487">
        <v>88</v>
      </c>
      <c r="U121" s="487">
        <v>29</v>
      </c>
      <c r="V121" s="487">
        <v>59</v>
      </c>
      <c r="W121" s="491">
        <v>8.1632653061224483E-2</v>
      </c>
      <c r="X121" s="492">
        <v>0.67045454545454541</v>
      </c>
    </row>
    <row r="122" spans="1:24" s="226" customFormat="1" ht="18.95" customHeight="1">
      <c r="A122" s="210">
        <v>117</v>
      </c>
      <c r="B122" s="484" t="s">
        <v>91</v>
      </c>
      <c r="C122" s="484" t="s">
        <v>1033</v>
      </c>
      <c r="D122" s="212">
        <v>44616</v>
      </c>
      <c r="E122" s="213" t="s">
        <v>267</v>
      </c>
      <c r="F122" s="485" t="s">
        <v>243</v>
      </c>
      <c r="G122" s="486" t="s">
        <v>243</v>
      </c>
      <c r="H122" s="487" t="s">
        <v>243</v>
      </c>
      <c r="I122" s="488" t="s">
        <v>243</v>
      </c>
      <c r="J122" s="488" t="s">
        <v>243</v>
      </c>
      <c r="K122" s="489">
        <v>329</v>
      </c>
      <c r="L122" s="490" t="s">
        <v>243</v>
      </c>
      <c r="M122" s="219">
        <v>0.29166666666666669</v>
      </c>
      <c r="N122" s="487">
        <v>33</v>
      </c>
      <c r="O122" s="487">
        <v>15</v>
      </c>
      <c r="P122" s="487">
        <v>18</v>
      </c>
      <c r="Q122" s="491">
        <v>0.10030395136778116</v>
      </c>
      <c r="R122" s="492">
        <v>0.54545454545454541</v>
      </c>
      <c r="S122" s="493">
        <v>0.70833333333333337</v>
      </c>
      <c r="T122" s="487">
        <v>35</v>
      </c>
      <c r="U122" s="487">
        <v>17</v>
      </c>
      <c r="V122" s="487">
        <v>18</v>
      </c>
      <c r="W122" s="491">
        <v>0.10638297872340426</v>
      </c>
      <c r="X122" s="492">
        <v>0.51428571428571423</v>
      </c>
    </row>
    <row r="123" spans="1:24" s="162" customFormat="1" ht="18.95" customHeight="1">
      <c r="A123" s="125">
        <v>118</v>
      </c>
      <c r="B123" s="412" t="s">
        <v>120</v>
      </c>
      <c r="C123" s="412" t="s">
        <v>1034</v>
      </c>
      <c r="D123" s="17">
        <v>44616</v>
      </c>
      <c r="E123" s="127" t="s">
        <v>267</v>
      </c>
      <c r="F123" s="413">
        <v>729</v>
      </c>
      <c r="G123" s="414">
        <v>710</v>
      </c>
      <c r="H123" s="415">
        <v>912</v>
      </c>
      <c r="I123" s="416">
        <v>748</v>
      </c>
      <c r="J123" s="416" t="s">
        <v>243</v>
      </c>
      <c r="K123" s="417">
        <v>696</v>
      </c>
      <c r="L123" s="418">
        <v>-6.9518716577540107E-2</v>
      </c>
      <c r="M123" s="21">
        <v>0.29166666666666669</v>
      </c>
      <c r="N123" s="415">
        <v>66</v>
      </c>
      <c r="O123" s="415">
        <v>21</v>
      </c>
      <c r="P123" s="415">
        <v>45</v>
      </c>
      <c r="Q123" s="458">
        <v>9.4827586206896547E-2</v>
      </c>
      <c r="R123" s="459">
        <v>0.68181818181818177</v>
      </c>
      <c r="S123" s="460">
        <v>0.6875</v>
      </c>
      <c r="T123" s="415">
        <v>71</v>
      </c>
      <c r="U123" s="415">
        <v>40</v>
      </c>
      <c r="V123" s="415">
        <v>31</v>
      </c>
      <c r="W123" s="458">
        <v>0.10201149425287356</v>
      </c>
      <c r="X123" s="459">
        <v>0.56338028169014087</v>
      </c>
    </row>
    <row r="124" spans="1:24" s="162" customFormat="1" ht="18.95" customHeight="1">
      <c r="A124" s="125">
        <v>119</v>
      </c>
      <c r="B124" s="412" t="s">
        <v>1035</v>
      </c>
      <c r="C124" s="412" t="s">
        <v>1036</v>
      </c>
      <c r="D124" s="17">
        <v>44588</v>
      </c>
      <c r="E124" s="127" t="s">
        <v>267</v>
      </c>
      <c r="F124" s="413" t="s">
        <v>243</v>
      </c>
      <c r="G124" s="414" t="s">
        <v>243</v>
      </c>
      <c r="H124" s="415" t="s">
        <v>243</v>
      </c>
      <c r="I124" s="416" t="s">
        <v>243</v>
      </c>
      <c r="J124" s="416" t="s">
        <v>243</v>
      </c>
      <c r="K124" s="417">
        <v>330</v>
      </c>
      <c r="L124" s="418" t="s">
        <v>243</v>
      </c>
      <c r="M124" s="21">
        <v>0.34375</v>
      </c>
      <c r="N124" s="415">
        <v>24</v>
      </c>
      <c r="O124" s="415">
        <v>9</v>
      </c>
      <c r="P124" s="415">
        <v>15</v>
      </c>
      <c r="Q124" s="458">
        <v>7.2727272727272724E-2</v>
      </c>
      <c r="R124" s="459">
        <v>0.625</v>
      </c>
      <c r="S124" s="460">
        <v>0.67708333333333337</v>
      </c>
      <c r="T124" s="415">
        <v>37</v>
      </c>
      <c r="U124" s="415">
        <v>17</v>
      </c>
      <c r="V124" s="415">
        <v>20</v>
      </c>
      <c r="W124" s="458">
        <v>0.11212121212121212</v>
      </c>
      <c r="X124" s="459">
        <v>0.54054054054054057</v>
      </c>
    </row>
    <row r="125" spans="1:24" s="162" customFormat="1" ht="18.95" customHeight="1">
      <c r="A125" s="125">
        <v>120</v>
      </c>
      <c r="B125" s="412" t="s">
        <v>121</v>
      </c>
      <c r="C125" s="412" t="s">
        <v>1037</v>
      </c>
      <c r="D125" s="17">
        <v>44616</v>
      </c>
      <c r="E125" s="127" t="s">
        <v>267</v>
      </c>
      <c r="F125" s="413" t="s">
        <v>243</v>
      </c>
      <c r="G125" s="414" t="s">
        <v>243</v>
      </c>
      <c r="H125" s="415" t="s">
        <v>243</v>
      </c>
      <c r="I125" s="416" t="s">
        <v>243</v>
      </c>
      <c r="J125" s="416" t="s">
        <v>243</v>
      </c>
      <c r="K125" s="417">
        <v>245</v>
      </c>
      <c r="L125" s="418" t="s">
        <v>243</v>
      </c>
      <c r="M125" s="21">
        <v>0.29166666666666669</v>
      </c>
      <c r="N125" s="415">
        <v>19</v>
      </c>
      <c r="O125" s="415">
        <v>3</v>
      </c>
      <c r="P125" s="415">
        <v>16</v>
      </c>
      <c r="Q125" s="458">
        <v>7.7551020408163265E-2</v>
      </c>
      <c r="R125" s="459">
        <v>0.84210526315789469</v>
      </c>
      <c r="S125" s="460">
        <v>0.61458333333333337</v>
      </c>
      <c r="T125" s="415">
        <v>29</v>
      </c>
      <c r="U125" s="415">
        <v>19</v>
      </c>
      <c r="V125" s="415">
        <v>10</v>
      </c>
      <c r="W125" s="458">
        <v>0.11836734693877551</v>
      </c>
      <c r="X125" s="459">
        <v>0.65517241379310343</v>
      </c>
    </row>
    <row r="126" spans="1:24" s="162" customFormat="1" ht="18.95" customHeight="1">
      <c r="A126" s="125">
        <v>121</v>
      </c>
      <c r="B126" s="412" t="s">
        <v>63</v>
      </c>
      <c r="C126" s="412" t="s">
        <v>1038</v>
      </c>
      <c r="D126" s="17">
        <v>44602</v>
      </c>
      <c r="E126" s="127" t="s">
        <v>267</v>
      </c>
      <c r="F126" s="413" t="s">
        <v>243</v>
      </c>
      <c r="G126" s="414" t="s">
        <v>243</v>
      </c>
      <c r="H126" s="415" t="s">
        <v>243</v>
      </c>
      <c r="I126" s="416" t="s">
        <v>243</v>
      </c>
      <c r="J126" s="416" t="s">
        <v>243</v>
      </c>
      <c r="K126" s="417">
        <v>611</v>
      </c>
      <c r="L126" s="418" t="s">
        <v>243</v>
      </c>
      <c r="M126" s="21">
        <v>0.29166666666666669</v>
      </c>
      <c r="N126" s="415">
        <v>61</v>
      </c>
      <c r="O126" s="415">
        <v>21</v>
      </c>
      <c r="P126" s="415">
        <v>40</v>
      </c>
      <c r="Q126" s="458">
        <v>9.9836333878887074E-2</v>
      </c>
      <c r="R126" s="459">
        <v>0.65573770491803274</v>
      </c>
      <c r="S126" s="460">
        <v>0.69791666666666663</v>
      </c>
      <c r="T126" s="415">
        <v>71</v>
      </c>
      <c r="U126" s="415">
        <v>31</v>
      </c>
      <c r="V126" s="415">
        <v>40</v>
      </c>
      <c r="W126" s="458">
        <v>0.11620294599018004</v>
      </c>
      <c r="X126" s="459">
        <v>0.56338028169014087</v>
      </c>
    </row>
    <row r="127" spans="1:24" s="226" customFormat="1" ht="18.95" customHeight="1">
      <c r="A127" s="210">
        <v>122</v>
      </c>
      <c r="B127" s="484" t="s">
        <v>855</v>
      </c>
      <c r="C127" s="484" t="s">
        <v>1039</v>
      </c>
      <c r="D127" s="212">
        <v>44609</v>
      </c>
      <c r="E127" s="213" t="s">
        <v>267</v>
      </c>
      <c r="F127" s="485" t="s">
        <v>243</v>
      </c>
      <c r="G127" s="486" t="s">
        <v>243</v>
      </c>
      <c r="H127" s="487" t="s">
        <v>243</v>
      </c>
      <c r="I127" s="488" t="s">
        <v>243</v>
      </c>
      <c r="J127" s="488" t="s">
        <v>243</v>
      </c>
      <c r="K127" s="489">
        <v>369</v>
      </c>
      <c r="L127" s="490" t="s">
        <v>243</v>
      </c>
      <c r="M127" s="219">
        <v>0.32291666666666669</v>
      </c>
      <c r="N127" s="487">
        <v>97</v>
      </c>
      <c r="O127" s="487">
        <v>77</v>
      </c>
      <c r="P127" s="487">
        <v>20</v>
      </c>
      <c r="Q127" s="491">
        <v>0.26287262872628725</v>
      </c>
      <c r="R127" s="492">
        <v>0.79381443298969068</v>
      </c>
      <c r="S127" s="493">
        <v>0.64583333333333337</v>
      </c>
      <c r="T127" s="487">
        <v>104</v>
      </c>
      <c r="U127" s="487">
        <v>66</v>
      </c>
      <c r="V127" s="487">
        <v>38</v>
      </c>
      <c r="W127" s="491">
        <v>0.28184281842818426</v>
      </c>
      <c r="X127" s="492">
        <v>0.63461538461538458</v>
      </c>
    </row>
    <row r="128" spans="1:24" s="162" customFormat="1" ht="18.95" customHeight="1">
      <c r="A128" s="125">
        <v>123</v>
      </c>
      <c r="B128" s="412" t="s">
        <v>89</v>
      </c>
      <c r="C128" s="412" t="s">
        <v>1040</v>
      </c>
      <c r="D128" s="17">
        <v>44609</v>
      </c>
      <c r="E128" s="127" t="s">
        <v>267</v>
      </c>
      <c r="F128" s="413">
        <v>1274</v>
      </c>
      <c r="G128" s="414">
        <v>1210</v>
      </c>
      <c r="H128" s="415">
        <v>1395</v>
      </c>
      <c r="I128" s="416">
        <v>1587</v>
      </c>
      <c r="J128" s="416" t="s">
        <v>243</v>
      </c>
      <c r="K128" s="417">
        <v>1248</v>
      </c>
      <c r="L128" s="418">
        <v>-0.21361058601134217</v>
      </c>
      <c r="M128" s="21">
        <v>0.32291666666666669</v>
      </c>
      <c r="N128" s="415">
        <v>226</v>
      </c>
      <c r="O128" s="415">
        <v>116</v>
      </c>
      <c r="P128" s="415">
        <v>110</v>
      </c>
      <c r="Q128" s="458">
        <v>0.18108974358974358</v>
      </c>
      <c r="R128" s="459">
        <v>0.51327433628318586</v>
      </c>
      <c r="S128" s="460">
        <v>0.64583333333333337</v>
      </c>
      <c r="T128" s="415">
        <v>169</v>
      </c>
      <c r="U128" s="415">
        <v>104</v>
      </c>
      <c r="V128" s="415">
        <v>65</v>
      </c>
      <c r="W128" s="458">
        <v>0.13541666666666666</v>
      </c>
      <c r="X128" s="459">
        <v>0.61538461538461542</v>
      </c>
    </row>
    <row r="129" spans="1:24" s="162" customFormat="1" ht="18.95" customHeight="1">
      <c r="A129" s="125">
        <v>124</v>
      </c>
      <c r="B129" s="412" t="s">
        <v>89</v>
      </c>
      <c r="C129" s="412" t="s">
        <v>1041</v>
      </c>
      <c r="D129" s="17">
        <v>44609</v>
      </c>
      <c r="E129" s="127" t="s">
        <v>267</v>
      </c>
      <c r="F129" s="413">
        <v>704</v>
      </c>
      <c r="G129" s="414">
        <v>634</v>
      </c>
      <c r="H129" s="415">
        <v>894</v>
      </c>
      <c r="I129" s="416">
        <v>638</v>
      </c>
      <c r="J129" s="416" t="s">
        <v>243</v>
      </c>
      <c r="K129" s="417">
        <v>718</v>
      </c>
      <c r="L129" s="418">
        <v>0.12539184952978055</v>
      </c>
      <c r="M129" s="21">
        <v>0.3125</v>
      </c>
      <c r="N129" s="415">
        <v>63</v>
      </c>
      <c r="O129" s="415">
        <v>37</v>
      </c>
      <c r="P129" s="415">
        <v>26</v>
      </c>
      <c r="Q129" s="458">
        <v>8.7743732590529241E-2</v>
      </c>
      <c r="R129" s="459">
        <v>0.58730158730158732</v>
      </c>
      <c r="S129" s="460">
        <v>0.65625</v>
      </c>
      <c r="T129" s="415">
        <v>78</v>
      </c>
      <c r="U129" s="415">
        <v>25</v>
      </c>
      <c r="V129" s="415">
        <v>53</v>
      </c>
      <c r="W129" s="458">
        <v>0.10863509749303621</v>
      </c>
      <c r="X129" s="459">
        <v>0.67948717948717952</v>
      </c>
    </row>
    <row r="130" spans="1:24" s="162" customFormat="1" ht="18.95" customHeight="1">
      <c r="A130" s="125">
        <v>125</v>
      </c>
      <c r="B130" s="412" t="s">
        <v>364</v>
      </c>
      <c r="C130" s="412" t="s">
        <v>1042</v>
      </c>
      <c r="D130" s="17">
        <v>44574</v>
      </c>
      <c r="E130" s="127" t="s">
        <v>267</v>
      </c>
      <c r="F130" s="413">
        <v>13488</v>
      </c>
      <c r="G130" s="414">
        <v>13204</v>
      </c>
      <c r="H130" s="415">
        <v>13320</v>
      </c>
      <c r="I130" s="416">
        <v>13526</v>
      </c>
      <c r="J130" s="416" t="s">
        <v>243</v>
      </c>
      <c r="K130" s="417">
        <v>11224</v>
      </c>
      <c r="L130" s="418">
        <v>-0.17019074375277243</v>
      </c>
      <c r="M130" s="21">
        <v>0.45833333333333331</v>
      </c>
      <c r="N130" s="415">
        <v>1010</v>
      </c>
      <c r="O130" s="415">
        <v>545</v>
      </c>
      <c r="P130" s="415">
        <v>465</v>
      </c>
      <c r="Q130" s="458">
        <v>8.9985744832501782E-2</v>
      </c>
      <c r="R130" s="459">
        <v>0.53960396039603964</v>
      </c>
      <c r="S130" s="460">
        <v>0.5</v>
      </c>
      <c r="T130" s="415">
        <v>1088</v>
      </c>
      <c r="U130" s="415">
        <v>540</v>
      </c>
      <c r="V130" s="415">
        <v>548</v>
      </c>
      <c r="W130" s="458">
        <v>9.6935138987883113E-2</v>
      </c>
      <c r="X130" s="459">
        <v>0.50367647058823528</v>
      </c>
    </row>
    <row r="131" spans="1:24" s="162" customFormat="1" ht="18.95" customHeight="1">
      <c r="A131" s="125">
        <v>126</v>
      </c>
      <c r="B131" s="412" t="s">
        <v>364</v>
      </c>
      <c r="C131" s="412" t="s">
        <v>366</v>
      </c>
      <c r="D131" s="17">
        <v>44574</v>
      </c>
      <c r="E131" s="127" t="s">
        <v>267</v>
      </c>
      <c r="F131" s="413">
        <v>12879</v>
      </c>
      <c r="G131" s="414">
        <v>12977</v>
      </c>
      <c r="H131" s="415">
        <v>13472</v>
      </c>
      <c r="I131" s="416">
        <v>12947</v>
      </c>
      <c r="J131" s="416" t="s">
        <v>243</v>
      </c>
      <c r="K131" s="417">
        <v>11556</v>
      </c>
      <c r="L131" s="418">
        <v>-0.10743801652892562</v>
      </c>
      <c r="M131" s="21">
        <v>0.44791666666666669</v>
      </c>
      <c r="N131" s="415">
        <v>1039</v>
      </c>
      <c r="O131" s="415">
        <v>510</v>
      </c>
      <c r="P131" s="415">
        <v>529</v>
      </c>
      <c r="Q131" s="458">
        <v>8.9910003461405333E-2</v>
      </c>
      <c r="R131" s="459">
        <v>0.50914340712223294</v>
      </c>
      <c r="S131" s="460">
        <v>0.60416666666666663</v>
      </c>
      <c r="T131" s="415">
        <v>1073</v>
      </c>
      <c r="U131" s="415">
        <v>506</v>
      </c>
      <c r="V131" s="415">
        <v>567</v>
      </c>
      <c r="W131" s="458">
        <v>9.2852197992384908E-2</v>
      </c>
      <c r="X131" s="459">
        <v>0.52842497670083877</v>
      </c>
    </row>
    <row r="132" spans="1:24" s="162" customFormat="1" ht="18.95" customHeight="1">
      <c r="A132" s="125">
        <v>127</v>
      </c>
      <c r="B132" s="412" t="s">
        <v>364</v>
      </c>
      <c r="C132" s="412" t="s">
        <v>1043</v>
      </c>
      <c r="D132" s="17">
        <v>44574</v>
      </c>
      <c r="E132" s="127" t="s">
        <v>267</v>
      </c>
      <c r="F132" s="413">
        <v>19131</v>
      </c>
      <c r="G132" s="414">
        <v>18177</v>
      </c>
      <c r="H132" s="415">
        <v>18945</v>
      </c>
      <c r="I132" s="416">
        <v>18544</v>
      </c>
      <c r="J132" s="416" t="s">
        <v>243</v>
      </c>
      <c r="K132" s="417">
        <v>16992</v>
      </c>
      <c r="L132" s="418">
        <v>-8.3692838654012086E-2</v>
      </c>
      <c r="M132" s="21">
        <v>0.44791666666666669</v>
      </c>
      <c r="N132" s="415">
        <v>1537</v>
      </c>
      <c r="O132" s="415">
        <v>794</v>
      </c>
      <c r="P132" s="415">
        <v>743</v>
      </c>
      <c r="Q132" s="458">
        <v>9.0454331450094155E-2</v>
      </c>
      <c r="R132" s="459">
        <v>0.51659076122316205</v>
      </c>
      <c r="S132" s="460">
        <v>0.5</v>
      </c>
      <c r="T132" s="415">
        <v>1634</v>
      </c>
      <c r="U132" s="415">
        <v>807</v>
      </c>
      <c r="V132" s="415">
        <v>827</v>
      </c>
      <c r="W132" s="458">
        <v>9.6162900188323922E-2</v>
      </c>
      <c r="X132" s="459">
        <v>0.50611995104039165</v>
      </c>
    </row>
    <row r="133" spans="1:24" s="162" customFormat="1" ht="18.95" customHeight="1">
      <c r="A133" s="125">
        <v>128</v>
      </c>
      <c r="B133" s="412" t="s">
        <v>364</v>
      </c>
      <c r="C133" s="412" t="s">
        <v>1044</v>
      </c>
      <c r="D133" s="17">
        <v>44574</v>
      </c>
      <c r="E133" s="127" t="s">
        <v>267</v>
      </c>
      <c r="F133" s="413">
        <v>16998</v>
      </c>
      <c r="G133" s="414">
        <v>17058</v>
      </c>
      <c r="H133" s="415">
        <v>17285</v>
      </c>
      <c r="I133" s="416">
        <v>16953</v>
      </c>
      <c r="J133" s="416" t="s">
        <v>243</v>
      </c>
      <c r="K133" s="417">
        <v>15151</v>
      </c>
      <c r="L133" s="418">
        <v>-0.1062938712912169</v>
      </c>
      <c r="M133" s="21">
        <v>0.44791666666666669</v>
      </c>
      <c r="N133" s="415">
        <v>1433</v>
      </c>
      <c r="O133" s="415">
        <v>680</v>
      </c>
      <c r="P133" s="415">
        <v>753</v>
      </c>
      <c r="Q133" s="458">
        <v>9.4581215761335879E-2</v>
      </c>
      <c r="R133" s="459">
        <v>0.52547103977669229</v>
      </c>
      <c r="S133" s="460">
        <v>0.5</v>
      </c>
      <c r="T133" s="415">
        <v>1473</v>
      </c>
      <c r="U133" s="415">
        <v>703</v>
      </c>
      <c r="V133" s="415">
        <v>770</v>
      </c>
      <c r="W133" s="458">
        <v>9.7221305524387833E-2</v>
      </c>
      <c r="X133" s="459">
        <v>0.52274270196877126</v>
      </c>
    </row>
    <row r="134" spans="1:24" s="162" customFormat="1" ht="18.95" customHeight="1">
      <c r="A134" s="125">
        <v>129</v>
      </c>
      <c r="B134" s="412" t="s">
        <v>1045</v>
      </c>
      <c r="C134" s="412" t="s">
        <v>1046</v>
      </c>
      <c r="D134" s="17">
        <v>44616</v>
      </c>
      <c r="E134" s="127" t="s">
        <v>267</v>
      </c>
      <c r="F134" s="413">
        <v>7989</v>
      </c>
      <c r="G134" s="414">
        <v>7404</v>
      </c>
      <c r="H134" s="415">
        <v>7673</v>
      </c>
      <c r="I134" s="416">
        <v>6889</v>
      </c>
      <c r="J134" s="416" t="s">
        <v>243</v>
      </c>
      <c r="K134" s="417">
        <v>12224</v>
      </c>
      <c r="L134" s="418">
        <v>0.77442299317752938</v>
      </c>
      <c r="M134" s="21">
        <v>0.45833333333333331</v>
      </c>
      <c r="N134" s="415">
        <v>1107</v>
      </c>
      <c r="O134" s="415">
        <v>543</v>
      </c>
      <c r="P134" s="415">
        <v>564</v>
      </c>
      <c r="Q134" s="458">
        <v>9.0559554973821996E-2</v>
      </c>
      <c r="R134" s="459">
        <v>0.50948509485094851</v>
      </c>
      <c r="S134" s="460">
        <v>0.5</v>
      </c>
      <c r="T134" s="415">
        <v>1087</v>
      </c>
      <c r="U134" s="415">
        <v>507</v>
      </c>
      <c r="V134" s="415">
        <v>580</v>
      </c>
      <c r="W134" s="458">
        <v>8.8923429319371722E-2</v>
      </c>
      <c r="X134" s="459">
        <v>0.53357865685372585</v>
      </c>
    </row>
    <row r="135" spans="1:24" s="162" customFormat="1" ht="18.95" customHeight="1">
      <c r="A135" s="125">
        <v>130</v>
      </c>
      <c r="B135" s="412" t="s">
        <v>1045</v>
      </c>
      <c r="C135" s="412" t="s">
        <v>1047</v>
      </c>
      <c r="D135" s="17">
        <v>44595</v>
      </c>
      <c r="E135" s="127" t="s">
        <v>267</v>
      </c>
      <c r="F135" s="413" t="s">
        <v>243</v>
      </c>
      <c r="G135" s="414" t="s">
        <v>243</v>
      </c>
      <c r="H135" s="415" t="s">
        <v>243</v>
      </c>
      <c r="I135" s="416" t="s">
        <v>243</v>
      </c>
      <c r="J135" s="416" t="s">
        <v>243</v>
      </c>
      <c r="K135" s="417">
        <v>7338</v>
      </c>
      <c r="L135" s="418" t="s">
        <v>243</v>
      </c>
      <c r="M135" s="21">
        <v>0.44791666666666669</v>
      </c>
      <c r="N135" s="415">
        <v>675</v>
      </c>
      <c r="O135" s="415">
        <v>343</v>
      </c>
      <c r="P135" s="415">
        <v>332</v>
      </c>
      <c r="Q135" s="458">
        <v>9.1986917416189695E-2</v>
      </c>
      <c r="R135" s="459">
        <v>0.50814814814814813</v>
      </c>
      <c r="S135" s="460">
        <v>0.5</v>
      </c>
      <c r="T135" s="415">
        <v>756</v>
      </c>
      <c r="U135" s="415">
        <v>415</v>
      </c>
      <c r="V135" s="415">
        <v>341</v>
      </c>
      <c r="W135" s="458">
        <v>0.10302534750613246</v>
      </c>
      <c r="X135" s="459">
        <v>0.54894179894179895</v>
      </c>
    </row>
    <row r="136" spans="1:24" s="162" customFormat="1" ht="18.95" customHeight="1">
      <c r="A136" s="125">
        <v>131</v>
      </c>
      <c r="B136" s="412" t="s">
        <v>1023</v>
      </c>
      <c r="C136" s="412" t="s">
        <v>1048</v>
      </c>
      <c r="D136" s="17">
        <v>44602</v>
      </c>
      <c r="E136" s="127" t="s">
        <v>267</v>
      </c>
      <c r="F136" s="413" t="s">
        <v>243</v>
      </c>
      <c r="G136" s="414" t="s">
        <v>243</v>
      </c>
      <c r="H136" s="415" t="s">
        <v>243</v>
      </c>
      <c r="I136" s="416" t="s">
        <v>243</v>
      </c>
      <c r="J136" s="416" t="s">
        <v>243</v>
      </c>
      <c r="K136" s="417">
        <v>7639</v>
      </c>
      <c r="L136" s="418" t="s">
        <v>243</v>
      </c>
      <c r="M136" s="21">
        <v>0.45833333333333331</v>
      </c>
      <c r="N136" s="415">
        <v>707</v>
      </c>
      <c r="O136" s="415">
        <v>365</v>
      </c>
      <c r="P136" s="415">
        <v>342</v>
      </c>
      <c r="Q136" s="458">
        <v>9.2551381070820782E-2</v>
      </c>
      <c r="R136" s="459">
        <v>0.51626591230551622</v>
      </c>
      <c r="S136" s="460">
        <v>0.625</v>
      </c>
      <c r="T136" s="415">
        <v>801</v>
      </c>
      <c r="U136" s="415">
        <v>368</v>
      </c>
      <c r="V136" s="415">
        <v>433</v>
      </c>
      <c r="W136" s="458">
        <v>0.104856656630449</v>
      </c>
      <c r="X136" s="459">
        <v>0.54057428214731584</v>
      </c>
    </row>
    <row r="137" spans="1:24" s="162" customFormat="1" ht="18.95" customHeight="1">
      <c r="A137" s="125">
        <v>132</v>
      </c>
      <c r="B137" s="412" t="s">
        <v>669</v>
      </c>
      <c r="C137" s="412" t="s">
        <v>1049</v>
      </c>
      <c r="D137" s="17">
        <v>44595</v>
      </c>
      <c r="E137" s="127" t="s">
        <v>267</v>
      </c>
      <c r="F137" s="413">
        <v>10385</v>
      </c>
      <c r="G137" s="414">
        <v>12054</v>
      </c>
      <c r="H137" s="415">
        <v>13007</v>
      </c>
      <c r="I137" s="416">
        <v>13318</v>
      </c>
      <c r="J137" s="416" t="s">
        <v>243</v>
      </c>
      <c r="K137" s="417">
        <v>16973</v>
      </c>
      <c r="L137" s="418">
        <v>0.27444060669770237</v>
      </c>
      <c r="M137" s="21">
        <v>0.45833333333333331</v>
      </c>
      <c r="N137" s="415">
        <v>1556</v>
      </c>
      <c r="O137" s="415">
        <v>841</v>
      </c>
      <c r="P137" s="415">
        <v>715</v>
      </c>
      <c r="Q137" s="458">
        <v>9.1675013256348317E-2</v>
      </c>
      <c r="R137" s="459">
        <v>0.54048843187660667</v>
      </c>
      <c r="S137" s="460">
        <v>0.52083333333333337</v>
      </c>
      <c r="T137" s="415">
        <v>1605</v>
      </c>
      <c r="U137" s="415">
        <v>780</v>
      </c>
      <c r="V137" s="415">
        <v>825</v>
      </c>
      <c r="W137" s="458">
        <v>9.4561951334472399E-2</v>
      </c>
      <c r="X137" s="459">
        <v>0.51401869158878499</v>
      </c>
    </row>
    <row r="138" spans="1:24" s="162" customFormat="1" ht="18.95" customHeight="1">
      <c r="A138" s="125">
        <v>133</v>
      </c>
      <c r="B138" s="412" t="s">
        <v>669</v>
      </c>
      <c r="C138" s="412" t="s">
        <v>1050</v>
      </c>
      <c r="D138" s="17">
        <v>44595</v>
      </c>
      <c r="E138" s="127" t="s">
        <v>267</v>
      </c>
      <c r="F138" s="413">
        <v>16983</v>
      </c>
      <c r="G138" s="414">
        <v>16677</v>
      </c>
      <c r="H138" s="415">
        <v>16307</v>
      </c>
      <c r="I138" s="416">
        <v>16420</v>
      </c>
      <c r="J138" s="416" t="s">
        <v>243</v>
      </c>
      <c r="K138" s="417">
        <v>17949</v>
      </c>
      <c r="L138" s="418">
        <v>9.3118148599269188E-2</v>
      </c>
      <c r="M138" s="21">
        <v>0.45833333333333331</v>
      </c>
      <c r="N138" s="415">
        <v>1668</v>
      </c>
      <c r="O138" s="415">
        <v>895</v>
      </c>
      <c r="P138" s="415">
        <v>773</v>
      </c>
      <c r="Q138" s="458">
        <v>9.292996824335617E-2</v>
      </c>
      <c r="R138" s="459">
        <v>0.53657074340527577</v>
      </c>
      <c r="S138" s="460">
        <v>0.5</v>
      </c>
      <c r="T138" s="415">
        <v>1713</v>
      </c>
      <c r="U138" s="415">
        <v>825</v>
      </c>
      <c r="V138" s="415">
        <v>888</v>
      </c>
      <c r="W138" s="458">
        <v>9.5437071703158946E-2</v>
      </c>
      <c r="X138" s="459">
        <v>0.51838879159369522</v>
      </c>
    </row>
    <row r="139" spans="1:24" s="162" customFormat="1" ht="18.95" customHeight="1">
      <c r="A139" s="125">
        <v>134</v>
      </c>
      <c r="B139" s="412" t="s">
        <v>441</v>
      </c>
      <c r="C139" s="412" t="s">
        <v>1051</v>
      </c>
      <c r="D139" s="17">
        <v>44574</v>
      </c>
      <c r="E139" s="127" t="s">
        <v>267</v>
      </c>
      <c r="F139" s="413">
        <v>20955</v>
      </c>
      <c r="G139" s="414">
        <v>20786</v>
      </c>
      <c r="H139" s="415">
        <v>21462</v>
      </c>
      <c r="I139" s="416">
        <v>20939</v>
      </c>
      <c r="J139" s="416" t="s">
        <v>243</v>
      </c>
      <c r="K139" s="417">
        <v>19234</v>
      </c>
      <c r="L139" s="418">
        <v>-8.1427002244615312E-2</v>
      </c>
      <c r="M139" s="21">
        <v>0.45833333333333331</v>
      </c>
      <c r="N139" s="415">
        <v>1830</v>
      </c>
      <c r="O139" s="415">
        <v>906</v>
      </c>
      <c r="P139" s="415">
        <v>924</v>
      </c>
      <c r="Q139" s="458">
        <v>9.5144015805344706E-2</v>
      </c>
      <c r="R139" s="459">
        <v>0.5049180327868853</v>
      </c>
      <c r="S139" s="460">
        <v>0.5</v>
      </c>
      <c r="T139" s="415">
        <v>1745</v>
      </c>
      <c r="U139" s="415">
        <v>855</v>
      </c>
      <c r="V139" s="415">
        <v>890</v>
      </c>
      <c r="W139" s="458">
        <v>9.0724758240615572E-2</v>
      </c>
      <c r="X139" s="459">
        <v>0.51002865329512892</v>
      </c>
    </row>
    <row r="140" spans="1:24" s="162" customFormat="1" ht="18.95" customHeight="1">
      <c r="A140" s="125">
        <v>135</v>
      </c>
      <c r="B140" s="412" t="s">
        <v>441</v>
      </c>
      <c r="C140" s="412" t="s">
        <v>1052</v>
      </c>
      <c r="D140" s="17">
        <v>44574</v>
      </c>
      <c r="E140" s="127" t="s">
        <v>267</v>
      </c>
      <c r="F140" s="413">
        <v>19664</v>
      </c>
      <c r="G140" s="414">
        <v>19148</v>
      </c>
      <c r="H140" s="415">
        <v>19270</v>
      </c>
      <c r="I140" s="416">
        <v>20490</v>
      </c>
      <c r="J140" s="416" t="s">
        <v>243</v>
      </c>
      <c r="K140" s="417">
        <v>17841</v>
      </c>
      <c r="L140" s="418">
        <v>-0.12928257686676428</v>
      </c>
      <c r="M140" s="21">
        <v>0.45833333333333331</v>
      </c>
      <c r="N140" s="415">
        <v>1690</v>
      </c>
      <c r="O140" s="415">
        <v>811</v>
      </c>
      <c r="P140" s="415">
        <v>879</v>
      </c>
      <c r="Q140" s="458">
        <v>9.4725631971302057E-2</v>
      </c>
      <c r="R140" s="459">
        <v>0.52011834319526629</v>
      </c>
      <c r="S140" s="460">
        <v>0.59375</v>
      </c>
      <c r="T140" s="415">
        <v>1575</v>
      </c>
      <c r="U140" s="415">
        <v>765</v>
      </c>
      <c r="V140" s="415">
        <v>810</v>
      </c>
      <c r="W140" s="458">
        <v>8.8279804943669077E-2</v>
      </c>
      <c r="X140" s="459">
        <v>0.51428571428571423</v>
      </c>
    </row>
    <row r="141" spans="1:24" s="162" customFormat="1" ht="18.95" customHeight="1">
      <c r="A141" s="125">
        <v>136</v>
      </c>
      <c r="B141" s="412" t="s">
        <v>441</v>
      </c>
      <c r="C141" s="412" t="s">
        <v>373</v>
      </c>
      <c r="D141" s="17">
        <v>44574</v>
      </c>
      <c r="E141" s="127" t="s">
        <v>267</v>
      </c>
      <c r="F141" s="413">
        <v>15816</v>
      </c>
      <c r="G141" s="414">
        <v>15327</v>
      </c>
      <c r="H141" s="415">
        <v>15599</v>
      </c>
      <c r="I141" s="416">
        <v>15979</v>
      </c>
      <c r="J141" s="416" t="s">
        <v>243</v>
      </c>
      <c r="K141" s="417">
        <v>14555</v>
      </c>
      <c r="L141" s="418">
        <v>-8.9116966017898494E-2</v>
      </c>
      <c r="M141" s="21">
        <v>0.45833333333333331</v>
      </c>
      <c r="N141" s="415">
        <v>1396</v>
      </c>
      <c r="O141" s="415">
        <v>678</v>
      </c>
      <c r="P141" s="415">
        <v>718</v>
      </c>
      <c r="Q141" s="458">
        <v>9.5912057712126422E-2</v>
      </c>
      <c r="R141" s="459">
        <v>0.51432664756446989</v>
      </c>
      <c r="S141" s="460">
        <v>0.5</v>
      </c>
      <c r="T141" s="415">
        <v>1372</v>
      </c>
      <c r="U141" s="415">
        <v>706</v>
      </c>
      <c r="V141" s="415">
        <v>666</v>
      </c>
      <c r="W141" s="458">
        <v>9.426313981449673E-2</v>
      </c>
      <c r="X141" s="459">
        <v>0.51457725947521871</v>
      </c>
    </row>
    <row r="142" spans="1:24" s="162" customFormat="1" ht="18.95" customHeight="1">
      <c r="A142" s="125">
        <v>137</v>
      </c>
      <c r="B142" s="412" t="s">
        <v>1053</v>
      </c>
      <c r="C142" s="412" t="s">
        <v>1054</v>
      </c>
      <c r="D142" s="17">
        <v>44574</v>
      </c>
      <c r="E142" s="127" t="s">
        <v>267</v>
      </c>
      <c r="F142" s="413">
        <v>19506</v>
      </c>
      <c r="G142" s="414">
        <v>20625</v>
      </c>
      <c r="H142" s="415">
        <v>19961</v>
      </c>
      <c r="I142" s="416">
        <v>20394</v>
      </c>
      <c r="J142" s="416" t="s">
        <v>243</v>
      </c>
      <c r="K142" s="417">
        <v>16966</v>
      </c>
      <c r="L142" s="418">
        <v>-0.16808865352554672</v>
      </c>
      <c r="M142" s="21">
        <v>0.45833333333333331</v>
      </c>
      <c r="N142" s="415">
        <v>1574</v>
      </c>
      <c r="O142" s="415">
        <v>846</v>
      </c>
      <c r="P142" s="415">
        <v>728</v>
      </c>
      <c r="Q142" s="458">
        <v>9.2773782859837325E-2</v>
      </c>
      <c r="R142" s="459">
        <v>0.53748411689961884</v>
      </c>
      <c r="S142" s="460">
        <v>0.51041666666666663</v>
      </c>
      <c r="T142" s="415">
        <v>1609</v>
      </c>
      <c r="U142" s="415">
        <v>782</v>
      </c>
      <c r="V142" s="415">
        <v>827</v>
      </c>
      <c r="W142" s="458">
        <v>9.483673228810563E-2</v>
      </c>
      <c r="X142" s="459">
        <v>0.51398384089496585</v>
      </c>
    </row>
    <row r="143" spans="1:24" s="162" customFormat="1" ht="18.95" customHeight="1" outlineLevel="1">
      <c r="A143" s="125">
        <v>138</v>
      </c>
      <c r="B143" s="412" t="s">
        <v>1053</v>
      </c>
      <c r="C143" s="412" t="s">
        <v>361</v>
      </c>
      <c r="D143" s="17">
        <v>44574</v>
      </c>
      <c r="E143" s="127" t="s">
        <v>267</v>
      </c>
      <c r="F143" s="413">
        <v>12551</v>
      </c>
      <c r="G143" s="414">
        <v>11369</v>
      </c>
      <c r="H143" s="415">
        <v>11368</v>
      </c>
      <c r="I143" s="416">
        <v>11474</v>
      </c>
      <c r="J143" s="416" t="s">
        <v>243</v>
      </c>
      <c r="K143" s="417">
        <v>10260</v>
      </c>
      <c r="L143" s="418">
        <v>-0.1058044274010807</v>
      </c>
      <c r="M143" s="21">
        <v>0.40625</v>
      </c>
      <c r="N143" s="415">
        <v>955</v>
      </c>
      <c r="O143" s="415">
        <v>545</v>
      </c>
      <c r="P143" s="415">
        <v>410</v>
      </c>
      <c r="Q143" s="458">
        <v>9.3079922027290443E-2</v>
      </c>
      <c r="R143" s="459">
        <v>0.5706806282722513</v>
      </c>
      <c r="S143" s="460">
        <v>0.58333333333333337</v>
      </c>
      <c r="T143" s="415">
        <v>974</v>
      </c>
      <c r="U143" s="415">
        <v>472</v>
      </c>
      <c r="V143" s="415">
        <v>502</v>
      </c>
      <c r="W143" s="458">
        <v>9.4931773879142298E-2</v>
      </c>
      <c r="X143" s="459">
        <v>0.5154004106776181</v>
      </c>
    </row>
    <row r="144" spans="1:24" s="162" customFormat="1" ht="18.95" customHeight="1">
      <c r="A144" s="125">
        <v>139</v>
      </c>
      <c r="B144" s="412" t="s">
        <v>1055</v>
      </c>
      <c r="C144" s="412" t="s">
        <v>1056</v>
      </c>
      <c r="D144" s="17">
        <v>44581</v>
      </c>
      <c r="E144" s="127" t="s">
        <v>267</v>
      </c>
      <c r="F144" s="413">
        <v>3704</v>
      </c>
      <c r="G144" s="414">
        <v>5129</v>
      </c>
      <c r="H144" s="415">
        <v>4909</v>
      </c>
      <c r="I144" s="416">
        <v>4783</v>
      </c>
      <c r="J144" s="416" t="s">
        <v>243</v>
      </c>
      <c r="K144" s="417">
        <v>4669</v>
      </c>
      <c r="L144" s="418">
        <v>-2.3834413547982439E-2</v>
      </c>
      <c r="M144" s="21">
        <v>0.45833333333333331</v>
      </c>
      <c r="N144" s="415">
        <v>474</v>
      </c>
      <c r="O144" s="415">
        <v>234</v>
      </c>
      <c r="P144" s="415">
        <v>240</v>
      </c>
      <c r="Q144" s="458">
        <v>0.10152066823730992</v>
      </c>
      <c r="R144" s="459">
        <v>0.50632911392405067</v>
      </c>
      <c r="S144" s="460">
        <v>0.5</v>
      </c>
      <c r="T144" s="415">
        <v>533</v>
      </c>
      <c r="U144" s="415">
        <v>265</v>
      </c>
      <c r="V144" s="415">
        <v>268</v>
      </c>
      <c r="W144" s="458">
        <v>0.11415720711073035</v>
      </c>
      <c r="X144" s="459">
        <v>0.50281425891181986</v>
      </c>
    </row>
    <row r="145" spans="1:24" s="162" customFormat="1" ht="18.95" customHeight="1">
      <c r="A145" s="125">
        <v>140</v>
      </c>
      <c r="B145" s="412" t="s">
        <v>1055</v>
      </c>
      <c r="C145" s="412" t="s">
        <v>1057</v>
      </c>
      <c r="D145" s="17">
        <v>44581</v>
      </c>
      <c r="E145" s="127" t="s">
        <v>267</v>
      </c>
      <c r="F145" s="413">
        <v>5997</v>
      </c>
      <c r="G145" s="414">
        <v>5561</v>
      </c>
      <c r="H145" s="415">
        <v>4993</v>
      </c>
      <c r="I145" s="416">
        <v>4933</v>
      </c>
      <c r="J145" s="416" t="s">
        <v>243</v>
      </c>
      <c r="K145" s="417">
        <v>5173</v>
      </c>
      <c r="L145" s="418">
        <v>4.865193594161768E-2</v>
      </c>
      <c r="M145" s="21">
        <v>0.45833333333333331</v>
      </c>
      <c r="N145" s="415">
        <v>510</v>
      </c>
      <c r="O145" s="415">
        <v>287</v>
      </c>
      <c r="P145" s="415">
        <v>223</v>
      </c>
      <c r="Q145" s="458">
        <v>9.8588826599652041E-2</v>
      </c>
      <c r="R145" s="459">
        <v>0.56274509803921569</v>
      </c>
      <c r="S145" s="460">
        <v>0.51041666666666663</v>
      </c>
      <c r="T145" s="415">
        <v>549</v>
      </c>
      <c r="U145" s="415">
        <v>293</v>
      </c>
      <c r="V145" s="415">
        <v>256</v>
      </c>
      <c r="W145" s="458">
        <v>0.10612797216315484</v>
      </c>
      <c r="X145" s="459">
        <v>0.5336976320582878</v>
      </c>
    </row>
    <row r="146" spans="1:24" s="162" customFormat="1" ht="18.95" customHeight="1">
      <c r="A146" s="125">
        <v>141</v>
      </c>
      <c r="B146" s="412" t="s">
        <v>1055</v>
      </c>
      <c r="C146" s="412" t="s">
        <v>1058</v>
      </c>
      <c r="D146" s="17">
        <v>44581</v>
      </c>
      <c r="E146" s="127" t="s">
        <v>267</v>
      </c>
      <c r="F146" s="413">
        <v>6773</v>
      </c>
      <c r="G146" s="414">
        <v>6483</v>
      </c>
      <c r="H146" s="415">
        <v>5866</v>
      </c>
      <c r="I146" s="416">
        <v>5642</v>
      </c>
      <c r="J146" s="416" t="s">
        <v>243</v>
      </c>
      <c r="K146" s="417">
        <v>6191</v>
      </c>
      <c r="L146" s="418">
        <v>9.7305919886565048E-2</v>
      </c>
      <c r="M146" s="21">
        <v>0.45833333333333331</v>
      </c>
      <c r="N146" s="415">
        <v>604</v>
      </c>
      <c r="O146" s="415">
        <v>252</v>
      </c>
      <c r="P146" s="415">
        <v>352</v>
      </c>
      <c r="Q146" s="458">
        <v>9.7560975609756101E-2</v>
      </c>
      <c r="R146" s="459">
        <v>0.58278145695364236</v>
      </c>
      <c r="S146" s="460">
        <v>0.5</v>
      </c>
      <c r="T146" s="415">
        <v>630</v>
      </c>
      <c r="U146" s="415">
        <v>278</v>
      </c>
      <c r="V146" s="415">
        <v>352</v>
      </c>
      <c r="W146" s="458">
        <v>0.10176062025520917</v>
      </c>
      <c r="X146" s="459">
        <v>0.55873015873015874</v>
      </c>
    </row>
    <row r="147" spans="1:24" s="162" customFormat="1" ht="18.95" customHeight="1">
      <c r="A147" s="125">
        <v>142</v>
      </c>
      <c r="B147" s="412" t="s">
        <v>1055</v>
      </c>
      <c r="C147" s="412" t="s">
        <v>1059</v>
      </c>
      <c r="D147" s="17">
        <v>44595</v>
      </c>
      <c r="E147" s="127" t="s">
        <v>267</v>
      </c>
      <c r="F147" s="413">
        <v>4669</v>
      </c>
      <c r="G147" s="414">
        <v>7099</v>
      </c>
      <c r="H147" s="415">
        <v>6664</v>
      </c>
      <c r="I147" s="416">
        <v>7113</v>
      </c>
      <c r="J147" s="416" t="s">
        <v>243</v>
      </c>
      <c r="K147" s="417">
        <v>7857</v>
      </c>
      <c r="L147" s="418">
        <v>0.10459721636440321</v>
      </c>
      <c r="M147" s="21">
        <v>0.45833333333333331</v>
      </c>
      <c r="N147" s="415">
        <v>855</v>
      </c>
      <c r="O147" s="415">
        <v>450</v>
      </c>
      <c r="P147" s="415">
        <v>405</v>
      </c>
      <c r="Q147" s="458">
        <v>0.10882016036655212</v>
      </c>
      <c r="R147" s="459">
        <v>0.52631578947368418</v>
      </c>
      <c r="S147" s="460">
        <v>0.5</v>
      </c>
      <c r="T147" s="415">
        <v>805</v>
      </c>
      <c r="U147" s="415">
        <v>441</v>
      </c>
      <c r="V147" s="415">
        <v>364</v>
      </c>
      <c r="W147" s="458">
        <v>0.10245640829833269</v>
      </c>
      <c r="X147" s="459">
        <v>0.54782608695652169</v>
      </c>
    </row>
    <row r="148" spans="1:24" s="162" customFormat="1" ht="18.95" customHeight="1">
      <c r="A148" s="125">
        <v>143</v>
      </c>
      <c r="B148" s="412" t="s">
        <v>1055</v>
      </c>
      <c r="C148" s="412" t="s">
        <v>1060</v>
      </c>
      <c r="D148" s="17">
        <v>44595</v>
      </c>
      <c r="E148" s="127" t="s">
        <v>267</v>
      </c>
      <c r="F148" s="413">
        <v>7302</v>
      </c>
      <c r="G148" s="414">
        <v>6687</v>
      </c>
      <c r="H148" s="415">
        <v>6734</v>
      </c>
      <c r="I148" s="416">
        <v>6059</v>
      </c>
      <c r="J148" s="416" t="s">
        <v>243</v>
      </c>
      <c r="K148" s="417">
        <v>7015</v>
      </c>
      <c r="L148" s="418">
        <v>0.15778181218022777</v>
      </c>
      <c r="M148" s="21">
        <v>0.45833333333333331</v>
      </c>
      <c r="N148" s="415">
        <v>706</v>
      </c>
      <c r="O148" s="415">
        <v>366</v>
      </c>
      <c r="P148" s="415">
        <v>340</v>
      </c>
      <c r="Q148" s="458">
        <v>0.10064148253741982</v>
      </c>
      <c r="R148" s="459">
        <v>0.5184135977337111</v>
      </c>
      <c r="S148" s="460">
        <v>0.5</v>
      </c>
      <c r="T148" s="415">
        <v>745</v>
      </c>
      <c r="U148" s="415">
        <v>379</v>
      </c>
      <c r="V148" s="415">
        <v>366</v>
      </c>
      <c r="W148" s="458">
        <v>0.10620099786172488</v>
      </c>
      <c r="X148" s="459">
        <v>0.50872483221476505</v>
      </c>
    </row>
    <row r="149" spans="1:24" s="162" customFormat="1" ht="18.95" customHeight="1">
      <c r="A149" s="125">
        <v>144</v>
      </c>
      <c r="B149" s="412" t="s">
        <v>1055</v>
      </c>
      <c r="C149" s="412" t="s">
        <v>1061</v>
      </c>
      <c r="D149" s="17">
        <v>44595</v>
      </c>
      <c r="E149" s="127" t="s">
        <v>267</v>
      </c>
      <c r="F149" s="413">
        <v>7538</v>
      </c>
      <c r="G149" s="414">
        <v>6369</v>
      </c>
      <c r="H149" s="415">
        <v>5630</v>
      </c>
      <c r="I149" s="416">
        <v>5635</v>
      </c>
      <c r="J149" s="416" t="s">
        <v>243</v>
      </c>
      <c r="K149" s="417">
        <v>6792</v>
      </c>
      <c r="L149" s="418">
        <v>0.20532386867790595</v>
      </c>
      <c r="M149" s="21">
        <v>0.45833333333333331</v>
      </c>
      <c r="N149" s="415">
        <v>708</v>
      </c>
      <c r="O149" s="415">
        <v>357</v>
      </c>
      <c r="P149" s="415">
        <v>351</v>
      </c>
      <c r="Q149" s="458">
        <v>0.10424028268551237</v>
      </c>
      <c r="R149" s="459">
        <v>0.50423728813559321</v>
      </c>
      <c r="S149" s="460">
        <v>0.51041666666666663</v>
      </c>
      <c r="T149" s="415">
        <v>712</v>
      </c>
      <c r="U149" s="415">
        <v>346</v>
      </c>
      <c r="V149" s="415">
        <v>366</v>
      </c>
      <c r="W149" s="458">
        <v>0.10482921083627797</v>
      </c>
      <c r="X149" s="459">
        <v>0.5140449438202247</v>
      </c>
    </row>
    <row r="150" spans="1:24" s="162" customFormat="1" ht="18.95" customHeight="1">
      <c r="A150" s="125">
        <v>145</v>
      </c>
      <c r="B150" s="412" t="s">
        <v>1055</v>
      </c>
      <c r="C150" s="412" t="s">
        <v>1062</v>
      </c>
      <c r="D150" s="17">
        <v>44595</v>
      </c>
      <c r="E150" s="127" t="s">
        <v>267</v>
      </c>
      <c r="F150" s="413">
        <v>6210</v>
      </c>
      <c r="G150" s="414">
        <v>6297</v>
      </c>
      <c r="H150" s="415">
        <v>6186</v>
      </c>
      <c r="I150" s="416">
        <v>6591</v>
      </c>
      <c r="J150" s="416" t="s">
        <v>243</v>
      </c>
      <c r="K150" s="417">
        <v>6500</v>
      </c>
      <c r="L150" s="418">
        <v>-1.3806706114398421E-2</v>
      </c>
      <c r="M150" s="21">
        <v>0.45833333333333331</v>
      </c>
      <c r="N150" s="415">
        <v>658</v>
      </c>
      <c r="O150" s="415">
        <v>317</v>
      </c>
      <c r="P150" s="415">
        <v>341</v>
      </c>
      <c r="Q150" s="458">
        <v>0.10123076923076924</v>
      </c>
      <c r="R150" s="459">
        <v>0.51823708206686925</v>
      </c>
      <c r="S150" s="460">
        <v>0.5</v>
      </c>
      <c r="T150" s="415">
        <v>692</v>
      </c>
      <c r="U150" s="415">
        <v>296</v>
      </c>
      <c r="V150" s="415">
        <v>396</v>
      </c>
      <c r="W150" s="458">
        <v>0.10646153846153845</v>
      </c>
      <c r="X150" s="459">
        <v>0.5722543352601156</v>
      </c>
    </row>
    <row r="151" spans="1:24" s="162" customFormat="1" ht="18.95" customHeight="1">
      <c r="A151" s="125">
        <v>146</v>
      </c>
      <c r="B151" s="412" t="s">
        <v>1055</v>
      </c>
      <c r="C151" s="412" t="s">
        <v>1063</v>
      </c>
      <c r="D151" s="17">
        <v>44595</v>
      </c>
      <c r="E151" s="127" t="s">
        <v>267</v>
      </c>
      <c r="F151" s="413">
        <v>8624</v>
      </c>
      <c r="G151" s="414">
        <v>9556</v>
      </c>
      <c r="H151" s="415">
        <v>9051</v>
      </c>
      <c r="I151" s="416">
        <v>9785</v>
      </c>
      <c r="J151" s="416" t="s">
        <v>243</v>
      </c>
      <c r="K151" s="417">
        <v>11040</v>
      </c>
      <c r="L151" s="418">
        <v>0.12825753704649975</v>
      </c>
      <c r="M151" s="21">
        <v>0.4375</v>
      </c>
      <c r="N151" s="415">
        <v>1145</v>
      </c>
      <c r="O151" s="415">
        <v>598</v>
      </c>
      <c r="P151" s="415">
        <v>547</v>
      </c>
      <c r="Q151" s="458">
        <v>0.10371376811594203</v>
      </c>
      <c r="R151" s="459">
        <v>0.52227074235807858</v>
      </c>
      <c r="S151" s="460">
        <v>0.5</v>
      </c>
      <c r="T151" s="415">
        <v>1152</v>
      </c>
      <c r="U151" s="415">
        <v>574</v>
      </c>
      <c r="V151" s="415">
        <v>578</v>
      </c>
      <c r="W151" s="458">
        <v>0.10434782608695652</v>
      </c>
      <c r="X151" s="459">
        <v>0.50173611111111116</v>
      </c>
    </row>
    <row r="152" spans="1:24" s="162" customFormat="1" ht="18.95" customHeight="1">
      <c r="A152" s="125">
        <v>147</v>
      </c>
      <c r="B152" s="412" t="s">
        <v>673</v>
      </c>
      <c r="C152" s="412" t="s">
        <v>1064</v>
      </c>
      <c r="D152" s="17">
        <v>44574</v>
      </c>
      <c r="E152" s="127" t="s">
        <v>267</v>
      </c>
      <c r="F152" s="413">
        <v>4470</v>
      </c>
      <c r="G152" s="414">
        <v>4242</v>
      </c>
      <c r="H152" s="415">
        <v>4319</v>
      </c>
      <c r="I152" s="416">
        <v>4447</v>
      </c>
      <c r="J152" s="416" t="s">
        <v>243</v>
      </c>
      <c r="K152" s="417">
        <v>3876</v>
      </c>
      <c r="L152" s="418">
        <v>-0.12840116932763662</v>
      </c>
      <c r="M152" s="21">
        <v>0.45833333333333331</v>
      </c>
      <c r="N152" s="415">
        <v>381</v>
      </c>
      <c r="O152" s="415">
        <v>182</v>
      </c>
      <c r="P152" s="415">
        <v>199</v>
      </c>
      <c r="Q152" s="458">
        <v>9.8297213622291019E-2</v>
      </c>
      <c r="R152" s="459">
        <v>0.52230971128608927</v>
      </c>
      <c r="S152" s="460">
        <v>0.60416666666666663</v>
      </c>
      <c r="T152" s="415">
        <v>453</v>
      </c>
      <c r="U152" s="415">
        <v>258</v>
      </c>
      <c r="V152" s="415">
        <v>195</v>
      </c>
      <c r="W152" s="458">
        <v>0.11687306501547988</v>
      </c>
      <c r="X152" s="459">
        <v>0.56953642384105962</v>
      </c>
    </row>
    <row r="153" spans="1:24" s="162" customFormat="1" ht="18.95" customHeight="1">
      <c r="A153" s="125">
        <v>148</v>
      </c>
      <c r="B153" s="412" t="s">
        <v>1065</v>
      </c>
      <c r="C153" s="412" t="s">
        <v>511</v>
      </c>
      <c r="D153" s="17">
        <v>44581</v>
      </c>
      <c r="E153" s="127" t="s">
        <v>267</v>
      </c>
      <c r="F153" s="413">
        <v>4944</v>
      </c>
      <c r="G153" s="414">
        <v>4539</v>
      </c>
      <c r="H153" s="415">
        <v>4230</v>
      </c>
      <c r="I153" s="416">
        <v>3790</v>
      </c>
      <c r="J153" s="416" t="s">
        <v>243</v>
      </c>
      <c r="K153" s="417">
        <v>4706</v>
      </c>
      <c r="L153" s="418">
        <v>0.24168865435356202</v>
      </c>
      <c r="M153" s="21">
        <v>0.45833333333333331</v>
      </c>
      <c r="N153" s="415">
        <v>399</v>
      </c>
      <c r="O153" s="415">
        <v>205</v>
      </c>
      <c r="P153" s="415">
        <v>194</v>
      </c>
      <c r="Q153" s="458">
        <v>8.4785380365490867E-2</v>
      </c>
      <c r="R153" s="459">
        <v>0.51378446115288223</v>
      </c>
      <c r="S153" s="460">
        <v>0.52083333333333337</v>
      </c>
      <c r="T153" s="415">
        <v>492</v>
      </c>
      <c r="U153" s="415">
        <v>240</v>
      </c>
      <c r="V153" s="415">
        <v>252</v>
      </c>
      <c r="W153" s="458">
        <v>0.10454738631534212</v>
      </c>
      <c r="X153" s="459">
        <v>0.51219512195121952</v>
      </c>
    </row>
    <row r="154" spans="1:24" s="162" customFormat="1" ht="18.95" customHeight="1">
      <c r="A154" s="125">
        <v>149</v>
      </c>
      <c r="B154" s="412" t="s">
        <v>670</v>
      </c>
      <c r="C154" s="412" t="s">
        <v>1046</v>
      </c>
      <c r="D154" s="17">
        <v>44595</v>
      </c>
      <c r="E154" s="127" t="s">
        <v>267</v>
      </c>
      <c r="F154" s="413">
        <v>7873</v>
      </c>
      <c r="G154" s="414">
        <v>8099</v>
      </c>
      <c r="H154" s="415">
        <v>8272</v>
      </c>
      <c r="I154" s="416">
        <v>8187</v>
      </c>
      <c r="J154" s="416" t="s">
        <v>243</v>
      </c>
      <c r="K154" s="417">
        <v>9148</v>
      </c>
      <c r="L154" s="418">
        <v>0.11738121411994626</v>
      </c>
      <c r="M154" s="21">
        <v>0.45833333333333331</v>
      </c>
      <c r="N154" s="415">
        <v>888</v>
      </c>
      <c r="O154" s="415">
        <v>443</v>
      </c>
      <c r="P154" s="415">
        <v>445</v>
      </c>
      <c r="Q154" s="458">
        <v>9.7070397901180591E-2</v>
      </c>
      <c r="R154" s="459">
        <v>0.50112612612612617</v>
      </c>
      <c r="S154" s="460">
        <v>0.5</v>
      </c>
      <c r="T154" s="415">
        <v>926</v>
      </c>
      <c r="U154" s="415">
        <v>432</v>
      </c>
      <c r="V154" s="415">
        <v>494</v>
      </c>
      <c r="W154" s="458">
        <v>0.10122431132487976</v>
      </c>
      <c r="X154" s="459">
        <v>0.53347732181425489</v>
      </c>
    </row>
    <row r="155" spans="1:24" s="162" customFormat="1" ht="18.95" customHeight="1">
      <c r="A155" s="125">
        <v>150</v>
      </c>
      <c r="B155" s="412" t="s">
        <v>670</v>
      </c>
      <c r="C155" s="412" t="s">
        <v>1066</v>
      </c>
      <c r="D155" s="17">
        <v>44595</v>
      </c>
      <c r="E155" s="127" t="s">
        <v>267</v>
      </c>
      <c r="F155" s="413" t="s">
        <v>243</v>
      </c>
      <c r="G155" s="414" t="s">
        <v>243</v>
      </c>
      <c r="H155" s="415" t="s">
        <v>243</v>
      </c>
      <c r="I155" s="416" t="s">
        <v>243</v>
      </c>
      <c r="J155" s="416" t="s">
        <v>243</v>
      </c>
      <c r="K155" s="417">
        <v>12534</v>
      </c>
      <c r="L155" s="418" t="s">
        <v>243</v>
      </c>
      <c r="M155" s="21">
        <v>0.45833333333333331</v>
      </c>
      <c r="N155" s="415">
        <v>1186</v>
      </c>
      <c r="O155" s="415">
        <v>590</v>
      </c>
      <c r="P155" s="415">
        <v>596</v>
      </c>
      <c r="Q155" s="458">
        <v>9.4622626456039569E-2</v>
      </c>
      <c r="R155" s="459">
        <v>0.50252951096121412</v>
      </c>
      <c r="S155" s="460">
        <v>0.5</v>
      </c>
      <c r="T155" s="415">
        <v>1203</v>
      </c>
      <c r="U155" s="415">
        <v>609</v>
      </c>
      <c r="V155" s="415">
        <v>594</v>
      </c>
      <c r="W155" s="458">
        <v>9.5978937290569652E-2</v>
      </c>
      <c r="X155" s="459">
        <v>0.50623441396508728</v>
      </c>
    </row>
    <row r="156" spans="1:24" s="162" customFormat="1" ht="18.95" customHeight="1">
      <c r="A156" s="125">
        <v>151</v>
      </c>
      <c r="B156" s="412" t="s">
        <v>362</v>
      </c>
      <c r="C156" s="412" t="s">
        <v>1067</v>
      </c>
      <c r="D156" s="17">
        <v>44574</v>
      </c>
      <c r="E156" s="127" t="s">
        <v>267</v>
      </c>
      <c r="F156" s="413">
        <v>9218</v>
      </c>
      <c r="G156" s="414">
        <v>8501</v>
      </c>
      <c r="H156" s="415">
        <v>8473</v>
      </c>
      <c r="I156" s="416">
        <v>7932</v>
      </c>
      <c r="J156" s="416" t="s">
        <v>243</v>
      </c>
      <c r="K156" s="417">
        <v>7804</v>
      </c>
      <c r="L156" s="418">
        <v>-1.6137165910237016E-2</v>
      </c>
      <c r="M156" s="21">
        <v>0.45833333333333331</v>
      </c>
      <c r="N156" s="415">
        <v>775</v>
      </c>
      <c r="O156" s="415">
        <v>384</v>
      </c>
      <c r="P156" s="415">
        <v>391</v>
      </c>
      <c r="Q156" s="458">
        <v>9.9308047155304974E-2</v>
      </c>
      <c r="R156" s="459">
        <v>0.50451612903225806</v>
      </c>
      <c r="S156" s="460">
        <v>0.58333333333333337</v>
      </c>
      <c r="T156" s="415">
        <v>797</v>
      </c>
      <c r="U156" s="415">
        <v>379</v>
      </c>
      <c r="V156" s="415">
        <v>418</v>
      </c>
      <c r="W156" s="458">
        <v>0.10212711430035878</v>
      </c>
      <c r="X156" s="459">
        <v>0.52446675031367629</v>
      </c>
    </row>
    <row r="157" spans="1:24" s="162" customFormat="1" ht="18.95" customHeight="1">
      <c r="A157" s="125">
        <v>152</v>
      </c>
      <c r="B157" s="412" t="s">
        <v>438</v>
      </c>
      <c r="C157" s="412" t="s">
        <v>1014</v>
      </c>
      <c r="D157" s="17">
        <v>44595</v>
      </c>
      <c r="E157" s="127" t="s">
        <v>267</v>
      </c>
      <c r="F157" s="413">
        <v>13066</v>
      </c>
      <c r="G157" s="414">
        <v>12804</v>
      </c>
      <c r="H157" s="415">
        <v>12447</v>
      </c>
      <c r="I157" s="416">
        <v>12455</v>
      </c>
      <c r="J157" s="416" t="s">
        <v>243</v>
      </c>
      <c r="K157" s="417">
        <v>13948</v>
      </c>
      <c r="L157" s="418">
        <v>0.11987153753512646</v>
      </c>
      <c r="M157" s="21">
        <v>0.45833333333333331</v>
      </c>
      <c r="N157" s="415">
        <v>1268</v>
      </c>
      <c r="O157" s="415">
        <v>630</v>
      </c>
      <c r="P157" s="415">
        <v>638</v>
      </c>
      <c r="Q157" s="458">
        <v>9.0909090909090912E-2</v>
      </c>
      <c r="R157" s="459">
        <v>0.50315457413249209</v>
      </c>
      <c r="S157" s="460">
        <v>0.5</v>
      </c>
      <c r="T157" s="415">
        <v>1430</v>
      </c>
      <c r="U157" s="415">
        <v>724</v>
      </c>
      <c r="V157" s="415">
        <v>706</v>
      </c>
      <c r="W157" s="458">
        <v>0.10252365930599369</v>
      </c>
      <c r="X157" s="459">
        <v>0.50629370629370629</v>
      </c>
    </row>
    <row r="158" spans="1:24" s="162" customFormat="1" ht="18.95" customHeight="1">
      <c r="A158" s="125">
        <v>153</v>
      </c>
      <c r="B158" s="412" t="s">
        <v>438</v>
      </c>
      <c r="C158" s="412" t="s">
        <v>1068</v>
      </c>
      <c r="D158" s="17">
        <v>44595</v>
      </c>
      <c r="E158" s="127" t="s">
        <v>267</v>
      </c>
      <c r="F158" s="413">
        <v>4565</v>
      </c>
      <c r="G158" s="414">
        <v>4332</v>
      </c>
      <c r="H158" s="415">
        <v>4822</v>
      </c>
      <c r="I158" s="416">
        <v>6048</v>
      </c>
      <c r="J158" s="416" t="s">
        <v>243</v>
      </c>
      <c r="K158" s="417">
        <v>6714</v>
      </c>
      <c r="L158" s="418">
        <v>0.11011904761904762</v>
      </c>
      <c r="M158" s="21">
        <v>0.4375</v>
      </c>
      <c r="N158" s="415">
        <v>589</v>
      </c>
      <c r="O158" s="415">
        <v>261</v>
      </c>
      <c r="P158" s="415">
        <v>328</v>
      </c>
      <c r="Q158" s="458">
        <v>8.7727137324992557E-2</v>
      </c>
      <c r="R158" s="459">
        <v>0.55687606112054333</v>
      </c>
      <c r="S158" s="460">
        <v>0.5</v>
      </c>
      <c r="T158" s="415">
        <v>596</v>
      </c>
      <c r="U158" s="415">
        <v>258</v>
      </c>
      <c r="V158" s="415">
        <v>338</v>
      </c>
      <c r="W158" s="458">
        <v>8.8769734882335416E-2</v>
      </c>
      <c r="X158" s="459">
        <v>0.56711409395973156</v>
      </c>
    </row>
    <row r="159" spans="1:24" s="162" customFormat="1" ht="18.95" customHeight="1">
      <c r="A159" s="125">
        <v>154</v>
      </c>
      <c r="B159" s="412" t="s">
        <v>669</v>
      </c>
      <c r="C159" s="412" t="s">
        <v>1069</v>
      </c>
      <c r="D159" s="17">
        <v>44602</v>
      </c>
      <c r="E159" s="127" t="s">
        <v>267</v>
      </c>
      <c r="F159" s="413" t="s">
        <v>243</v>
      </c>
      <c r="G159" s="414">
        <v>8776</v>
      </c>
      <c r="H159" s="415">
        <v>9949</v>
      </c>
      <c r="I159" s="416">
        <v>13347</v>
      </c>
      <c r="J159" s="416" t="s">
        <v>243</v>
      </c>
      <c r="K159" s="417">
        <v>16624</v>
      </c>
      <c r="L159" s="418">
        <v>0.24552333857795761</v>
      </c>
      <c r="M159" s="21">
        <v>0.45833333333333331</v>
      </c>
      <c r="N159" s="415">
        <v>1468</v>
      </c>
      <c r="O159" s="415">
        <v>739</v>
      </c>
      <c r="P159" s="415">
        <v>729</v>
      </c>
      <c r="Q159" s="458">
        <v>8.8306063522617897E-2</v>
      </c>
      <c r="R159" s="459">
        <v>0.50340599455040869</v>
      </c>
      <c r="S159" s="460">
        <v>0.5</v>
      </c>
      <c r="T159" s="415">
        <v>1506</v>
      </c>
      <c r="U159" s="415">
        <v>734</v>
      </c>
      <c r="V159" s="415">
        <v>772</v>
      </c>
      <c r="W159" s="458">
        <v>9.0591915303176132E-2</v>
      </c>
      <c r="X159" s="459">
        <v>0.51261620185922974</v>
      </c>
    </row>
    <row r="160" spans="1:24" s="162" customFormat="1" ht="18.95" customHeight="1">
      <c r="A160" s="125">
        <v>155</v>
      </c>
      <c r="B160" s="412" t="s">
        <v>669</v>
      </c>
      <c r="C160" s="412" t="s">
        <v>1070</v>
      </c>
      <c r="D160" s="17">
        <v>44595</v>
      </c>
      <c r="E160" s="127" t="s">
        <v>267</v>
      </c>
      <c r="F160" s="413" t="s">
        <v>243</v>
      </c>
      <c r="G160" s="414">
        <v>12839</v>
      </c>
      <c r="H160" s="415">
        <v>13949</v>
      </c>
      <c r="I160" s="416">
        <v>15291</v>
      </c>
      <c r="J160" s="416" t="s">
        <v>243</v>
      </c>
      <c r="K160" s="417">
        <v>19101</v>
      </c>
      <c r="L160" s="418">
        <v>0.24916617618206788</v>
      </c>
      <c r="M160" s="21">
        <v>0.45833333333333331</v>
      </c>
      <c r="N160" s="415">
        <v>1715</v>
      </c>
      <c r="O160" s="415">
        <v>904</v>
      </c>
      <c r="P160" s="415">
        <v>811</v>
      </c>
      <c r="Q160" s="458">
        <v>8.9785875085074074E-2</v>
      </c>
      <c r="R160" s="459">
        <v>0.52711370262390667</v>
      </c>
      <c r="S160" s="460">
        <v>0.52083333333333337</v>
      </c>
      <c r="T160" s="415">
        <v>1755</v>
      </c>
      <c r="U160" s="415">
        <v>826</v>
      </c>
      <c r="V160" s="415">
        <v>929</v>
      </c>
      <c r="W160" s="458">
        <v>9.1880006282393595E-2</v>
      </c>
      <c r="X160" s="459">
        <v>0.52934472934472931</v>
      </c>
    </row>
    <row r="161" spans="1:24" s="162" customFormat="1" ht="18.95" customHeight="1">
      <c r="A161" s="125">
        <v>156</v>
      </c>
      <c r="B161" s="412" t="s">
        <v>438</v>
      </c>
      <c r="C161" s="412" t="s">
        <v>909</v>
      </c>
      <c r="D161" s="17">
        <v>44574</v>
      </c>
      <c r="E161" s="127" t="s">
        <v>267</v>
      </c>
      <c r="F161" s="413">
        <v>18196</v>
      </c>
      <c r="G161" s="414">
        <v>17265</v>
      </c>
      <c r="H161" s="415">
        <v>17836</v>
      </c>
      <c r="I161" s="416">
        <v>17398</v>
      </c>
      <c r="J161" s="416" t="s">
        <v>243</v>
      </c>
      <c r="K161" s="417">
        <v>15658</v>
      </c>
      <c r="L161" s="418">
        <v>-0.10001149557420393</v>
      </c>
      <c r="M161" s="21">
        <v>0.45833333333333331</v>
      </c>
      <c r="N161" s="415">
        <v>1513</v>
      </c>
      <c r="O161" s="415">
        <v>761</v>
      </c>
      <c r="P161" s="415">
        <v>752</v>
      </c>
      <c r="Q161" s="458">
        <v>9.6627921829096949E-2</v>
      </c>
      <c r="R161" s="459">
        <v>0.50297422339722409</v>
      </c>
      <c r="S161" s="460">
        <v>0.5</v>
      </c>
      <c r="T161" s="415">
        <v>1454</v>
      </c>
      <c r="U161" s="415">
        <v>725</v>
      </c>
      <c r="V161" s="415">
        <v>729</v>
      </c>
      <c r="W161" s="458">
        <v>9.2859879933580275E-2</v>
      </c>
      <c r="X161" s="459">
        <v>0.50137551581843187</v>
      </c>
    </row>
    <row r="162" spans="1:24" s="162" customFormat="1" ht="18.95" customHeight="1">
      <c r="A162" s="125">
        <v>157</v>
      </c>
      <c r="B162" s="412" t="s">
        <v>438</v>
      </c>
      <c r="C162" s="412" t="s">
        <v>1071</v>
      </c>
      <c r="D162" s="17">
        <v>44581</v>
      </c>
      <c r="E162" s="127" t="s">
        <v>267</v>
      </c>
      <c r="F162" s="413">
        <v>13357</v>
      </c>
      <c r="G162" s="414">
        <v>13389</v>
      </c>
      <c r="H162" s="415">
        <v>14224</v>
      </c>
      <c r="I162" s="416">
        <v>13320</v>
      </c>
      <c r="J162" s="416" t="s">
        <v>243</v>
      </c>
      <c r="K162" s="417">
        <v>13597</v>
      </c>
      <c r="L162" s="418">
        <v>2.0795795795795796E-2</v>
      </c>
      <c r="M162" s="21">
        <v>0.45833333333333331</v>
      </c>
      <c r="N162" s="415">
        <v>1245</v>
      </c>
      <c r="O162" s="415">
        <v>606</v>
      </c>
      <c r="P162" s="415">
        <v>639</v>
      </c>
      <c r="Q162" s="458">
        <v>9.15643156578657E-2</v>
      </c>
      <c r="R162" s="459">
        <v>0.51325301204819274</v>
      </c>
      <c r="S162" s="460">
        <v>0.5</v>
      </c>
      <c r="T162" s="415">
        <v>1385</v>
      </c>
      <c r="U162" s="415">
        <v>683</v>
      </c>
      <c r="V162" s="415">
        <v>702</v>
      </c>
      <c r="W162" s="458">
        <v>0.10186070456718394</v>
      </c>
      <c r="X162" s="459">
        <v>0.50685920577617327</v>
      </c>
    </row>
    <row r="163" spans="1:24" s="162" customFormat="1" ht="18.95" customHeight="1">
      <c r="A163" s="125">
        <v>158</v>
      </c>
      <c r="B163" s="412" t="s">
        <v>438</v>
      </c>
      <c r="C163" s="412" t="s">
        <v>1072</v>
      </c>
      <c r="D163" s="17">
        <v>44595</v>
      </c>
      <c r="E163" s="127" t="s">
        <v>267</v>
      </c>
      <c r="F163" s="413">
        <v>19610</v>
      </c>
      <c r="G163" s="414">
        <v>20460</v>
      </c>
      <c r="H163" s="415">
        <v>21147</v>
      </c>
      <c r="I163" s="416">
        <v>22107</v>
      </c>
      <c r="J163" s="416" t="s">
        <v>243</v>
      </c>
      <c r="K163" s="417">
        <v>22158</v>
      </c>
      <c r="L163" s="418">
        <v>2.3069615958746098E-3</v>
      </c>
      <c r="M163" s="21">
        <v>0.45833333333333331</v>
      </c>
      <c r="N163" s="415">
        <v>2057</v>
      </c>
      <c r="O163" s="415">
        <v>996</v>
      </c>
      <c r="P163" s="415">
        <v>1061</v>
      </c>
      <c r="Q163" s="458">
        <v>9.28332882029064E-2</v>
      </c>
      <c r="R163" s="459">
        <v>0.51579970831307731</v>
      </c>
      <c r="S163" s="460">
        <v>0.5</v>
      </c>
      <c r="T163" s="415">
        <v>2134</v>
      </c>
      <c r="U163" s="415">
        <v>1014</v>
      </c>
      <c r="V163" s="415">
        <v>1120</v>
      </c>
      <c r="W163" s="458">
        <v>9.6308331076811984E-2</v>
      </c>
      <c r="X163" s="459">
        <v>0.52483598875351456</v>
      </c>
    </row>
    <row r="164" spans="1:24" s="162" customFormat="1" ht="18.95" customHeight="1">
      <c r="A164" s="125">
        <v>159</v>
      </c>
      <c r="B164" s="412" t="s">
        <v>669</v>
      </c>
      <c r="C164" s="412" t="s">
        <v>1073</v>
      </c>
      <c r="D164" s="17">
        <v>44574</v>
      </c>
      <c r="E164" s="127" t="s">
        <v>267</v>
      </c>
      <c r="F164" s="413">
        <v>30997</v>
      </c>
      <c r="G164" s="414">
        <v>26851</v>
      </c>
      <c r="H164" s="415">
        <v>26685</v>
      </c>
      <c r="I164" s="416">
        <v>27188</v>
      </c>
      <c r="J164" s="416" t="s">
        <v>243</v>
      </c>
      <c r="K164" s="417">
        <v>23474</v>
      </c>
      <c r="L164" s="418">
        <v>-0.13660438428718552</v>
      </c>
      <c r="M164" s="21">
        <v>0.45833333333333331</v>
      </c>
      <c r="N164" s="415">
        <v>2081</v>
      </c>
      <c r="O164" s="415">
        <v>1097</v>
      </c>
      <c r="P164" s="415">
        <v>984</v>
      </c>
      <c r="Q164" s="458">
        <v>8.8651273749680501E-2</v>
      </c>
      <c r="R164" s="459">
        <v>0.52715040845747241</v>
      </c>
      <c r="S164" s="460">
        <v>0.57291666666666663</v>
      </c>
      <c r="T164" s="415">
        <v>2187</v>
      </c>
      <c r="U164" s="415">
        <v>1105</v>
      </c>
      <c r="V164" s="415">
        <v>1082</v>
      </c>
      <c r="W164" s="458">
        <v>9.3166908068501322E-2</v>
      </c>
      <c r="X164" s="459">
        <v>0.50525834476451759</v>
      </c>
    </row>
    <row r="165" spans="1:24" s="162" customFormat="1" ht="18.95" customHeight="1">
      <c r="A165" s="125">
        <v>160</v>
      </c>
      <c r="B165" s="412" t="s">
        <v>669</v>
      </c>
      <c r="C165" s="412" t="s">
        <v>385</v>
      </c>
      <c r="D165" s="17">
        <v>44581</v>
      </c>
      <c r="E165" s="127" t="s">
        <v>267</v>
      </c>
      <c r="F165" s="413">
        <v>17206</v>
      </c>
      <c r="G165" s="414">
        <v>16197</v>
      </c>
      <c r="H165" s="415">
        <v>16467</v>
      </c>
      <c r="I165" s="416">
        <v>15249</v>
      </c>
      <c r="J165" s="416" t="s">
        <v>243</v>
      </c>
      <c r="K165" s="417">
        <v>15312</v>
      </c>
      <c r="L165" s="418">
        <v>4.1314184536690932E-3</v>
      </c>
      <c r="M165" s="21">
        <v>0.45833333333333331</v>
      </c>
      <c r="N165" s="415">
        <v>1329</v>
      </c>
      <c r="O165" s="415">
        <v>691</v>
      </c>
      <c r="P165" s="415">
        <v>638</v>
      </c>
      <c r="Q165" s="458">
        <v>8.6794670846394986E-2</v>
      </c>
      <c r="R165" s="459">
        <v>0.51993980436418363</v>
      </c>
      <c r="S165" s="460">
        <v>0.5</v>
      </c>
      <c r="T165" s="415">
        <v>1391</v>
      </c>
      <c r="U165" s="415">
        <v>745</v>
      </c>
      <c r="V165" s="415">
        <v>646</v>
      </c>
      <c r="W165" s="458">
        <v>9.0843782654127486E-2</v>
      </c>
      <c r="X165" s="459">
        <v>0.53558590941768514</v>
      </c>
    </row>
    <row r="166" spans="1:24" s="162" customFormat="1" ht="18.95" customHeight="1">
      <c r="A166" s="125">
        <v>161</v>
      </c>
      <c r="B166" s="412" t="s">
        <v>669</v>
      </c>
      <c r="C166" s="412" t="s">
        <v>1074</v>
      </c>
      <c r="D166" s="17">
        <v>44595</v>
      </c>
      <c r="E166" s="127" t="s">
        <v>267</v>
      </c>
      <c r="F166" s="413">
        <v>13533</v>
      </c>
      <c r="G166" s="414">
        <v>14121</v>
      </c>
      <c r="H166" s="415">
        <v>14473</v>
      </c>
      <c r="I166" s="416">
        <v>14411</v>
      </c>
      <c r="J166" s="416" t="s">
        <v>243</v>
      </c>
      <c r="K166" s="417">
        <v>15263</v>
      </c>
      <c r="L166" s="418">
        <v>5.9121504406356253E-2</v>
      </c>
      <c r="M166" s="21">
        <v>0.45833333333333331</v>
      </c>
      <c r="N166" s="415">
        <v>1413</v>
      </c>
      <c r="O166" s="415">
        <v>708</v>
      </c>
      <c r="P166" s="415">
        <v>705</v>
      </c>
      <c r="Q166" s="458">
        <v>9.2576819760204418E-2</v>
      </c>
      <c r="R166" s="459">
        <v>0.50106157112526539</v>
      </c>
      <c r="S166" s="460">
        <v>0.5</v>
      </c>
      <c r="T166" s="415">
        <v>1450</v>
      </c>
      <c r="U166" s="415">
        <v>721</v>
      </c>
      <c r="V166" s="415">
        <v>729</v>
      </c>
      <c r="W166" s="458">
        <v>9.5000982768787268E-2</v>
      </c>
      <c r="X166" s="459">
        <v>0.50275862068965516</v>
      </c>
    </row>
    <row r="167" spans="1:24" s="162" customFormat="1" ht="18.95" customHeight="1">
      <c r="A167" s="125">
        <v>162</v>
      </c>
      <c r="B167" s="412" t="s">
        <v>438</v>
      </c>
      <c r="C167" s="412" t="s">
        <v>417</v>
      </c>
      <c r="D167" s="17">
        <v>44574</v>
      </c>
      <c r="E167" s="127" t="s">
        <v>267</v>
      </c>
      <c r="F167" s="413" t="s">
        <v>243</v>
      </c>
      <c r="G167" s="414" t="s">
        <v>243</v>
      </c>
      <c r="H167" s="415" t="s">
        <v>243</v>
      </c>
      <c r="I167" s="416" t="s">
        <v>243</v>
      </c>
      <c r="J167" s="416" t="s">
        <v>243</v>
      </c>
      <c r="K167" s="417">
        <v>18301</v>
      </c>
      <c r="L167" s="418" t="s">
        <v>243</v>
      </c>
      <c r="M167" s="21">
        <v>0.45833333333333331</v>
      </c>
      <c r="N167" s="415">
        <v>1793</v>
      </c>
      <c r="O167" s="415">
        <v>898</v>
      </c>
      <c r="P167" s="415">
        <v>895</v>
      </c>
      <c r="Q167" s="458">
        <v>9.7972788372220093E-2</v>
      </c>
      <c r="R167" s="459">
        <v>0.50083658672615727</v>
      </c>
      <c r="S167" s="460">
        <v>0.5</v>
      </c>
      <c r="T167" s="415">
        <v>1728</v>
      </c>
      <c r="U167" s="415">
        <v>914</v>
      </c>
      <c r="V167" s="415">
        <v>814</v>
      </c>
      <c r="W167" s="458">
        <v>9.4421069886891432E-2</v>
      </c>
      <c r="X167" s="459">
        <v>0.52893518518518523</v>
      </c>
    </row>
    <row r="168" spans="1:24" s="162" customFormat="1" ht="18.95" customHeight="1">
      <c r="A168" s="125">
        <v>163</v>
      </c>
      <c r="B168" s="412" t="s">
        <v>438</v>
      </c>
      <c r="C168" s="412" t="s">
        <v>1075</v>
      </c>
      <c r="D168" s="17">
        <v>44581</v>
      </c>
      <c r="E168" s="127" t="s">
        <v>267</v>
      </c>
      <c r="F168" s="413">
        <v>19963</v>
      </c>
      <c r="G168" s="414">
        <v>19540</v>
      </c>
      <c r="H168" s="415">
        <v>20031</v>
      </c>
      <c r="I168" s="416">
        <v>18764</v>
      </c>
      <c r="J168" s="416" t="s">
        <v>243</v>
      </c>
      <c r="K168" s="417">
        <v>18280</v>
      </c>
      <c r="L168" s="418">
        <v>-2.57940737582605E-2</v>
      </c>
      <c r="M168" s="21">
        <v>0.45833333333333331</v>
      </c>
      <c r="N168" s="415">
        <v>1658</v>
      </c>
      <c r="O168" s="415">
        <v>822</v>
      </c>
      <c r="P168" s="415">
        <v>836</v>
      </c>
      <c r="Q168" s="458">
        <v>9.0700218818380737E-2</v>
      </c>
      <c r="R168" s="459">
        <v>0.49577804583835949</v>
      </c>
      <c r="S168" s="460">
        <v>0.5</v>
      </c>
      <c r="T168" s="415">
        <v>1800</v>
      </c>
      <c r="U168" s="415">
        <v>955</v>
      </c>
      <c r="V168" s="415">
        <v>845</v>
      </c>
      <c r="W168" s="458">
        <v>9.8468271334792121E-2</v>
      </c>
      <c r="X168" s="459">
        <v>0.53055555555555556</v>
      </c>
    </row>
    <row r="169" spans="1:24" s="162" customFormat="1" ht="18.95" customHeight="1">
      <c r="A169" s="125">
        <v>164</v>
      </c>
      <c r="B169" s="412" t="s">
        <v>438</v>
      </c>
      <c r="C169" s="412" t="s">
        <v>1076</v>
      </c>
      <c r="D169" s="17">
        <v>44581</v>
      </c>
      <c r="E169" s="127" t="s">
        <v>267</v>
      </c>
      <c r="F169" s="413">
        <v>20798</v>
      </c>
      <c r="G169" s="414">
        <v>19748</v>
      </c>
      <c r="H169" s="415">
        <v>20360</v>
      </c>
      <c r="I169" s="416">
        <v>19229</v>
      </c>
      <c r="J169" s="416" t="s">
        <v>243</v>
      </c>
      <c r="K169" s="417">
        <v>18780</v>
      </c>
      <c r="L169" s="418">
        <v>-2.3350148213635655E-2</v>
      </c>
      <c r="M169" s="21">
        <v>0.45833333333333331</v>
      </c>
      <c r="N169" s="415">
        <v>1668</v>
      </c>
      <c r="O169" s="415">
        <v>801</v>
      </c>
      <c r="P169" s="415">
        <v>867</v>
      </c>
      <c r="Q169" s="458">
        <v>8.8817891373801916E-2</v>
      </c>
      <c r="R169" s="459">
        <v>0.51978417266187049</v>
      </c>
      <c r="S169" s="460">
        <v>0.5</v>
      </c>
      <c r="T169" s="415">
        <v>1836</v>
      </c>
      <c r="U169" s="415">
        <v>940</v>
      </c>
      <c r="V169" s="415">
        <v>896</v>
      </c>
      <c r="W169" s="458">
        <v>9.7763578274760385E-2</v>
      </c>
      <c r="X169" s="459">
        <v>0.51198257080610021</v>
      </c>
    </row>
    <row r="170" spans="1:24" s="162" customFormat="1" ht="18.95" customHeight="1">
      <c r="A170" s="125">
        <v>165</v>
      </c>
      <c r="B170" s="412" t="s">
        <v>438</v>
      </c>
      <c r="C170" s="412" t="s">
        <v>1077</v>
      </c>
      <c r="D170" s="17">
        <v>44581</v>
      </c>
      <c r="E170" s="127" t="s">
        <v>267</v>
      </c>
      <c r="F170" s="413">
        <v>23793</v>
      </c>
      <c r="G170" s="414">
        <v>22279</v>
      </c>
      <c r="H170" s="415">
        <v>22645</v>
      </c>
      <c r="I170" s="416">
        <v>22358</v>
      </c>
      <c r="J170" s="416" t="s">
        <v>243</v>
      </c>
      <c r="K170" s="417">
        <v>20459</v>
      </c>
      <c r="L170" s="418">
        <v>-8.49360407907684E-2</v>
      </c>
      <c r="M170" s="21">
        <v>0.45833333333333331</v>
      </c>
      <c r="N170" s="415">
        <v>1804</v>
      </c>
      <c r="O170" s="415">
        <v>836</v>
      </c>
      <c r="P170" s="415">
        <v>968</v>
      </c>
      <c r="Q170" s="458">
        <v>8.8176352705410826E-2</v>
      </c>
      <c r="R170" s="459">
        <v>0.53658536585365857</v>
      </c>
      <c r="S170" s="460">
        <v>0.5</v>
      </c>
      <c r="T170" s="415">
        <v>1986</v>
      </c>
      <c r="U170" s="415">
        <v>988</v>
      </c>
      <c r="V170" s="415">
        <v>998</v>
      </c>
      <c r="W170" s="458">
        <v>9.7072193166821447E-2</v>
      </c>
      <c r="X170" s="459">
        <v>0.50251762336354477</v>
      </c>
    </row>
    <row r="171" spans="1:24" s="162" customFormat="1" ht="18.95" customHeight="1">
      <c r="A171" s="125">
        <v>166</v>
      </c>
      <c r="B171" s="412" t="s">
        <v>438</v>
      </c>
      <c r="C171" s="412" t="s">
        <v>1078</v>
      </c>
      <c r="D171" s="17">
        <v>44581</v>
      </c>
      <c r="E171" s="127" t="s">
        <v>267</v>
      </c>
      <c r="F171" s="413">
        <v>19230</v>
      </c>
      <c r="G171" s="414">
        <v>18261</v>
      </c>
      <c r="H171" s="415">
        <v>18964</v>
      </c>
      <c r="I171" s="416">
        <v>17541</v>
      </c>
      <c r="J171" s="416" t="s">
        <v>243</v>
      </c>
      <c r="K171" s="417">
        <v>17165</v>
      </c>
      <c r="L171" s="418">
        <v>-2.1435493985519638E-2</v>
      </c>
      <c r="M171" s="21">
        <v>0.44791666666666669</v>
      </c>
      <c r="N171" s="415">
        <v>1574</v>
      </c>
      <c r="O171" s="415">
        <v>766</v>
      </c>
      <c r="P171" s="415">
        <v>808</v>
      </c>
      <c r="Q171" s="458">
        <v>9.1698223128459072E-2</v>
      </c>
      <c r="R171" s="459">
        <v>0.51334180432020327</v>
      </c>
      <c r="S171" s="460">
        <v>0.5</v>
      </c>
      <c r="T171" s="415">
        <v>1765</v>
      </c>
      <c r="U171" s="415">
        <v>856</v>
      </c>
      <c r="V171" s="415">
        <v>909</v>
      </c>
      <c r="W171" s="458">
        <v>0.10282551704048937</v>
      </c>
      <c r="X171" s="459">
        <v>0.51501416430594904</v>
      </c>
    </row>
    <row r="172" spans="1:24" s="162" customFormat="1" ht="18.95" customHeight="1">
      <c r="A172" s="125">
        <v>167</v>
      </c>
      <c r="B172" s="412" t="s">
        <v>438</v>
      </c>
      <c r="C172" s="412" t="s">
        <v>1079</v>
      </c>
      <c r="D172" s="17">
        <v>44581</v>
      </c>
      <c r="E172" s="127" t="s">
        <v>267</v>
      </c>
      <c r="F172" s="413">
        <v>24156</v>
      </c>
      <c r="G172" s="414">
        <v>22996</v>
      </c>
      <c r="H172" s="415">
        <v>23446</v>
      </c>
      <c r="I172" s="416">
        <v>21900</v>
      </c>
      <c r="J172" s="416" t="s">
        <v>243</v>
      </c>
      <c r="K172" s="417">
        <v>21217</v>
      </c>
      <c r="L172" s="418">
        <v>-3.1187214611872145E-2</v>
      </c>
      <c r="M172" s="21">
        <v>0.45833333333333331</v>
      </c>
      <c r="N172" s="415">
        <v>1940</v>
      </c>
      <c r="O172" s="415">
        <v>948</v>
      </c>
      <c r="P172" s="415">
        <v>992</v>
      </c>
      <c r="Q172" s="458">
        <v>9.1436112551256069E-2</v>
      </c>
      <c r="R172" s="459">
        <v>0.51134020618556697</v>
      </c>
      <c r="S172" s="460">
        <v>0.5</v>
      </c>
      <c r="T172" s="415">
        <v>2104</v>
      </c>
      <c r="U172" s="415">
        <v>1033</v>
      </c>
      <c r="V172" s="415">
        <v>1071</v>
      </c>
      <c r="W172" s="458">
        <v>9.9165763303011731E-2</v>
      </c>
      <c r="X172" s="459">
        <v>0.50903041825095052</v>
      </c>
    </row>
    <row r="173" spans="1:24" s="162" customFormat="1" ht="18.95" customHeight="1">
      <c r="A173" s="125">
        <v>168</v>
      </c>
      <c r="B173" s="412" t="s">
        <v>438</v>
      </c>
      <c r="C173" s="412" t="s">
        <v>1080</v>
      </c>
      <c r="D173" s="17">
        <v>44581</v>
      </c>
      <c r="E173" s="127" t="s">
        <v>267</v>
      </c>
      <c r="F173" s="413">
        <v>11926</v>
      </c>
      <c r="G173" s="414">
        <v>12029</v>
      </c>
      <c r="H173" s="415">
        <v>12758</v>
      </c>
      <c r="I173" s="416">
        <v>12328</v>
      </c>
      <c r="J173" s="416" t="s">
        <v>243</v>
      </c>
      <c r="K173" s="417">
        <v>12583</v>
      </c>
      <c r="L173" s="418">
        <v>2.0684620376378974E-2</v>
      </c>
      <c r="M173" s="21">
        <v>0.45833333333333331</v>
      </c>
      <c r="N173" s="415">
        <v>1144</v>
      </c>
      <c r="O173" s="415">
        <v>565</v>
      </c>
      <c r="P173" s="415">
        <v>579</v>
      </c>
      <c r="Q173" s="458">
        <v>9.0916315663991096E-2</v>
      </c>
      <c r="R173" s="459">
        <v>0.50611888111888115</v>
      </c>
      <c r="S173" s="460">
        <v>0.5</v>
      </c>
      <c r="T173" s="415">
        <v>1257</v>
      </c>
      <c r="U173" s="415">
        <v>617</v>
      </c>
      <c r="V173" s="415">
        <v>640</v>
      </c>
      <c r="W173" s="458">
        <v>9.9896686004927279E-2</v>
      </c>
      <c r="X173" s="459">
        <v>0.50914876690533017</v>
      </c>
    </row>
    <row r="174" spans="1:24" s="162" customFormat="1" ht="18.95" customHeight="1">
      <c r="A174" s="125">
        <v>169</v>
      </c>
      <c r="B174" s="412" t="s">
        <v>438</v>
      </c>
      <c r="C174" s="412" t="s">
        <v>1081</v>
      </c>
      <c r="D174" s="17">
        <v>44595</v>
      </c>
      <c r="E174" s="127" t="s">
        <v>267</v>
      </c>
      <c r="F174" s="413">
        <v>13908</v>
      </c>
      <c r="G174" s="414">
        <v>14228</v>
      </c>
      <c r="H174" s="415">
        <v>15270</v>
      </c>
      <c r="I174" s="416">
        <v>14542</v>
      </c>
      <c r="J174" s="416" t="s">
        <v>243</v>
      </c>
      <c r="K174" s="417">
        <v>15651</v>
      </c>
      <c r="L174" s="418">
        <v>7.6261862192270657E-2</v>
      </c>
      <c r="M174" s="21">
        <v>0.45833333333333331</v>
      </c>
      <c r="N174" s="415">
        <v>1423</v>
      </c>
      <c r="O174" s="415">
        <v>682</v>
      </c>
      <c r="P174" s="415">
        <v>741</v>
      </c>
      <c r="Q174" s="458">
        <v>9.0920707941984535E-2</v>
      </c>
      <c r="R174" s="459">
        <v>0.52073085031623334</v>
      </c>
      <c r="S174" s="460">
        <v>0.5</v>
      </c>
      <c r="T174" s="415">
        <v>1508</v>
      </c>
      <c r="U174" s="415">
        <v>735</v>
      </c>
      <c r="V174" s="415">
        <v>773</v>
      </c>
      <c r="W174" s="458">
        <v>9.635167081975593E-2</v>
      </c>
      <c r="X174" s="459">
        <v>0.5125994694960212</v>
      </c>
    </row>
    <row r="175" spans="1:24" s="162" customFormat="1" ht="18.95" customHeight="1">
      <c r="A175" s="125">
        <v>170</v>
      </c>
      <c r="B175" s="412" t="s">
        <v>669</v>
      </c>
      <c r="C175" s="412" t="s">
        <v>1007</v>
      </c>
      <c r="D175" s="17">
        <v>44581</v>
      </c>
      <c r="E175" s="127" t="s">
        <v>267</v>
      </c>
      <c r="F175" s="413">
        <v>12408</v>
      </c>
      <c r="G175" s="414">
        <v>12588</v>
      </c>
      <c r="H175" s="415">
        <v>12800</v>
      </c>
      <c r="I175" s="416">
        <v>12315</v>
      </c>
      <c r="J175" s="416" t="s">
        <v>243</v>
      </c>
      <c r="K175" s="417">
        <v>12929</v>
      </c>
      <c r="L175" s="418">
        <v>4.9857896873731225E-2</v>
      </c>
      <c r="M175" s="21">
        <v>0.45833333333333331</v>
      </c>
      <c r="N175" s="415">
        <v>1114</v>
      </c>
      <c r="O175" s="415">
        <v>561</v>
      </c>
      <c r="P175" s="415">
        <v>553</v>
      </c>
      <c r="Q175" s="458">
        <v>8.6162889627968128E-2</v>
      </c>
      <c r="R175" s="459">
        <v>0.50359066427289045</v>
      </c>
      <c r="S175" s="460">
        <v>0.53125</v>
      </c>
      <c r="T175" s="415">
        <v>1159</v>
      </c>
      <c r="U175" s="415">
        <v>609</v>
      </c>
      <c r="V175" s="415">
        <v>550</v>
      </c>
      <c r="W175" s="458">
        <v>8.9643437234124837E-2</v>
      </c>
      <c r="X175" s="459">
        <v>0.52545297670405522</v>
      </c>
    </row>
    <row r="176" spans="1:24" s="162" customFormat="1" ht="18.95" customHeight="1">
      <c r="A176" s="125">
        <v>171</v>
      </c>
      <c r="B176" s="412" t="s">
        <v>669</v>
      </c>
      <c r="C176" s="412" t="s">
        <v>1009</v>
      </c>
      <c r="D176" s="17">
        <v>44595</v>
      </c>
      <c r="E176" s="127" t="s">
        <v>267</v>
      </c>
      <c r="F176" s="413">
        <v>20683</v>
      </c>
      <c r="G176" s="414">
        <v>22417</v>
      </c>
      <c r="H176" s="415">
        <v>22470</v>
      </c>
      <c r="I176" s="416">
        <v>23061</v>
      </c>
      <c r="J176" s="416" t="s">
        <v>243</v>
      </c>
      <c r="K176" s="417">
        <v>23375</v>
      </c>
      <c r="L176" s="418">
        <v>1.3616061749273666E-2</v>
      </c>
      <c r="M176" s="21">
        <v>0.44791666666666669</v>
      </c>
      <c r="N176" s="415">
        <v>2152</v>
      </c>
      <c r="O176" s="415">
        <v>1060</v>
      </c>
      <c r="P176" s="415">
        <v>1092</v>
      </c>
      <c r="Q176" s="458">
        <v>9.2064171122994656E-2</v>
      </c>
      <c r="R176" s="459">
        <v>0.50743494423791824</v>
      </c>
      <c r="S176" s="460">
        <v>0.5</v>
      </c>
      <c r="T176" s="415">
        <v>2208</v>
      </c>
      <c r="U176" s="415">
        <v>1080</v>
      </c>
      <c r="V176" s="415">
        <v>1128</v>
      </c>
      <c r="W176" s="458">
        <v>9.4459893048128338E-2</v>
      </c>
      <c r="X176" s="459">
        <v>0.51086956521739135</v>
      </c>
    </row>
    <row r="177" spans="1:24" s="162" customFormat="1" ht="18.95" customHeight="1">
      <c r="A177" s="125">
        <v>172</v>
      </c>
      <c r="B177" s="412" t="s">
        <v>1082</v>
      </c>
      <c r="C177" s="412" t="s">
        <v>1083</v>
      </c>
      <c r="D177" s="17">
        <v>44574</v>
      </c>
      <c r="E177" s="127" t="s">
        <v>267</v>
      </c>
      <c r="F177" s="413" t="s">
        <v>243</v>
      </c>
      <c r="G177" s="414" t="s">
        <v>243</v>
      </c>
      <c r="H177" s="415" t="s">
        <v>243</v>
      </c>
      <c r="I177" s="416" t="s">
        <v>243</v>
      </c>
      <c r="J177" s="416" t="s">
        <v>243</v>
      </c>
      <c r="K177" s="417">
        <v>5995</v>
      </c>
      <c r="L177" s="418" t="s">
        <v>243</v>
      </c>
      <c r="M177" s="21">
        <v>0.45833333333333331</v>
      </c>
      <c r="N177" s="415">
        <v>643</v>
      </c>
      <c r="O177" s="415">
        <v>331</v>
      </c>
      <c r="P177" s="415">
        <v>312</v>
      </c>
      <c r="Q177" s="458">
        <v>0.10725604670558798</v>
      </c>
      <c r="R177" s="459">
        <v>0.51477449455676516</v>
      </c>
      <c r="S177" s="460">
        <v>0.51041666666666663</v>
      </c>
      <c r="T177" s="415">
        <v>621</v>
      </c>
      <c r="U177" s="415">
        <v>318</v>
      </c>
      <c r="V177" s="415">
        <v>303</v>
      </c>
      <c r="W177" s="458">
        <v>0.10358632193494578</v>
      </c>
      <c r="X177" s="459">
        <v>0.51207729468599039</v>
      </c>
    </row>
    <row r="178" spans="1:24" s="162" customFormat="1" ht="18.95" customHeight="1">
      <c r="A178" s="125">
        <v>173</v>
      </c>
      <c r="B178" s="412" t="s">
        <v>996</v>
      </c>
      <c r="C178" s="412" t="s">
        <v>475</v>
      </c>
      <c r="D178" s="17">
        <v>44609</v>
      </c>
      <c r="E178" s="127" t="s">
        <v>267</v>
      </c>
      <c r="F178" s="413" t="s">
        <v>243</v>
      </c>
      <c r="G178" s="414">
        <v>14509</v>
      </c>
      <c r="H178" s="415">
        <v>16596</v>
      </c>
      <c r="I178" s="416">
        <v>17375</v>
      </c>
      <c r="J178" s="416" t="s">
        <v>243</v>
      </c>
      <c r="K178" s="417">
        <v>17514</v>
      </c>
      <c r="L178" s="418">
        <v>8.0000000000000002E-3</v>
      </c>
      <c r="M178" s="21">
        <v>0.45833333333333331</v>
      </c>
      <c r="N178" s="415">
        <v>1272</v>
      </c>
      <c r="O178" s="415">
        <v>610</v>
      </c>
      <c r="P178" s="415">
        <v>662</v>
      </c>
      <c r="Q178" s="458">
        <v>7.2627612195957522E-2</v>
      </c>
      <c r="R178" s="459">
        <v>0.52044025157232709</v>
      </c>
      <c r="S178" s="460">
        <v>0.67708333333333337</v>
      </c>
      <c r="T178" s="415">
        <v>1346</v>
      </c>
      <c r="U178" s="415">
        <v>650</v>
      </c>
      <c r="V178" s="415">
        <v>696</v>
      </c>
      <c r="W178" s="458">
        <v>7.685280347150851E-2</v>
      </c>
      <c r="X178" s="459">
        <v>0.51708766716196142</v>
      </c>
    </row>
    <row r="179" spans="1:24" s="162" customFormat="1" ht="18.95" customHeight="1">
      <c r="A179" s="125">
        <v>174</v>
      </c>
      <c r="B179" s="412" t="s">
        <v>996</v>
      </c>
      <c r="C179" s="412" t="s">
        <v>1084</v>
      </c>
      <c r="D179" s="17">
        <v>44609</v>
      </c>
      <c r="E179" s="127" t="s">
        <v>267</v>
      </c>
      <c r="F179" s="413" t="s">
        <v>243</v>
      </c>
      <c r="G179" s="414">
        <v>11714</v>
      </c>
      <c r="H179" s="415">
        <v>13022</v>
      </c>
      <c r="I179" s="416">
        <v>12900</v>
      </c>
      <c r="J179" s="416" t="s">
        <v>243</v>
      </c>
      <c r="K179" s="417">
        <v>13215</v>
      </c>
      <c r="L179" s="418">
        <v>2.441860465116279E-2</v>
      </c>
      <c r="M179" s="21">
        <v>0.45833333333333331</v>
      </c>
      <c r="N179" s="415">
        <v>1097</v>
      </c>
      <c r="O179" s="415">
        <v>511</v>
      </c>
      <c r="P179" s="415">
        <v>586</v>
      </c>
      <c r="Q179" s="458">
        <v>8.301172909572456E-2</v>
      </c>
      <c r="R179" s="459">
        <v>0.53418413855970825</v>
      </c>
      <c r="S179" s="460">
        <v>0.67708333333333337</v>
      </c>
      <c r="T179" s="415">
        <v>1132</v>
      </c>
      <c r="U179" s="415">
        <v>578</v>
      </c>
      <c r="V179" s="415">
        <v>554</v>
      </c>
      <c r="W179" s="458">
        <v>8.5660234581914491E-2</v>
      </c>
      <c r="X179" s="459">
        <v>0.51060070671378088</v>
      </c>
    </row>
    <row r="180" spans="1:24" s="162" customFormat="1" ht="18.95" customHeight="1">
      <c r="A180" s="125">
        <v>175</v>
      </c>
      <c r="B180" s="412" t="s">
        <v>996</v>
      </c>
      <c r="C180" s="412" t="s">
        <v>1085</v>
      </c>
      <c r="D180" s="17">
        <v>44609</v>
      </c>
      <c r="E180" s="127" t="s">
        <v>267</v>
      </c>
      <c r="F180" s="413" t="s">
        <v>243</v>
      </c>
      <c r="G180" s="414" t="s">
        <v>243</v>
      </c>
      <c r="H180" s="415" t="s">
        <v>243</v>
      </c>
      <c r="I180" s="416" t="s">
        <v>243</v>
      </c>
      <c r="J180" s="416" t="s">
        <v>243</v>
      </c>
      <c r="K180" s="417">
        <v>12551</v>
      </c>
      <c r="L180" s="418" t="s">
        <v>243</v>
      </c>
      <c r="M180" s="21">
        <v>0.45833333333333331</v>
      </c>
      <c r="N180" s="415">
        <v>967</v>
      </c>
      <c r="O180" s="415">
        <v>511</v>
      </c>
      <c r="P180" s="415">
        <v>456</v>
      </c>
      <c r="Q180" s="458">
        <v>7.7045653732770294E-2</v>
      </c>
      <c r="R180" s="459">
        <v>0.52843846949327822</v>
      </c>
      <c r="S180" s="460">
        <v>0.67708333333333337</v>
      </c>
      <c r="T180" s="415">
        <v>1077</v>
      </c>
      <c r="U180" s="415">
        <v>450</v>
      </c>
      <c r="V180" s="415">
        <v>627</v>
      </c>
      <c r="W180" s="458">
        <v>8.5809895625846552E-2</v>
      </c>
      <c r="X180" s="459">
        <v>0.5821727019498607</v>
      </c>
    </row>
    <row r="181" spans="1:24" s="162" customFormat="1" ht="18.95" customHeight="1">
      <c r="A181" s="125">
        <v>176</v>
      </c>
      <c r="B181" s="412" t="s">
        <v>1086</v>
      </c>
      <c r="C181" s="412" t="s">
        <v>1087</v>
      </c>
      <c r="D181" s="17">
        <v>44581</v>
      </c>
      <c r="E181" s="127" t="s">
        <v>267</v>
      </c>
      <c r="F181" s="413">
        <v>9766</v>
      </c>
      <c r="G181" s="414">
        <v>8792</v>
      </c>
      <c r="H181" s="415">
        <v>8397</v>
      </c>
      <c r="I181" s="416">
        <v>8185</v>
      </c>
      <c r="J181" s="416" t="s">
        <v>243</v>
      </c>
      <c r="K181" s="417">
        <v>8132</v>
      </c>
      <c r="L181" s="418">
        <v>-6.4752596212583995E-3</v>
      </c>
      <c r="M181" s="21">
        <v>0.45833333333333331</v>
      </c>
      <c r="N181" s="415">
        <v>764</v>
      </c>
      <c r="O181" s="415">
        <v>410</v>
      </c>
      <c r="P181" s="415">
        <v>354</v>
      </c>
      <c r="Q181" s="458">
        <v>9.3949827840629607E-2</v>
      </c>
      <c r="R181" s="459">
        <v>0.53664921465968585</v>
      </c>
      <c r="S181" s="460">
        <v>0.5</v>
      </c>
      <c r="T181" s="415">
        <v>866</v>
      </c>
      <c r="U181" s="415">
        <v>463</v>
      </c>
      <c r="V181" s="415">
        <v>403</v>
      </c>
      <c r="W181" s="458">
        <v>0.10649286768322676</v>
      </c>
      <c r="X181" s="459">
        <v>0.53464203233256347</v>
      </c>
    </row>
    <row r="182" spans="1:24" s="162" customFormat="1" ht="18.95" customHeight="1">
      <c r="A182" s="125">
        <v>177</v>
      </c>
      <c r="B182" s="412" t="s">
        <v>1086</v>
      </c>
      <c r="C182" s="412" t="s">
        <v>1088</v>
      </c>
      <c r="D182" s="17">
        <v>44581</v>
      </c>
      <c r="E182" s="127" t="s">
        <v>267</v>
      </c>
      <c r="F182" s="413">
        <v>4794</v>
      </c>
      <c r="G182" s="414">
        <v>4464</v>
      </c>
      <c r="H182" s="415">
        <v>4520</v>
      </c>
      <c r="I182" s="416">
        <v>4491</v>
      </c>
      <c r="J182" s="416" t="s">
        <v>243</v>
      </c>
      <c r="K182" s="417">
        <v>4638</v>
      </c>
      <c r="L182" s="418">
        <v>3.2732130928523714E-2</v>
      </c>
      <c r="M182" s="21">
        <v>0.45833333333333331</v>
      </c>
      <c r="N182" s="415">
        <v>450</v>
      </c>
      <c r="O182" s="415">
        <v>240</v>
      </c>
      <c r="P182" s="415">
        <v>210</v>
      </c>
      <c r="Q182" s="458">
        <v>9.7024579560155241E-2</v>
      </c>
      <c r="R182" s="459">
        <v>0.53333333333333333</v>
      </c>
      <c r="S182" s="460">
        <v>0.51041666666666663</v>
      </c>
      <c r="T182" s="415">
        <v>523</v>
      </c>
      <c r="U182" s="415">
        <v>264</v>
      </c>
      <c r="V182" s="415">
        <v>259</v>
      </c>
      <c r="W182" s="458">
        <v>0.11276412246658042</v>
      </c>
      <c r="X182" s="459">
        <v>0.5047801147227533</v>
      </c>
    </row>
    <row r="183" spans="1:24" s="162" customFormat="1" ht="18.95" customHeight="1">
      <c r="A183" s="125">
        <v>178</v>
      </c>
      <c r="B183" s="412" t="s">
        <v>1086</v>
      </c>
      <c r="C183" s="412" t="s">
        <v>1089</v>
      </c>
      <c r="D183" s="17">
        <v>44595</v>
      </c>
      <c r="E183" s="127" t="s">
        <v>267</v>
      </c>
      <c r="F183" s="413">
        <v>10887</v>
      </c>
      <c r="G183" s="414">
        <v>10238</v>
      </c>
      <c r="H183" s="415">
        <v>10843</v>
      </c>
      <c r="I183" s="416">
        <v>10858</v>
      </c>
      <c r="J183" s="416" t="s">
        <v>243</v>
      </c>
      <c r="K183" s="417">
        <v>11586</v>
      </c>
      <c r="L183" s="418">
        <v>6.7047338368023582E-2</v>
      </c>
      <c r="M183" s="21">
        <v>0.45833333333333331</v>
      </c>
      <c r="N183" s="415">
        <v>1110</v>
      </c>
      <c r="O183" s="415">
        <v>561</v>
      </c>
      <c r="P183" s="415">
        <v>549</v>
      </c>
      <c r="Q183" s="458">
        <v>9.5805282237182807E-2</v>
      </c>
      <c r="R183" s="459">
        <v>0.50540540540540535</v>
      </c>
      <c r="S183" s="460">
        <v>0.5</v>
      </c>
      <c r="T183" s="415">
        <v>1146</v>
      </c>
      <c r="U183" s="415">
        <v>627</v>
      </c>
      <c r="V183" s="415">
        <v>519</v>
      </c>
      <c r="W183" s="458">
        <v>9.8912480580010356E-2</v>
      </c>
      <c r="X183" s="459">
        <v>0.54712041884816753</v>
      </c>
    </row>
    <row r="184" spans="1:24" s="162" customFormat="1" ht="18.95" customHeight="1">
      <c r="A184" s="125">
        <v>179</v>
      </c>
      <c r="B184" s="412" t="s">
        <v>1090</v>
      </c>
      <c r="C184" s="412" t="s">
        <v>912</v>
      </c>
      <c r="D184" s="17">
        <v>44581</v>
      </c>
      <c r="E184" s="127" t="s">
        <v>267</v>
      </c>
      <c r="F184" s="413">
        <v>12433</v>
      </c>
      <c r="G184" s="414">
        <v>11600</v>
      </c>
      <c r="H184" s="415">
        <v>11678</v>
      </c>
      <c r="I184" s="416">
        <v>11298</v>
      </c>
      <c r="J184" s="416" t="s">
        <v>243</v>
      </c>
      <c r="K184" s="417">
        <v>10322</v>
      </c>
      <c r="L184" s="418">
        <v>-8.6386971145335459E-2</v>
      </c>
      <c r="M184" s="21">
        <v>0.45833333333333331</v>
      </c>
      <c r="N184" s="415">
        <v>959</v>
      </c>
      <c r="O184" s="415">
        <v>485</v>
      </c>
      <c r="P184" s="415">
        <v>474</v>
      </c>
      <c r="Q184" s="458">
        <v>9.2908351094749084E-2</v>
      </c>
      <c r="R184" s="459">
        <v>0.50573514077163717</v>
      </c>
      <c r="S184" s="460">
        <v>0.5</v>
      </c>
      <c r="T184" s="415">
        <v>975</v>
      </c>
      <c r="U184" s="415">
        <v>459</v>
      </c>
      <c r="V184" s="415">
        <v>516</v>
      </c>
      <c r="W184" s="458">
        <v>9.4458438287153654E-2</v>
      </c>
      <c r="X184" s="459">
        <v>0.52923076923076928</v>
      </c>
    </row>
    <row r="185" spans="1:24" s="162" customFormat="1" ht="18.95" customHeight="1">
      <c r="A185" s="125">
        <v>180</v>
      </c>
      <c r="B185" s="412" t="s">
        <v>1090</v>
      </c>
      <c r="C185" s="412" t="s">
        <v>913</v>
      </c>
      <c r="D185" s="17">
        <v>44581</v>
      </c>
      <c r="E185" s="127" t="s">
        <v>267</v>
      </c>
      <c r="F185" s="413">
        <v>12399</v>
      </c>
      <c r="G185" s="414">
        <v>11169</v>
      </c>
      <c r="H185" s="415">
        <v>11306</v>
      </c>
      <c r="I185" s="416">
        <v>11061</v>
      </c>
      <c r="J185" s="416" t="s">
        <v>243</v>
      </c>
      <c r="K185" s="417">
        <v>10488</v>
      </c>
      <c r="L185" s="418">
        <v>-5.180363439110388E-2</v>
      </c>
      <c r="M185" s="21">
        <v>0.45833333333333331</v>
      </c>
      <c r="N185" s="415">
        <v>925</v>
      </c>
      <c r="O185" s="415">
        <v>473</v>
      </c>
      <c r="P185" s="415">
        <v>452</v>
      </c>
      <c r="Q185" s="458">
        <v>8.8196033562166279E-2</v>
      </c>
      <c r="R185" s="459">
        <v>0.51135135135135135</v>
      </c>
      <c r="S185" s="460">
        <v>0.54166666666666663</v>
      </c>
      <c r="T185" s="415">
        <v>998</v>
      </c>
      <c r="U185" s="415">
        <v>459</v>
      </c>
      <c r="V185" s="415">
        <v>539</v>
      </c>
      <c r="W185" s="458">
        <v>9.5156369183829137E-2</v>
      </c>
      <c r="X185" s="459">
        <v>0.54008016032064132</v>
      </c>
    </row>
    <row r="186" spans="1:24" s="162" customFormat="1" ht="18.95" customHeight="1">
      <c r="A186" s="125">
        <v>181</v>
      </c>
      <c r="B186" s="412" t="s">
        <v>1090</v>
      </c>
      <c r="C186" s="412" t="s">
        <v>363</v>
      </c>
      <c r="D186" s="17">
        <v>44581</v>
      </c>
      <c r="E186" s="127" t="s">
        <v>267</v>
      </c>
      <c r="F186" s="413">
        <v>4457</v>
      </c>
      <c r="G186" s="414">
        <v>5549</v>
      </c>
      <c r="H186" s="415">
        <v>4961</v>
      </c>
      <c r="I186" s="416">
        <v>4857</v>
      </c>
      <c r="J186" s="416" t="s">
        <v>243</v>
      </c>
      <c r="K186" s="417">
        <v>5533</v>
      </c>
      <c r="L186" s="418">
        <v>0.13918056413423924</v>
      </c>
      <c r="M186" s="21">
        <v>0.44791666666666669</v>
      </c>
      <c r="N186" s="415">
        <v>554</v>
      </c>
      <c r="O186" s="415">
        <v>268</v>
      </c>
      <c r="P186" s="415">
        <v>286</v>
      </c>
      <c r="Q186" s="458">
        <v>0.10012651364540033</v>
      </c>
      <c r="R186" s="459">
        <v>0.51624548736462095</v>
      </c>
      <c r="S186" s="460">
        <v>0.5</v>
      </c>
      <c r="T186" s="415">
        <v>547</v>
      </c>
      <c r="U186" s="415">
        <v>294</v>
      </c>
      <c r="V186" s="415">
        <v>253</v>
      </c>
      <c r="W186" s="458">
        <v>9.8861377191397079E-2</v>
      </c>
      <c r="X186" s="459">
        <v>0.53747714808043878</v>
      </c>
    </row>
    <row r="187" spans="1:24" s="162" customFormat="1" ht="18.95" customHeight="1">
      <c r="A187" s="125">
        <v>182</v>
      </c>
      <c r="B187" s="412" t="s">
        <v>671</v>
      </c>
      <c r="C187" s="412" t="s">
        <v>1091</v>
      </c>
      <c r="D187" s="17">
        <v>44573</v>
      </c>
      <c r="E187" s="127" t="s">
        <v>267</v>
      </c>
      <c r="F187" s="413">
        <v>3244</v>
      </c>
      <c r="G187" s="414">
        <v>3778</v>
      </c>
      <c r="H187" s="415">
        <v>4242</v>
      </c>
      <c r="I187" s="416">
        <v>3585</v>
      </c>
      <c r="J187" s="416" t="s">
        <v>243</v>
      </c>
      <c r="K187" s="417">
        <v>3958</v>
      </c>
      <c r="L187" s="418">
        <v>0.10404463040446305</v>
      </c>
      <c r="M187" s="21">
        <v>0.4375</v>
      </c>
      <c r="N187" s="415">
        <v>392</v>
      </c>
      <c r="O187" s="415">
        <v>214</v>
      </c>
      <c r="P187" s="415">
        <v>178</v>
      </c>
      <c r="Q187" s="458">
        <v>9.9039919151086411E-2</v>
      </c>
      <c r="R187" s="459">
        <v>0.54591836734693877</v>
      </c>
      <c r="S187" s="460">
        <v>0.51041666666666663</v>
      </c>
      <c r="T187" s="415">
        <v>417</v>
      </c>
      <c r="U187" s="415">
        <v>242</v>
      </c>
      <c r="V187" s="415">
        <v>175</v>
      </c>
      <c r="W187" s="458">
        <v>0.10535624052551794</v>
      </c>
      <c r="X187" s="459">
        <v>0.58033573141486805</v>
      </c>
    </row>
    <row r="188" spans="1:24" s="162" customFormat="1" ht="18.95" customHeight="1">
      <c r="A188" s="125">
        <v>183</v>
      </c>
      <c r="B188" s="412" t="s">
        <v>506</v>
      </c>
      <c r="C188" s="412" t="s">
        <v>507</v>
      </c>
      <c r="D188" s="17">
        <v>44581</v>
      </c>
      <c r="E188" s="127" t="s">
        <v>267</v>
      </c>
      <c r="F188" s="413">
        <v>2806</v>
      </c>
      <c r="G188" s="414">
        <v>3448</v>
      </c>
      <c r="H188" s="415">
        <v>3412</v>
      </c>
      <c r="I188" s="416">
        <v>3270</v>
      </c>
      <c r="J188" s="416" t="s">
        <v>243</v>
      </c>
      <c r="K188" s="417">
        <v>3339</v>
      </c>
      <c r="L188" s="418">
        <v>2.1100917431192662E-2</v>
      </c>
      <c r="M188" s="21">
        <v>0.4375</v>
      </c>
      <c r="N188" s="415">
        <v>316</v>
      </c>
      <c r="O188" s="415">
        <v>163</v>
      </c>
      <c r="P188" s="415">
        <v>153</v>
      </c>
      <c r="Q188" s="458">
        <v>9.4639113507038033E-2</v>
      </c>
      <c r="R188" s="459">
        <v>0.51582278481012656</v>
      </c>
      <c r="S188" s="460">
        <v>0.625</v>
      </c>
      <c r="T188" s="415">
        <v>312</v>
      </c>
      <c r="U188" s="415">
        <v>143</v>
      </c>
      <c r="V188" s="415">
        <v>169</v>
      </c>
      <c r="W188" s="458">
        <v>9.3441150044923635E-2</v>
      </c>
      <c r="X188" s="459">
        <v>0.54166666666666663</v>
      </c>
    </row>
    <row r="189" spans="1:24" s="162" customFormat="1" ht="18.95" customHeight="1" thickBot="1">
      <c r="A189" s="419">
        <v>184</v>
      </c>
      <c r="B189" s="420" t="s">
        <v>532</v>
      </c>
      <c r="C189" s="420" t="s">
        <v>1092</v>
      </c>
      <c r="D189" s="421">
        <v>44574</v>
      </c>
      <c r="E189" s="422" t="s">
        <v>267</v>
      </c>
      <c r="F189" s="423" t="s">
        <v>243</v>
      </c>
      <c r="G189" s="424">
        <v>5906</v>
      </c>
      <c r="H189" s="425">
        <v>4394</v>
      </c>
      <c r="I189" s="426">
        <v>5871</v>
      </c>
      <c r="J189" s="426" t="s">
        <v>243</v>
      </c>
      <c r="K189" s="427">
        <v>4177</v>
      </c>
      <c r="L189" s="428">
        <v>-0.28853687617101004</v>
      </c>
      <c r="M189" s="461">
        <v>0.45833333333333331</v>
      </c>
      <c r="N189" s="425">
        <v>448</v>
      </c>
      <c r="O189" s="425">
        <v>229</v>
      </c>
      <c r="P189" s="425">
        <v>219</v>
      </c>
      <c r="Q189" s="462">
        <v>0.10725401005506344</v>
      </c>
      <c r="R189" s="463">
        <v>0.5111607142857143</v>
      </c>
      <c r="S189" s="464">
        <v>0.60416666666666663</v>
      </c>
      <c r="T189" s="425">
        <v>443</v>
      </c>
      <c r="U189" s="425">
        <v>253</v>
      </c>
      <c r="V189" s="425">
        <v>190</v>
      </c>
      <c r="W189" s="462">
        <v>0.10605697869284175</v>
      </c>
      <c r="X189" s="463">
        <v>0.57110609480812646</v>
      </c>
    </row>
    <row r="190" spans="1:24" s="162" customFormat="1" ht="18.95" hidden="1" customHeight="1">
      <c r="A190" s="356"/>
      <c r="B190" s="274"/>
      <c r="C190" s="274"/>
      <c r="D190" s="357"/>
      <c r="E190" s="358" t="s">
        <v>267</v>
      </c>
      <c r="F190" s="359"/>
      <c r="G190" s="355"/>
      <c r="H190" s="355"/>
      <c r="I190" s="355"/>
      <c r="J190" s="359"/>
      <c r="K190" s="355"/>
      <c r="L190" s="355"/>
      <c r="M190" s="355"/>
      <c r="N190" s="360" t="s">
        <v>268</v>
      </c>
      <c r="P190"/>
    </row>
    <row r="191" spans="1:24" s="162" customFormat="1" ht="18.95" hidden="1" customHeight="1">
      <c r="A191" s="125"/>
      <c r="B191" s="126"/>
      <c r="C191" s="126"/>
      <c r="D191" s="17"/>
      <c r="E191" s="127" t="s">
        <v>267</v>
      </c>
      <c r="F191" s="21"/>
      <c r="G191" s="16"/>
      <c r="H191" s="16"/>
      <c r="I191" s="16"/>
      <c r="J191" s="21"/>
      <c r="K191" s="16"/>
      <c r="L191" s="16"/>
      <c r="M191" s="16"/>
      <c r="N191" s="18" t="s">
        <v>268</v>
      </c>
      <c r="P191"/>
    </row>
    <row r="192" spans="1:24" s="162" customFormat="1" ht="18.95" hidden="1" customHeight="1">
      <c r="A192" s="356"/>
      <c r="B192" s="274"/>
      <c r="C192" s="274"/>
      <c r="D192" s="357"/>
      <c r="E192" s="358" t="s">
        <v>267</v>
      </c>
      <c r="F192" s="359"/>
      <c r="G192" s="355"/>
      <c r="H192" s="355"/>
      <c r="I192" s="355"/>
      <c r="J192" s="359"/>
      <c r="K192" s="355"/>
      <c r="L192" s="355"/>
      <c r="M192" s="355"/>
      <c r="N192" s="360" t="s">
        <v>268</v>
      </c>
      <c r="P192"/>
    </row>
    <row r="193" spans="1:16" s="162" customFormat="1" ht="18.95" hidden="1" customHeight="1">
      <c r="A193" s="125"/>
      <c r="B193" s="126"/>
      <c r="C193" s="126"/>
      <c r="D193" s="17"/>
      <c r="E193" s="127" t="s">
        <v>267</v>
      </c>
      <c r="F193" s="21"/>
      <c r="G193" s="16"/>
      <c r="H193" s="16"/>
      <c r="I193" s="16"/>
      <c r="J193" s="21"/>
      <c r="K193" s="16"/>
      <c r="L193" s="16"/>
      <c r="M193" s="16"/>
      <c r="N193" s="18" t="s">
        <v>268</v>
      </c>
      <c r="P193"/>
    </row>
    <row r="194" spans="1:16" s="162" customFormat="1" ht="18.95" hidden="1" customHeight="1">
      <c r="A194" s="356"/>
      <c r="B194" s="274"/>
      <c r="C194" s="274"/>
      <c r="D194" s="357"/>
      <c r="E194" s="358" t="s">
        <v>267</v>
      </c>
      <c r="F194" s="359"/>
      <c r="G194" s="355"/>
      <c r="H194" s="355"/>
      <c r="I194" s="355"/>
      <c r="J194" s="359"/>
      <c r="K194" s="355"/>
      <c r="L194" s="355"/>
      <c r="M194" s="355"/>
      <c r="N194" s="360" t="s">
        <v>268</v>
      </c>
      <c r="P194"/>
    </row>
    <row r="195" spans="1:16" s="162" customFormat="1" ht="18.95" hidden="1" customHeight="1">
      <c r="A195" s="125"/>
      <c r="B195" s="126"/>
      <c r="C195" s="126"/>
      <c r="D195" s="17"/>
      <c r="E195" s="127" t="s">
        <v>267</v>
      </c>
      <c r="F195" s="21"/>
      <c r="G195" s="16"/>
      <c r="H195" s="16"/>
      <c r="I195" s="16"/>
      <c r="J195" s="21"/>
      <c r="K195" s="16"/>
      <c r="L195" s="16"/>
      <c r="M195" s="16"/>
      <c r="N195" s="18" t="s">
        <v>268</v>
      </c>
      <c r="P195"/>
    </row>
    <row r="196" spans="1:16" s="162" customFormat="1" ht="18.95" hidden="1" customHeight="1">
      <c r="A196" s="356"/>
      <c r="B196" s="274"/>
      <c r="C196" s="274"/>
      <c r="D196" s="357"/>
      <c r="E196" s="358" t="s">
        <v>267</v>
      </c>
      <c r="F196" s="359"/>
      <c r="G196" s="355"/>
      <c r="H196" s="355"/>
      <c r="I196" s="355"/>
      <c r="J196" s="359"/>
      <c r="K196" s="355"/>
      <c r="L196" s="355"/>
      <c r="M196" s="355"/>
      <c r="N196" s="360" t="s">
        <v>268</v>
      </c>
      <c r="P196"/>
    </row>
    <row r="197" spans="1:16" s="162" customFormat="1" ht="18.95" hidden="1" customHeight="1">
      <c r="A197" s="125"/>
      <c r="B197" s="126"/>
      <c r="C197" s="126"/>
      <c r="D197" s="17"/>
      <c r="E197" s="127" t="s">
        <v>267</v>
      </c>
      <c r="F197" s="21"/>
      <c r="G197" s="16"/>
      <c r="H197" s="16"/>
      <c r="I197" s="16"/>
      <c r="J197" s="21"/>
      <c r="K197" s="16"/>
      <c r="L197" s="16"/>
      <c r="M197" s="16"/>
      <c r="N197" s="18" t="s">
        <v>268</v>
      </c>
      <c r="P197"/>
    </row>
    <row r="198" spans="1:16" s="162" customFormat="1" ht="18.95" hidden="1" customHeight="1">
      <c r="A198" s="356"/>
      <c r="B198" s="274"/>
      <c r="C198" s="274"/>
      <c r="D198" s="357"/>
      <c r="E198" s="358" t="s">
        <v>267</v>
      </c>
      <c r="F198" s="359"/>
      <c r="G198" s="355"/>
      <c r="H198" s="355"/>
      <c r="I198" s="355"/>
      <c r="J198" s="359"/>
      <c r="K198" s="355"/>
      <c r="L198" s="355"/>
      <c r="M198" s="355"/>
      <c r="N198" s="360" t="s">
        <v>268</v>
      </c>
      <c r="P198"/>
    </row>
    <row r="199" spans="1:16" s="162" customFormat="1" ht="18.95" hidden="1" customHeight="1">
      <c r="A199" s="125"/>
      <c r="B199" s="126"/>
      <c r="C199" s="126"/>
      <c r="D199" s="17"/>
      <c r="E199" s="127" t="s">
        <v>267</v>
      </c>
      <c r="F199" s="21"/>
      <c r="G199" s="16"/>
      <c r="H199" s="16"/>
      <c r="I199" s="16"/>
      <c r="J199" s="21"/>
      <c r="K199" s="16"/>
      <c r="L199" s="16"/>
      <c r="M199" s="16"/>
      <c r="N199" s="18" t="s">
        <v>268</v>
      </c>
      <c r="P199"/>
    </row>
    <row r="200" spans="1:16" s="162" customFormat="1" ht="18.95" hidden="1" customHeight="1">
      <c r="A200" s="356"/>
      <c r="B200" s="274"/>
      <c r="C200" s="274"/>
      <c r="D200" s="357"/>
      <c r="E200" s="358" t="s">
        <v>267</v>
      </c>
      <c r="F200" s="359"/>
      <c r="G200" s="355"/>
      <c r="H200" s="355"/>
      <c r="I200" s="355"/>
      <c r="J200" s="359"/>
      <c r="K200" s="355"/>
      <c r="L200" s="355"/>
      <c r="M200" s="355"/>
      <c r="N200" s="360" t="s">
        <v>268</v>
      </c>
      <c r="P200"/>
    </row>
    <row r="201" spans="1:16" s="162" customFormat="1" ht="18.95" hidden="1" customHeight="1">
      <c r="A201" s="125"/>
      <c r="B201" s="126"/>
      <c r="C201" s="126"/>
      <c r="D201" s="17"/>
      <c r="E201" s="127" t="s">
        <v>267</v>
      </c>
      <c r="F201" s="21"/>
      <c r="G201" s="16"/>
      <c r="H201" s="16"/>
      <c r="I201" s="16"/>
      <c r="J201" s="21"/>
      <c r="K201" s="16"/>
      <c r="L201" s="16"/>
      <c r="M201" s="16"/>
      <c r="N201" s="18" t="s">
        <v>268</v>
      </c>
      <c r="P201"/>
    </row>
    <row r="202" spans="1:16" s="162" customFormat="1" ht="18.95" hidden="1" customHeight="1">
      <c r="A202" s="356"/>
      <c r="B202" s="274"/>
      <c r="C202" s="274"/>
      <c r="D202" s="357"/>
      <c r="E202" s="358" t="s">
        <v>267</v>
      </c>
      <c r="F202" s="359"/>
      <c r="G202" s="355"/>
      <c r="H202" s="355"/>
      <c r="I202" s="355"/>
      <c r="J202" s="359"/>
      <c r="K202" s="355"/>
      <c r="L202" s="355"/>
      <c r="M202" s="355"/>
      <c r="N202" s="360" t="s">
        <v>268</v>
      </c>
      <c r="P202"/>
    </row>
    <row r="203" spans="1:16" s="162" customFormat="1" ht="18.95" hidden="1" customHeight="1">
      <c r="A203" s="125"/>
      <c r="B203" s="126"/>
      <c r="C203" s="126"/>
      <c r="D203" s="17"/>
      <c r="E203" s="127" t="s">
        <v>267</v>
      </c>
      <c r="F203" s="21"/>
      <c r="G203" s="16"/>
      <c r="H203" s="16"/>
      <c r="I203" s="16"/>
      <c r="J203" s="21"/>
      <c r="K203" s="16"/>
      <c r="L203" s="16"/>
      <c r="M203" s="16"/>
      <c r="N203" s="18" t="s">
        <v>268</v>
      </c>
      <c r="P203"/>
    </row>
    <row r="204" spans="1:16" s="162" customFormat="1" ht="18.95" hidden="1" customHeight="1">
      <c r="A204" s="356"/>
      <c r="B204" s="274"/>
      <c r="C204" s="274"/>
      <c r="D204" s="357"/>
      <c r="E204" s="358" t="s">
        <v>267</v>
      </c>
      <c r="F204" s="359"/>
      <c r="G204" s="355"/>
      <c r="H204" s="355"/>
      <c r="I204" s="355"/>
      <c r="J204" s="359"/>
      <c r="K204" s="355"/>
      <c r="L204" s="355"/>
      <c r="M204" s="355"/>
      <c r="N204" s="360" t="s">
        <v>268</v>
      </c>
      <c r="P204"/>
    </row>
    <row r="205" spans="1:16" s="162" customFormat="1" ht="18.95" hidden="1" customHeight="1">
      <c r="A205" s="125"/>
      <c r="B205" s="126"/>
      <c r="C205" s="126"/>
      <c r="D205" s="17"/>
      <c r="E205" s="127" t="s">
        <v>267</v>
      </c>
      <c r="F205" s="21"/>
      <c r="G205" s="16"/>
      <c r="H205" s="16"/>
      <c r="I205" s="16"/>
      <c r="J205" s="21"/>
      <c r="K205" s="16"/>
      <c r="L205" s="16"/>
      <c r="M205" s="16"/>
      <c r="N205" s="18" t="s">
        <v>268</v>
      </c>
      <c r="P205"/>
    </row>
    <row r="206" spans="1:16" s="162" customFormat="1" ht="18.95" hidden="1" customHeight="1">
      <c r="A206" s="356"/>
      <c r="B206" s="274"/>
      <c r="C206" s="274"/>
      <c r="D206" s="357"/>
      <c r="E206" s="358" t="s">
        <v>267</v>
      </c>
      <c r="F206" s="359"/>
      <c r="G206" s="355"/>
      <c r="H206" s="355"/>
      <c r="I206" s="355"/>
      <c r="J206" s="359"/>
      <c r="K206" s="355"/>
      <c r="L206" s="355"/>
      <c r="M206" s="355"/>
      <c r="N206" s="360" t="s">
        <v>268</v>
      </c>
      <c r="P206"/>
    </row>
    <row r="207" spans="1:16" s="162" customFormat="1" ht="18.95" hidden="1" customHeight="1">
      <c r="A207" s="125"/>
      <c r="B207" s="126"/>
      <c r="C207" s="126"/>
      <c r="D207" s="17"/>
      <c r="E207" s="127" t="s">
        <v>267</v>
      </c>
      <c r="F207" s="21"/>
      <c r="G207" s="16"/>
      <c r="H207" s="16"/>
      <c r="I207" s="16"/>
      <c r="J207" s="21"/>
      <c r="K207" s="16"/>
      <c r="L207" s="16"/>
      <c r="M207" s="16"/>
      <c r="N207" s="18">
        <v>2390</v>
      </c>
      <c r="P207"/>
    </row>
    <row r="208" spans="1:16" s="162" customFormat="1" ht="18.95" hidden="1" customHeight="1">
      <c r="A208" s="356"/>
      <c r="B208" s="274"/>
      <c r="C208" s="274"/>
      <c r="D208" s="357"/>
      <c r="E208" s="358" t="s">
        <v>267</v>
      </c>
      <c r="F208" s="359"/>
      <c r="G208" s="355"/>
      <c r="H208" s="355"/>
      <c r="I208" s="355"/>
      <c r="J208" s="359"/>
      <c r="K208" s="355"/>
      <c r="L208" s="355"/>
      <c r="M208" s="355"/>
      <c r="N208" s="360">
        <v>2654</v>
      </c>
      <c r="P208"/>
    </row>
    <row r="209" spans="1:32" s="162" customFormat="1" ht="18.95" hidden="1" customHeight="1">
      <c r="A209" s="125"/>
      <c r="B209" s="126"/>
      <c r="C209" s="126"/>
      <c r="D209" s="17"/>
      <c r="E209" s="127" t="s">
        <v>267</v>
      </c>
      <c r="F209" s="21"/>
      <c r="G209" s="16"/>
      <c r="H209" s="16"/>
      <c r="I209" s="16"/>
      <c r="J209" s="21"/>
      <c r="K209" s="16"/>
      <c r="L209" s="16"/>
      <c r="M209" s="16"/>
      <c r="N209" s="18">
        <v>795</v>
      </c>
      <c r="P209"/>
    </row>
    <row r="210" spans="1:32" s="162" customFormat="1" ht="18.95" hidden="1" customHeight="1">
      <c r="A210" s="356"/>
      <c r="B210" s="274"/>
      <c r="C210" s="274"/>
      <c r="D210" s="357"/>
      <c r="E210" s="358" t="s">
        <v>267</v>
      </c>
      <c r="F210" s="359"/>
      <c r="G210" s="355"/>
      <c r="H210" s="355"/>
      <c r="I210" s="355"/>
      <c r="J210" s="359"/>
      <c r="K210" s="355"/>
      <c r="L210" s="355"/>
      <c r="M210" s="355"/>
      <c r="N210" s="360">
        <v>866</v>
      </c>
      <c r="P210"/>
    </row>
    <row r="211" spans="1:32" s="162" customFormat="1" ht="18.95" hidden="1" customHeight="1">
      <c r="A211" s="125"/>
      <c r="B211" s="126"/>
      <c r="C211" s="126"/>
      <c r="D211" s="17"/>
      <c r="E211" s="127" t="s">
        <v>267</v>
      </c>
      <c r="F211" s="21"/>
      <c r="G211" s="16"/>
      <c r="H211" s="16"/>
      <c r="I211" s="16"/>
      <c r="J211" s="21"/>
      <c r="K211" s="16"/>
      <c r="L211" s="16"/>
      <c r="M211" s="16"/>
      <c r="N211" s="18">
        <v>1639</v>
      </c>
      <c r="P211"/>
    </row>
    <row r="212" spans="1:32" s="162" customFormat="1" ht="18.95" hidden="1" customHeight="1">
      <c r="A212" s="356"/>
      <c r="B212" s="274"/>
      <c r="C212" s="274"/>
      <c r="D212" s="357"/>
      <c r="E212" s="358" t="s">
        <v>267</v>
      </c>
      <c r="F212" s="359"/>
      <c r="G212" s="355"/>
      <c r="H212" s="355"/>
      <c r="I212" s="355"/>
      <c r="J212" s="359"/>
      <c r="K212" s="355"/>
      <c r="L212" s="355"/>
      <c r="M212" s="355"/>
      <c r="N212" s="360">
        <v>1039</v>
      </c>
      <c r="P212"/>
    </row>
    <row r="213" spans="1:32" s="162" customFormat="1" ht="18.95" hidden="1" customHeight="1">
      <c r="A213" s="125"/>
      <c r="B213" s="126"/>
      <c r="C213" s="126"/>
      <c r="D213" s="17"/>
      <c r="E213" s="127" t="s">
        <v>267</v>
      </c>
      <c r="F213" s="21"/>
      <c r="G213" s="16"/>
      <c r="H213" s="16"/>
      <c r="I213" s="16"/>
      <c r="J213" s="21"/>
      <c r="K213" s="16"/>
      <c r="L213" s="16"/>
      <c r="M213" s="16"/>
      <c r="N213" s="18">
        <v>2431</v>
      </c>
      <c r="P213"/>
    </row>
    <row r="214" spans="1:32" s="162" customFormat="1" ht="18.95" hidden="1" customHeight="1">
      <c r="A214" s="356"/>
      <c r="B214" s="274"/>
      <c r="C214" s="274"/>
      <c r="D214" s="357"/>
      <c r="E214" s="358" t="s">
        <v>267</v>
      </c>
      <c r="F214" s="359"/>
      <c r="G214" s="355"/>
      <c r="H214" s="355"/>
      <c r="I214" s="355"/>
      <c r="J214" s="359"/>
      <c r="K214" s="355"/>
      <c r="L214" s="355"/>
      <c r="M214" s="355"/>
      <c r="N214" s="360" t="s">
        <v>268</v>
      </c>
      <c r="P214"/>
    </row>
    <row r="215" spans="1:32" s="162" customFormat="1" ht="18.95" hidden="1" customHeight="1">
      <c r="A215" s="125"/>
      <c r="B215" s="126"/>
      <c r="C215" s="126"/>
      <c r="D215" s="17"/>
      <c r="E215" s="127" t="s">
        <v>267</v>
      </c>
      <c r="F215" s="21"/>
      <c r="G215" s="16"/>
      <c r="H215" s="16"/>
      <c r="I215" s="16"/>
      <c r="J215" s="21"/>
      <c r="K215" s="16"/>
      <c r="L215" s="16"/>
      <c r="M215" s="16"/>
      <c r="N215" s="18" t="s">
        <v>268</v>
      </c>
      <c r="P215"/>
    </row>
    <row r="216" spans="1:32" s="162" customFormat="1" ht="18.95" hidden="1" customHeight="1">
      <c r="A216" s="356"/>
      <c r="B216" s="274"/>
      <c r="C216" s="274"/>
      <c r="D216" s="357"/>
      <c r="E216" s="358" t="s">
        <v>267</v>
      </c>
      <c r="F216" s="359"/>
      <c r="G216" s="355"/>
      <c r="H216" s="355"/>
      <c r="I216" s="355"/>
      <c r="J216" s="359"/>
      <c r="K216" s="355"/>
      <c r="L216" s="355"/>
      <c r="M216" s="355"/>
      <c r="N216" s="360" t="s">
        <v>268</v>
      </c>
      <c r="P216"/>
    </row>
    <row r="217" spans="1:32" s="162" customFormat="1" ht="18.95" hidden="1" customHeight="1">
      <c r="A217" s="125"/>
      <c r="B217" s="126"/>
      <c r="C217" s="126"/>
      <c r="D217" s="17"/>
      <c r="E217" s="127" t="s">
        <v>267</v>
      </c>
      <c r="F217" s="21"/>
      <c r="G217" s="16"/>
      <c r="H217" s="16"/>
      <c r="I217" s="16"/>
      <c r="J217" s="21"/>
      <c r="K217" s="16"/>
      <c r="L217" s="16"/>
      <c r="M217" s="16"/>
      <c r="N217" s="18" t="s">
        <v>268</v>
      </c>
      <c r="P217"/>
    </row>
    <row r="218" spans="1:32" s="162" customFormat="1" ht="18.95" hidden="1" customHeight="1">
      <c r="A218" s="356"/>
      <c r="B218" s="274"/>
      <c r="C218" s="274"/>
      <c r="D218" s="357"/>
      <c r="E218" s="358" t="s">
        <v>267</v>
      </c>
      <c r="F218" s="359"/>
      <c r="G218" s="355"/>
      <c r="H218" s="355"/>
      <c r="I218" s="355"/>
      <c r="J218" s="359"/>
      <c r="K218" s="355"/>
      <c r="L218" s="355"/>
      <c r="M218" s="355"/>
      <c r="N218" s="360" t="s">
        <v>268</v>
      </c>
      <c r="P218"/>
    </row>
    <row r="219" spans="1:32" s="162" customFormat="1" ht="18.95" hidden="1" customHeight="1">
      <c r="A219" s="125"/>
      <c r="B219" s="126"/>
      <c r="C219" s="126"/>
      <c r="D219" s="17"/>
      <c r="E219" s="127" t="s">
        <v>267</v>
      </c>
      <c r="F219" s="21"/>
      <c r="G219" s="16"/>
      <c r="H219" s="16"/>
      <c r="I219" s="16"/>
      <c r="J219" s="21"/>
      <c r="K219" s="16"/>
      <c r="L219" s="16"/>
      <c r="M219" s="16"/>
      <c r="N219" s="18" t="s">
        <v>268</v>
      </c>
      <c r="P219"/>
    </row>
    <row r="220" spans="1:32" s="162" customFormat="1" ht="18.95" hidden="1" customHeight="1">
      <c r="A220" s="356"/>
      <c r="B220" s="274"/>
      <c r="C220" s="274"/>
      <c r="D220" s="357"/>
      <c r="E220" s="358" t="s">
        <v>267</v>
      </c>
      <c r="F220" s="359"/>
      <c r="G220" s="355"/>
      <c r="H220" s="355"/>
      <c r="I220" s="355"/>
      <c r="J220" s="359"/>
      <c r="K220" s="355"/>
      <c r="L220" s="355"/>
      <c r="M220" s="355"/>
      <c r="N220" s="360" t="s">
        <v>268</v>
      </c>
      <c r="P220"/>
    </row>
    <row r="221" spans="1:32" s="162" customFormat="1" ht="18.95" hidden="1" customHeight="1">
      <c r="A221" s="125"/>
      <c r="B221" s="126"/>
      <c r="C221" s="126"/>
      <c r="D221" s="17"/>
      <c r="E221" s="127" t="s">
        <v>267</v>
      </c>
      <c r="F221" s="21"/>
      <c r="G221" s="16"/>
      <c r="H221" s="16"/>
      <c r="I221" s="16"/>
      <c r="J221" s="21"/>
      <c r="K221" s="16"/>
      <c r="L221" s="16"/>
      <c r="M221" s="16"/>
      <c r="N221" s="18" t="s">
        <v>268</v>
      </c>
      <c r="P221"/>
    </row>
    <row r="222" spans="1:32" s="162" customFormat="1" ht="18.95" hidden="1" customHeight="1">
      <c r="A222" s="356"/>
      <c r="B222" s="274"/>
      <c r="C222" s="274"/>
      <c r="D222" s="357"/>
      <c r="E222" s="358" t="s">
        <v>267</v>
      </c>
      <c r="F222" s="359"/>
      <c r="G222" s="355"/>
      <c r="H222" s="355"/>
      <c r="I222" s="355"/>
      <c r="J222" s="359"/>
      <c r="K222" s="355"/>
      <c r="L222" s="355"/>
      <c r="M222" s="355"/>
      <c r="N222" s="360" t="s">
        <v>268</v>
      </c>
      <c r="P222"/>
    </row>
    <row r="223" spans="1:32" s="162" customFormat="1" ht="18.95" hidden="1" customHeight="1">
      <c r="A223" s="125"/>
      <c r="B223" s="126"/>
      <c r="C223" s="126"/>
      <c r="D223" s="17"/>
      <c r="E223" s="127" t="s">
        <v>267</v>
      </c>
      <c r="F223" s="21"/>
      <c r="G223" s="16"/>
      <c r="H223" s="16"/>
      <c r="I223" s="16"/>
      <c r="J223" s="21"/>
      <c r="K223" s="16"/>
      <c r="L223" s="16"/>
      <c r="M223" s="16"/>
      <c r="N223" s="18" t="s">
        <v>268</v>
      </c>
      <c r="P223"/>
    </row>
    <row r="224" spans="1:32" ht="18.95" hidden="1" customHeight="1">
      <c r="A224" s="356"/>
      <c r="B224" s="274"/>
      <c r="C224" s="274"/>
      <c r="D224" s="357"/>
      <c r="E224" s="358" t="s">
        <v>267</v>
      </c>
      <c r="F224" s="359"/>
      <c r="G224" s="355"/>
      <c r="H224" s="355"/>
      <c r="I224" s="355"/>
      <c r="J224" s="359"/>
      <c r="K224" s="355"/>
      <c r="L224" s="355"/>
      <c r="M224" s="355"/>
      <c r="N224" s="360" t="s">
        <v>268</v>
      </c>
      <c r="O224" s="162"/>
      <c r="P224"/>
      <c r="Q224" s="162"/>
      <c r="R224" s="162"/>
      <c r="S224" s="162"/>
      <c r="T224" s="162"/>
      <c r="U224" s="162"/>
      <c r="V224" s="162"/>
      <c r="W224" s="162"/>
      <c r="X224" s="162"/>
      <c r="Y224" s="162"/>
      <c r="Z224" s="162"/>
      <c r="AA224" s="162"/>
      <c r="AB224" s="162"/>
      <c r="AC224" s="162"/>
      <c r="AD224" s="162"/>
      <c r="AE224" s="162"/>
      <c r="AF224" s="162"/>
    </row>
    <row r="225" spans="1:32" s="162" customFormat="1" ht="18.95" hidden="1" customHeight="1">
      <c r="A225" s="125"/>
      <c r="B225" s="126"/>
      <c r="C225" s="126"/>
      <c r="D225" s="17"/>
      <c r="E225" s="127" t="s">
        <v>267</v>
      </c>
      <c r="F225" s="21"/>
      <c r="G225" s="16"/>
      <c r="H225" s="16"/>
      <c r="I225" s="16"/>
      <c r="J225" s="21"/>
      <c r="K225" s="16"/>
      <c r="L225" s="16"/>
      <c r="M225" s="16"/>
      <c r="N225" s="18" t="s">
        <v>268</v>
      </c>
      <c r="P225"/>
    </row>
    <row r="226" spans="1:32" s="162" customFormat="1" ht="18.95" hidden="1" customHeight="1">
      <c r="A226" s="356"/>
      <c r="B226" s="274"/>
      <c r="C226" s="274"/>
      <c r="D226" s="357"/>
      <c r="E226" s="358" t="s">
        <v>267</v>
      </c>
      <c r="F226" s="359"/>
      <c r="G226" s="355"/>
      <c r="H226" s="355"/>
      <c r="I226" s="355"/>
      <c r="J226" s="359"/>
      <c r="K226" s="355"/>
      <c r="L226" s="355"/>
      <c r="M226" s="355"/>
      <c r="N226" s="360" t="s">
        <v>268</v>
      </c>
      <c r="P226"/>
    </row>
    <row r="227" spans="1:32" s="162" customFormat="1" ht="18.95" hidden="1" customHeight="1">
      <c r="A227" s="125"/>
      <c r="B227" s="126"/>
      <c r="C227" s="126"/>
      <c r="D227" s="17"/>
      <c r="E227" s="127" t="s">
        <v>267</v>
      </c>
      <c r="F227" s="21"/>
      <c r="G227" s="16"/>
      <c r="H227" s="16"/>
      <c r="I227" s="16"/>
      <c r="J227" s="21"/>
      <c r="K227" s="16"/>
      <c r="L227" s="16"/>
      <c r="M227" s="16"/>
      <c r="N227" s="18" t="s">
        <v>268</v>
      </c>
      <c r="P227"/>
    </row>
    <row r="228" spans="1:32" s="162" customFormat="1" ht="18.95" hidden="1" customHeight="1">
      <c r="A228" s="356"/>
      <c r="B228" s="274"/>
      <c r="C228" s="274"/>
      <c r="D228" s="357"/>
      <c r="E228" s="358" t="s">
        <v>267</v>
      </c>
      <c r="F228" s="359"/>
      <c r="G228" s="355"/>
      <c r="H228" s="355"/>
      <c r="I228" s="355"/>
      <c r="J228" s="359"/>
      <c r="K228" s="355"/>
      <c r="L228" s="355"/>
      <c r="M228" s="355"/>
      <c r="N228" s="360" t="s">
        <v>268</v>
      </c>
      <c r="P228"/>
    </row>
    <row r="229" spans="1:32" ht="18.95" hidden="1" customHeight="1">
      <c r="A229" s="125"/>
      <c r="B229" s="126"/>
      <c r="C229" s="126"/>
      <c r="D229" s="17"/>
      <c r="E229" s="127" t="s">
        <v>267</v>
      </c>
      <c r="F229" s="21"/>
      <c r="G229" s="16"/>
      <c r="H229" s="16"/>
      <c r="I229" s="16"/>
      <c r="J229" s="21"/>
      <c r="K229" s="16"/>
      <c r="L229" s="16"/>
      <c r="M229" s="16"/>
      <c r="N229" s="18" t="s">
        <v>268</v>
      </c>
      <c r="O229" s="162"/>
      <c r="P229"/>
      <c r="Q229" s="162"/>
      <c r="R229" s="162"/>
      <c r="S229" s="162"/>
      <c r="T229" s="162"/>
      <c r="U229" s="162"/>
      <c r="V229" s="162"/>
      <c r="W229" s="162"/>
      <c r="X229" s="162"/>
      <c r="Y229" s="162"/>
      <c r="Z229" s="162"/>
      <c r="AA229" s="162"/>
      <c r="AB229" s="162"/>
      <c r="AC229" s="162"/>
      <c r="AD229" s="162"/>
      <c r="AE229" s="162"/>
      <c r="AF229" s="162"/>
    </row>
    <row r="230" spans="1:32" ht="18.95" hidden="1" customHeight="1">
      <c r="A230" s="356"/>
      <c r="B230" s="274"/>
      <c r="C230" s="274"/>
      <c r="D230" s="357"/>
      <c r="E230" s="358" t="s">
        <v>267</v>
      </c>
      <c r="F230" s="359"/>
      <c r="G230" s="355"/>
      <c r="H230" s="355"/>
      <c r="I230" s="355"/>
      <c r="J230" s="359"/>
      <c r="K230" s="355"/>
      <c r="L230" s="355"/>
      <c r="M230" s="355"/>
      <c r="N230" s="360" t="s">
        <v>268</v>
      </c>
      <c r="O230" s="162"/>
      <c r="P230"/>
      <c r="Q230" s="162"/>
      <c r="R230" s="162"/>
      <c r="S230" s="162"/>
      <c r="T230" s="162"/>
      <c r="U230" s="162"/>
      <c r="V230" s="162"/>
      <c r="W230" s="162"/>
      <c r="X230" s="162"/>
      <c r="Y230" s="162"/>
      <c r="Z230" s="162"/>
      <c r="AA230" s="162"/>
      <c r="AB230" s="162"/>
      <c r="AC230" s="162"/>
      <c r="AD230" s="162"/>
      <c r="AE230" s="162"/>
      <c r="AF230" s="162"/>
    </row>
    <row r="231" spans="1:32" ht="18.95" hidden="1" customHeight="1">
      <c r="A231" s="125"/>
      <c r="B231" s="126"/>
      <c r="C231" s="126"/>
      <c r="D231" s="17"/>
      <c r="E231" s="127" t="s">
        <v>267</v>
      </c>
      <c r="F231" s="21"/>
      <c r="G231" s="16"/>
      <c r="H231" s="16"/>
      <c r="I231" s="16"/>
      <c r="J231" s="21"/>
      <c r="K231" s="16"/>
      <c r="L231" s="16"/>
      <c r="M231" s="16"/>
      <c r="N231" s="18" t="s">
        <v>268</v>
      </c>
      <c r="O231" s="162"/>
      <c r="P231"/>
      <c r="Q231" s="162"/>
      <c r="R231" s="162"/>
      <c r="S231" s="162"/>
      <c r="T231" s="162"/>
      <c r="U231" s="162"/>
      <c r="V231" s="162"/>
      <c r="W231" s="162"/>
      <c r="X231" s="162"/>
      <c r="Y231" s="162"/>
      <c r="Z231" s="162"/>
      <c r="AA231" s="162"/>
      <c r="AB231" s="162"/>
      <c r="AC231" s="162"/>
      <c r="AD231" s="162"/>
      <c r="AE231" s="162"/>
      <c r="AF231" s="162"/>
    </row>
    <row r="232" spans="1:32" ht="18.95" hidden="1" customHeight="1">
      <c r="A232" s="356"/>
      <c r="B232" s="274"/>
      <c r="C232" s="274"/>
      <c r="D232" s="357"/>
      <c r="E232" s="358" t="s">
        <v>267</v>
      </c>
      <c r="F232" s="359"/>
      <c r="G232" s="355"/>
      <c r="H232" s="355"/>
      <c r="I232" s="355"/>
      <c r="J232" s="359"/>
      <c r="K232" s="355"/>
      <c r="L232" s="355"/>
      <c r="M232" s="355"/>
      <c r="N232" s="360" t="s">
        <v>268</v>
      </c>
      <c r="O232" s="162"/>
      <c r="P232"/>
      <c r="Q232" s="162"/>
      <c r="R232" s="162"/>
      <c r="S232" s="162"/>
      <c r="T232" s="162"/>
      <c r="U232" s="162"/>
      <c r="V232" s="162"/>
      <c r="W232" s="162"/>
      <c r="X232" s="162"/>
      <c r="Y232" s="162"/>
      <c r="Z232" s="162"/>
      <c r="AA232" s="162"/>
      <c r="AB232" s="162"/>
      <c r="AC232" s="162"/>
      <c r="AD232" s="162"/>
      <c r="AE232" s="162"/>
      <c r="AF232" s="162"/>
    </row>
    <row r="233" spans="1:32" ht="18.95" hidden="1" customHeight="1">
      <c r="A233" s="125"/>
      <c r="B233" s="126"/>
      <c r="C233" s="126"/>
      <c r="D233" s="17"/>
      <c r="E233" s="127" t="s">
        <v>267</v>
      </c>
      <c r="F233" s="21"/>
      <c r="G233" s="16"/>
      <c r="H233" s="16"/>
      <c r="I233" s="16"/>
      <c r="J233" s="21"/>
      <c r="K233" s="16"/>
      <c r="L233" s="16"/>
      <c r="M233" s="16"/>
      <c r="N233" s="18" t="s">
        <v>268</v>
      </c>
      <c r="O233" s="162"/>
      <c r="P233"/>
      <c r="Q233" s="162"/>
      <c r="R233" s="162"/>
      <c r="S233" s="162"/>
      <c r="T233" s="162"/>
      <c r="U233" s="162"/>
      <c r="V233" s="162"/>
      <c r="W233" s="162"/>
      <c r="X233" s="162"/>
      <c r="Y233" s="162"/>
      <c r="Z233" s="162"/>
      <c r="AA233" s="162"/>
      <c r="AB233" s="162"/>
      <c r="AC233" s="162"/>
      <c r="AD233" s="162"/>
      <c r="AE233" s="162"/>
      <c r="AF233" s="162"/>
    </row>
    <row r="234" spans="1:32" ht="18.95" hidden="1" customHeight="1">
      <c r="A234" s="356"/>
      <c r="B234" s="274"/>
      <c r="C234" s="274"/>
      <c r="D234" s="357"/>
      <c r="E234" s="358" t="s">
        <v>267</v>
      </c>
      <c r="F234" s="359"/>
      <c r="G234" s="355"/>
      <c r="H234" s="355"/>
      <c r="I234" s="355"/>
      <c r="J234" s="359"/>
      <c r="K234" s="355"/>
      <c r="L234" s="355"/>
      <c r="M234" s="355"/>
      <c r="N234" s="360" t="s">
        <v>268</v>
      </c>
      <c r="O234" s="162"/>
      <c r="P234"/>
      <c r="Q234" s="162"/>
      <c r="R234" s="162"/>
      <c r="S234" s="162"/>
      <c r="T234" s="162"/>
      <c r="U234" s="162"/>
      <c r="V234" s="162"/>
      <c r="W234" s="162"/>
      <c r="X234" s="162"/>
      <c r="Y234" s="162"/>
      <c r="Z234" s="162"/>
      <c r="AA234" s="162"/>
      <c r="AB234" s="162"/>
      <c r="AC234" s="162"/>
      <c r="AD234" s="162"/>
      <c r="AE234" s="162"/>
      <c r="AF234" s="162"/>
    </row>
    <row r="235" spans="1:32" ht="18.95" hidden="1" customHeight="1">
      <c r="A235" s="125"/>
      <c r="B235" s="126"/>
      <c r="C235" s="126"/>
      <c r="D235" s="17"/>
      <c r="E235" s="127" t="s">
        <v>267</v>
      </c>
      <c r="F235" s="21"/>
      <c r="G235" s="16"/>
      <c r="H235" s="16"/>
      <c r="I235" s="16"/>
      <c r="J235" s="21"/>
      <c r="K235" s="16"/>
      <c r="L235" s="16"/>
      <c r="M235" s="16"/>
      <c r="N235" s="18" t="s">
        <v>268</v>
      </c>
      <c r="O235" s="162"/>
      <c r="P235"/>
      <c r="Q235" s="162"/>
      <c r="R235" s="162"/>
      <c r="S235" s="162"/>
      <c r="T235" s="162"/>
      <c r="U235" s="162"/>
      <c r="V235" s="162"/>
      <c r="W235" s="162"/>
      <c r="X235" s="162"/>
      <c r="Y235" s="162"/>
      <c r="Z235" s="162"/>
      <c r="AA235" s="162"/>
      <c r="AB235" s="162"/>
      <c r="AC235" s="162"/>
      <c r="AD235" s="162"/>
      <c r="AE235" s="162"/>
      <c r="AF235" s="162"/>
    </row>
    <row r="236" spans="1:32" ht="18.95" hidden="1" customHeight="1">
      <c r="A236" s="356"/>
      <c r="B236" s="274"/>
      <c r="C236" s="274"/>
      <c r="D236" s="357"/>
      <c r="E236" s="358" t="s">
        <v>267</v>
      </c>
      <c r="F236" s="359"/>
      <c r="G236" s="355"/>
      <c r="H236" s="355"/>
      <c r="I236" s="355"/>
      <c r="J236" s="359"/>
      <c r="K236" s="355"/>
      <c r="L236" s="355"/>
      <c r="M236" s="355"/>
      <c r="N236" s="360" t="s">
        <v>268</v>
      </c>
      <c r="O236" s="162"/>
      <c r="P236"/>
      <c r="Q236" s="162"/>
      <c r="R236" s="162"/>
      <c r="S236" s="162"/>
      <c r="T236" s="162"/>
      <c r="U236" s="162"/>
      <c r="V236" s="162"/>
      <c r="W236" s="162"/>
      <c r="X236" s="162"/>
      <c r="Y236" s="162"/>
      <c r="Z236" s="162"/>
      <c r="AA236" s="162"/>
      <c r="AB236" s="162"/>
      <c r="AC236" s="162"/>
      <c r="AD236" s="162"/>
      <c r="AE236" s="162"/>
      <c r="AF236" s="162"/>
    </row>
    <row r="237" spans="1:32" ht="18.95" hidden="1" customHeight="1">
      <c r="A237" s="125"/>
      <c r="B237" s="126"/>
      <c r="C237" s="126"/>
      <c r="D237" s="17"/>
      <c r="E237" s="127" t="s">
        <v>267</v>
      </c>
      <c r="F237" s="21"/>
      <c r="G237" s="16"/>
      <c r="H237" s="16"/>
      <c r="I237" s="16"/>
      <c r="J237" s="21"/>
      <c r="K237" s="16"/>
      <c r="L237" s="16"/>
      <c r="M237" s="16"/>
      <c r="N237" s="18" t="s">
        <v>268</v>
      </c>
      <c r="O237" s="162"/>
      <c r="P237"/>
      <c r="Q237" s="162"/>
      <c r="R237" s="162"/>
      <c r="S237" s="162"/>
      <c r="T237" s="162"/>
      <c r="U237" s="162"/>
      <c r="V237" s="162"/>
      <c r="W237" s="162"/>
      <c r="X237" s="162"/>
      <c r="Y237" s="162"/>
      <c r="Z237" s="162"/>
      <c r="AA237" s="162"/>
      <c r="AB237" s="162"/>
      <c r="AC237" s="162"/>
      <c r="AD237" s="162"/>
      <c r="AE237" s="162"/>
      <c r="AF237" s="162"/>
    </row>
    <row r="238" spans="1:32" ht="18.95" hidden="1" customHeight="1" thickBot="1">
      <c r="A238" s="361"/>
      <c r="B238" s="347"/>
      <c r="C238" s="347"/>
      <c r="D238" s="362"/>
      <c r="E238" s="363" t="s">
        <v>267</v>
      </c>
      <c r="F238" s="364"/>
      <c r="G238" s="365"/>
      <c r="H238" s="365"/>
      <c r="I238" s="365"/>
      <c r="J238" s="364"/>
      <c r="K238" s="365"/>
      <c r="L238" s="365"/>
      <c r="M238" s="365"/>
      <c r="N238" s="366" t="s">
        <v>268</v>
      </c>
      <c r="O238" s="162"/>
      <c r="P238"/>
      <c r="Q238" s="162"/>
      <c r="R238" s="162"/>
      <c r="S238" s="162"/>
      <c r="T238" s="162"/>
      <c r="U238" s="162"/>
      <c r="V238" s="162"/>
      <c r="W238" s="162"/>
      <c r="X238" s="162"/>
      <c r="Y238" s="162"/>
      <c r="Z238" s="162"/>
      <c r="AA238" s="162"/>
      <c r="AB238" s="162"/>
      <c r="AC238" s="162"/>
      <c r="AD238" s="162"/>
      <c r="AE238" s="162"/>
      <c r="AF238" s="162"/>
    </row>
  </sheetData>
  <mergeCells count="6">
    <mergeCell ref="A1:N1"/>
    <mergeCell ref="A2:N2"/>
    <mergeCell ref="B4:B5"/>
    <mergeCell ref="C4:C5"/>
    <mergeCell ref="F4:K4"/>
    <mergeCell ref="L4:L5"/>
  </mergeCells>
  <conditionalFormatting sqref="N190:N238">
    <cfRule type="cellIs" dxfId="49" priority="3" operator="equal">
      <formula>0</formula>
    </cfRule>
  </conditionalFormatting>
  <conditionalFormatting sqref="A6:X99 A101:X119 A123:X189">
    <cfRule type="expression" dxfId="48" priority="1">
      <formula>MOD(ROW(),2)=0</formula>
    </cfRule>
    <cfRule type="expression" priority="2">
      <formula>MOD(ROW(),2)=0</formula>
    </cfRule>
  </conditionalFormatting>
  <printOptions horizontalCentered="1"/>
  <pageMargins left="0.25" right="0.25" top="0.75" bottom="0.75" header="0.3" footer="0.3"/>
  <pageSetup paperSize="3" fitToHeight="0" orientation="landscape" horizontalDpi="1200" verticalDpi="1200" r:id="rId1"/>
  <headerFooter alignWithMargins="0">
    <oddFooter>&amp;L&amp;"Arial,Italic"CST* = NOT COUNTED DUE TO CONSTRUCTION
Sumter County Annual Traffic Counts&amp;CPage &amp;P of &amp;N&amp;R&amp;"Arial,Italic"2019  Volumes Summary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AB531-E9BD-437D-8452-9B9506216156}">
  <sheetPr codeName="Sheet4">
    <tabColor rgb="FFFFFF00"/>
  </sheetPr>
  <dimension ref="A1:O71"/>
  <sheetViews>
    <sheetView topLeftCell="A21" workbookViewId="0">
      <selection activeCell="Q226" sqref="Q226"/>
    </sheetView>
  </sheetViews>
  <sheetFormatPr defaultRowHeight="15"/>
  <cols>
    <col min="2" max="6" width="9.140625" style="13"/>
    <col min="14" max="14" width="13.140625" bestFit="1" customWidth="1"/>
    <col min="15" max="15" width="31" bestFit="1" customWidth="1"/>
  </cols>
  <sheetData>
    <row r="1" spans="1:12" hidden="1">
      <c r="A1" s="92"/>
      <c r="B1" s="90"/>
      <c r="C1" s="90" t="s">
        <v>3</v>
      </c>
      <c r="D1" s="90" t="s">
        <v>4</v>
      </c>
      <c r="E1" s="90" t="s">
        <v>5</v>
      </c>
      <c r="F1" s="90" t="s">
        <v>183</v>
      </c>
      <c r="G1" s="89"/>
      <c r="H1" s="90" t="s">
        <v>191</v>
      </c>
      <c r="I1" s="89"/>
      <c r="J1" s="89"/>
      <c r="K1" s="89"/>
      <c r="L1" s="89"/>
    </row>
    <row r="2" spans="1:12" hidden="1">
      <c r="A2" s="92"/>
      <c r="B2" s="90" t="s">
        <v>144</v>
      </c>
      <c r="C2" s="91">
        <v>0</v>
      </c>
      <c r="D2" s="91">
        <v>670</v>
      </c>
      <c r="E2" s="91">
        <v>740</v>
      </c>
      <c r="F2" s="91">
        <v>740</v>
      </c>
      <c r="G2" s="89"/>
      <c r="H2" s="89" t="s">
        <v>192</v>
      </c>
      <c r="I2" s="89"/>
      <c r="J2" s="89"/>
      <c r="K2" s="89"/>
      <c r="L2" s="89"/>
    </row>
    <row r="3" spans="1:12" hidden="1">
      <c r="A3" s="92"/>
      <c r="B3" s="90" t="s">
        <v>44</v>
      </c>
      <c r="C3" s="91">
        <v>0</v>
      </c>
      <c r="D3" s="91">
        <v>670</v>
      </c>
      <c r="E3" s="91">
        <v>740</v>
      </c>
      <c r="F3" s="91">
        <v>740</v>
      </c>
      <c r="G3" s="89"/>
      <c r="H3" s="89" t="s">
        <v>192</v>
      </c>
      <c r="I3" s="89"/>
      <c r="J3" s="89"/>
      <c r="K3" s="89"/>
      <c r="L3" s="89"/>
    </row>
    <row r="4" spans="1:12" hidden="1">
      <c r="A4" s="92"/>
      <c r="B4" s="90" t="s">
        <v>188</v>
      </c>
      <c r="C4" s="91">
        <v>450</v>
      </c>
      <c r="D4" s="91">
        <v>850</v>
      </c>
      <c r="E4" s="91">
        <v>1200</v>
      </c>
      <c r="F4" s="91">
        <v>1640</v>
      </c>
      <c r="G4" s="89"/>
      <c r="H4" s="89" t="s">
        <v>193</v>
      </c>
      <c r="I4" s="89"/>
      <c r="J4" s="89"/>
      <c r="K4" s="89"/>
      <c r="L4" s="89"/>
    </row>
    <row r="5" spans="1:12" hidden="1">
      <c r="A5" s="92"/>
      <c r="B5" s="90" t="s">
        <v>143</v>
      </c>
      <c r="C5" s="91">
        <v>240</v>
      </c>
      <c r="D5" s="91">
        <v>430</v>
      </c>
      <c r="E5" s="91">
        <v>740</v>
      </c>
      <c r="F5" s="91">
        <v>1490</v>
      </c>
      <c r="G5" s="89"/>
      <c r="H5" s="89" t="s">
        <v>198</v>
      </c>
      <c r="I5" s="89"/>
      <c r="J5" s="89"/>
      <c r="K5" s="89"/>
      <c r="L5" s="89"/>
    </row>
    <row r="6" spans="1:12" hidden="1">
      <c r="A6" s="93" t="s">
        <v>662</v>
      </c>
      <c r="B6" s="90" t="s">
        <v>148</v>
      </c>
      <c r="C6" s="91">
        <v>0</v>
      </c>
      <c r="D6" s="91">
        <v>830</v>
      </c>
      <c r="E6" s="91">
        <v>880</v>
      </c>
      <c r="F6" s="91">
        <v>880</v>
      </c>
      <c r="G6" s="89"/>
      <c r="H6" s="89" t="s">
        <v>195</v>
      </c>
      <c r="I6" s="89"/>
      <c r="J6" s="89"/>
      <c r="K6" s="89"/>
      <c r="L6" s="89"/>
    </row>
    <row r="7" spans="1:12" hidden="1">
      <c r="A7" s="93" t="s">
        <v>663</v>
      </c>
      <c r="B7" s="90" t="s">
        <v>185</v>
      </c>
      <c r="C7" s="91">
        <v>0</v>
      </c>
      <c r="D7" s="91">
        <v>370</v>
      </c>
      <c r="E7" s="91">
        <v>750</v>
      </c>
      <c r="F7" s="91">
        <v>800</v>
      </c>
      <c r="G7" s="89"/>
      <c r="H7" s="89" t="s">
        <v>196</v>
      </c>
      <c r="I7" s="89"/>
      <c r="J7" s="89"/>
      <c r="K7" s="89"/>
      <c r="L7" s="89"/>
    </row>
    <row r="8" spans="1:12" hidden="1">
      <c r="A8" s="93" t="s">
        <v>664</v>
      </c>
      <c r="B8" s="90" t="s">
        <v>13</v>
      </c>
      <c r="C8" s="91">
        <v>0</v>
      </c>
      <c r="D8" s="91">
        <v>370</v>
      </c>
      <c r="E8" s="91">
        <v>750</v>
      </c>
      <c r="F8" s="91">
        <v>800</v>
      </c>
      <c r="G8" s="89"/>
      <c r="H8" s="89" t="s">
        <v>196</v>
      </c>
      <c r="I8" s="89"/>
      <c r="J8" s="89"/>
      <c r="K8" s="89"/>
      <c r="L8" s="89"/>
    </row>
    <row r="9" spans="1:12" hidden="1">
      <c r="A9" s="92"/>
      <c r="B9" s="90" t="s">
        <v>186</v>
      </c>
      <c r="C9" s="91">
        <v>0</v>
      </c>
      <c r="D9" s="91">
        <v>830</v>
      </c>
      <c r="E9" s="91">
        <v>880</v>
      </c>
      <c r="F9" s="91">
        <v>880</v>
      </c>
      <c r="G9" s="89"/>
      <c r="H9" s="89" t="s">
        <v>195</v>
      </c>
      <c r="I9" s="89"/>
      <c r="J9" s="89"/>
      <c r="K9" s="89"/>
      <c r="L9" s="89"/>
    </row>
    <row r="10" spans="1:12" hidden="1">
      <c r="A10" s="92"/>
      <c r="B10" s="90" t="s">
        <v>163</v>
      </c>
      <c r="C10" s="91">
        <v>0</v>
      </c>
      <c r="D10" s="91">
        <v>1530</v>
      </c>
      <c r="E10" s="91">
        <v>1580</v>
      </c>
      <c r="F10" s="91">
        <v>1580</v>
      </c>
      <c r="G10" s="89"/>
      <c r="H10" s="89" t="s">
        <v>194</v>
      </c>
      <c r="I10" s="89"/>
      <c r="J10" s="89"/>
      <c r="K10" s="89"/>
      <c r="L10" s="89"/>
    </row>
    <row r="11" spans="1:12" hidden="1">
      <c r="A11" s="92"/>
      <c r="B11" s="90" t="s">
        <v>154</v>
      </c>
      <c r="C11" s="91">
        <v>1680</v>
      </c>
      <c r="D11" s="91">
        <v>2500</v>
      </c>
      <c r="E11" s="91">
        <v>3040</v>
      </c>
      <c r="F11" s="91">
        <v>3500</v>
      </c>
      <c r="G11" s="89"/>
      <c r="H11" s="89" t="s">
        <v>197</v>
      </c>
      <c r="I11" s="89"/>
      <c r="J11" s="89"/>
      <c r="K11" s="89"/>
      <c r="L11" s="89"/>
    </row>
    <row r="12" spans="1:12" hidden="1">
      <c r="A12" s="92"/>
      <c r="B12" s="90" t="s">
        <v>139</v>
      </c>
      <c r="C12" s="91">
        <v>1340</v>
      </c>
      <c r="D12" s="91">
        <v>2100</v>
      </c>
      <c r="E12" s="91">
        <v>2660</v>
      </c>
      <c r="F12" s="91">
        <v>3020</v>
      </c>
      <c r="G12" s="89"/>
      <c r="H12" s="89" t="s">
        <v>198</v>
      </c>
      <c r="I12" s="89"/>
      <c r="J12" s="89"/>
      <c r="K12" s="89"/>
      <c r="L12" s="89"/>
    </row>
    <row r="13" spans="1:12" hidden="1">
      <c r="A13" s="92"/>
      <c r="B13" s="90" t="s">
        <v>189</v>
      </c>
      <c r="C13" s="91">
        <v>0</v>
      </c>
      <c r="D13" s="91">
        <v>1740</v>
      </c>
      <c r="E13" s="91">
        <v>1820</v>
      </c>
      <c r="F13" s="91">
        <v>1820</v>
      </c>
      <c r="G13" s="89"/>
      <c r="H13" s="89" t="s">
        <v>199</v>
      </c>
      <c r="I13" s="89"/>
      <c r="J13" s="89"/>
      <c r="K13" s="89"/>
      <c r="L13" s="89"/>
    </row>
    <row r="14" spans="1:12" hidden="1">
      <c r="A14" s="92"/>
      <c r="B14" s="90" t="s">
        <v>155</v>
      </c>
      <c r="C14" s="91">
        <v>2200</v>
      </c>
      <c r="D14" s="91">
        <v>2880</v>
      </c>
      <c r="E14" s="91">
        <v>3440</v>
      </c>
      <c r="F14" s="91">
        <v>3580</v>
      </c>
      <c r="G14" s="89"/>
      <c r="H14" s="89" t="s">
        <v>200</v>
      </c>
      <c r="I14" s="89"/>
      <c r="J14" s="89"/>
      <c r="K14" s="89"/>
      <c r="L14" s="89"/>
    </row>
    <row r="15" spans="1:12" hidden="1">
      <c r="A15" s="92"/>
      <c r="B15" s="90" t="s">
        <v>52</v>
      </c>
      <c r="C15" s="91">
        <v>0</v>
      </c>
      <c r="D15" s="91">
        <v>1910</v>
      </c>
      <c r="E15" s="91">
        <v>2000</v>
      </c>
      <c r="F15" s="91">
        <v>2000</v>
      </c>
      <c r="G15" s="89"/>
      <c r="H15" s="89" t="s">
        <v>201</v>
      </c>
      <c r="I15" s="89"/>
      <c r="J15" s="89"/>
      <c r="K15" s="89"/>
      <c r="L15" s="89"/>
    </row>
    <row r="16" spans="1:12" hidden="1">
      <c r="A16" s="92"/>
      <c r="B16" s="90" t="s">
        <v>26</v>
      </c>
      <c r="C16" s="91">
        <v>0</v>
      </c>
      <c r="D16" s="91">
        <v>730</v>
      </c>
      <c r="E16" s="91">
        <v>1630</v>
      </c>
      <c r="F16" s="91">
        <v>1700</v>
      </c>
      <c r="G16" s="89"/>
      <c r="H16" s="89" t="s">
        <v>202</v>
      </c>
      <c r="I16" s="89"/>
      <c r="J16" s="89"/>
      <c r="K16" s="89"/>
      <c r="L16" s="89"/>
    </row>
    <row r="17" spans="1:12" hidden="1">
      <c r="A17" s="92"/>
      <c r="B17" s="90" t="s">
        <v>187</v>
      </c>
      <c r="C17" s="91">
        <v>0</v>
      </c>
      <c r="D17" s="91">
        <v>1910</v>
      </c>
      <c r="E17" s="91">
        <v>2000</v>
      </c>
      <c r="F17" s="91">
        <v>2000</v>
      </c>
      <c r="G17" s="89"/>
      <c r="H17" s="89" t="s">
        <v>201</v>
      </c>
      <c r="I17" s="89"/>
      <c r="J17" s="89"/>
      <c r="K17" s="89"/>
      <c r="L17" s="89"/>
    </row>
    <row r="18" spans="1:12" hidden="1">
      <c r="A18" s="92"/>
      <c r="B18" s="90" t="s">
        <v>169</v>
      </c>
      <c r="C18" s="91">
        <v>1810</v>
      </c>
      <c r="D18" s="91">
        <v>2560</v>
      </c>
      <c r="E18" s="91">
        <v>3240</v>
      </c>
      <c r="F18" s="91">
        <v>3590</v>
      </c>
      <c r="G18" s="89"/>
      <c r="H18" s="89" t="s">
        <v>203</v>
      </c>
      <c r="I18" s="89"/>
      <c r="J18" s="89"/>
      <c r="K18" s="89"/>
      <c r="L18" s="89"/>
    </row>
    <row r="19" spans="1:12" hidden="1">
      <c r="A19" s="92"/>
      <c r="B19" s="90" t="s">
        <v>156</v>
      </c>
      <c r="C19" s="91">
        <v>1680</v>
      </c>
      <c r="D19" s="91">
        <v>2500</v>
      </c>
      <c r="E19" s="91">
        <v>3040</v>
      </c>
      <c r="F19" s="91">
        <v>3500</v>
      </c>
      <c r="G19" s="89"/>
      <c r="H19" s="89" t="s">
        <v>205</v>
      </c>
      <c r="I19" s="89"/>
      <c r="J19" s="89"/>
      <c r="K19" s="89"/>
      <c r="L19" s="89"/>
    </row>
    <row r="20" spans="1:12" hidden="1">
      <c r="A20" s="92"/>
      <c r="B20" s="90" t="s">
        <v>160</v>
      </c>
      <c r="C20" s="91">
        <v>0</v>
      </c>
      <c r="D20" s="91">
        <v>2940</v>
      </c>
      <c r="E20" s="91">
        <v>3020</v>
      </c>
      <c r="F20" s="91">
        <v>3020</v>
      </c>
      <c r="G20" s="89"/>
      <c r="H20" s="89" t="s">
        <v>204</v>
      </c>
      <c r="I20" s="89"/>
      <c r="J20" s="89"/>
      <c r="K20" s="89"/>
      <c r="L20" s="89"/>
    </row>
    <row r="21" spans="1:12">
      <c r="A21" s="520" t="s">
        <v>665</v>
      </c>
      <c r="B21" s="520"/>
      <c r="C21" s="520"/>
      <c r="D21" s="520"/>
      <c r="E21" s="520"/>
      <c r="F21" s="520"/>
      <c r="G21" s="520"/>
      <c r="H21" s="520"/>
      <c r="I21" s="520"/>
      <c r="J21" s="520"/>
      <c r="K21" s="520"/>
      <c r="L21" s="520"/>
    </row>
    <row r="22" spans="1:12">
      <c r="C22" s="13" t="s">
        <v>3</v>
      </c>
      <c r="D22" s="13" t="s">
        <v>4</v>
      </c>
      <c r="E22" s="13" t="s">
        <v>5</v>
      </c>
      <c r="F22" s="13" t="s">
        <v>183</v>
      </c>
      <c r="H22" s="13" t="s">
        <v>191</v>
      </c>
    </row>
    <row r="23" spans="1:12">
      <c r="A23" s="13">
        <f>COUNTIF('Cleanup TMS'!T:T,'2020_CapacityTable'!B23)</f>
        <v>5</v>
      </c>
      <c r="B23" s="12" t="s">
        <v>209</v>
      </c>
      <c r="C23" s="14">
        <v>0</v>
      </c>
      <c r="D23" s="14">
        <v>670</v>
      </c>
      <c r="E23" s="14">
        <v>740</v>
      </c>
      <c r="F23" s="14">
        <v>740</v>
      </c>
      <c r="H23" t="s">
        <v>192</v>
      </c>
    </row>
    <row r="24" spans="1:12" s="97" customFormat="1">
      <c r="A24" s="94">
        <f>COUNTIF('Cleanup TMS'!T:T,'2020_CapacityTable'!B24)</f>
        <v>8</v>
      </c>
      <c r="B24" s="95" t="s">
        <v>210</v>
      </c>
      <c r="C24" s="96">
        <v>540</v>
      </c>
      <c r="D24" s="96">
        <v>820</v>
      </c>
      <c r="E24" s="96">
        <v>1110</v>
      </c>
      <c r="F24" s="96">
        <v>1490</v>
      </c>
      <c r="H24" s="97" t="s">
        <v>234</v>
      </c>
    </row>
    <row r="25" spans="1:12" s="97" customFormat="1">
      <c r="A25" s="94">
        <f>COUNTIF('Cleanup TMS'!T:T,'2020_CapacityTable'!B25)</f>
        <v>12</v>
      </c>
      <c r="B25" s="95" t="s">
        <v>225</v>
      </c>
      <c r="C25" s="96">
        <v>240</v>
      </c>
      <c r="D25" s="96">
        <v>450</v>
      </c>
      <c r="E25" s="96">
        <v>730</v>
      </c>
      <c r="F25" s="96">
        <v>1490</v>
      </c>
      <c r="H25" s="97" t="s">
        <v>233</v>
      </c>
    </row>
    <row r="26" spans="1:12" s="97" customFormat="1">
      <c r="A26" s="94">
        <f>COUNTIF('Cleanup TMS'!T:T,'2020_CapacityTable'!B26)</f>
        <v>6</v>
      </c>
      <c r="B26" s="95" t="s">
        <v>211</v>
      </c>
      <c r="C26" s="96">
        <v>0</v>
      </c>
      <c r="D26" s="96">
        <v>1530</v>
      </c>
      <c r="E26" s="96">
        <v>1580</v>
      </c>
      <c r="F26" s="96">
        <v>1580</v>
      </c>
      <c r="H26" s="97" t="s">
        <v>194</v>
      </c>
    </row>
    <row r="27" spans="1:12" s="97" customFormat="1">
      <c r="A27" s="94">
        <f>COUNTIF('Cleanup TMS'!T:T,'2020_CapacityTable'!B27)</f>
        <v>3</v>
      </c>
      <c r="B27" s="95" t="s">
        <v>566</v>
      </c>
      <c r="C27" s="96">
        <v>1630</v>
      </c>
      <c r="D27" s="96">
        <v>2350</v>
      </c>
      <c r="E27" s="96">
        <v>2910</v>
      </c>
      <c r="F27" s="96">
        <v>3280</v>
      </c>
      <c r="H27" s="97" t="s">
        <v>583</v>
      </c>
    </row>
    <row r="28" spans="1:12" s="97" customFormat="1">
      <c r="A28" s="94">
        <f>COUNTIF('Cleanup TMS'!T:T,'2020_CapacityTable'!B28)</f>
        <v>2</v>
      </c>
      <c r="B28" s="95" t="s">
        <v>212</v>
      </c>
      <c r="C28" s="96">
        <v>2010</v>
      </c>
      <c r="D28" s="96">
        <v>2770</v>
      </c>
      <c r="E28" s="96">
        <v>3270</v>
      </c>
      <c r="F28" s="96">
        <v>3650</v>
      </c>
      <c r="H28" s="97" t="s">
        <v>197</v>
      </c>
    </row>
    <row r="29" spans="1:12" s="97" customFormat="1">
      <c r="A29" s="94">
        <f>COUNTIF('Cleanup TMS'!T:T,'2020_CapacityTable'!B29)</f>
        <v>0</v>
      </c>
      <c r="B29" s="95" t="s">
        <v>213</v>
      </c>
      <c r="C29" s="96">
        <v>0</v>
      </c>
      <c r="D29" s="96">
        <v>1530</v>
      </c>
      <c r="E29" s="96">
        <v>1580</v>
      </c>
      <c r="F29" s="96">
        <v>1580</v>
      </c>
      <c r="H29" s="97" t="s">
        <v>194</v>
      </c>
    </row>
    <row r="30" spans="1:12" s="97" customFormat="1">
      <c r="A30" s="94">
        <f>COUNTIF('Cleanup TMS'!T:T,'2020_CapacityTable'!B30)</f>
        <v>6</v>
      </c>
      <c r="B30" s="95" t="s">
        <v>214</v>
      </c>
      <c r="C30" s="96">
        <v>2820</v>
      </c>
      <c r="D30" s="96">
        <v>3990</v>
      </c>
      <c r="E30" s="96">
        <v>4770</v>
      </c>
      <c r="F30" s="96">
        <v>5470</v>
      </c>
      <c r="H30" s="97" t="s">
        <v>205</v>
      </c>
    </row>
    <row r="31" spans="1:12" s="97" customFormat="1">
      <c r="A31" s="94">
        <f>COUNTIF('Cleanup TMS'!T:T,'2020_CapacityTable'!B31)</f>
        <v>0</v>
      </c>
      <c r="B31" s="95" t="s">
        <v>241</v>
      </c>
      <c r="C31" s="96">
        <v>0</v>
      </c>
      <c r="D31" s="96">
        <v>1740</v>
      </c>
      <c r="E31" s="96">
        <v>1820</v>
      </c>
      <c r="F31" s="96">
        <v>1820</v>
      </c>
      <c r="H31" s="97" t="s">
        <v>242</v>
      </c>
    </row>
    <row r="32" spans="1:12" s="97" customFormat="1">
      <c r="A32" s="94">
        <f>COUNTIF('Cleanup TMS'!T:T,'2020_CapacityTable'!B32)</f>
        <v>0</v>
      </c>
      <c r="B32" s="95" t="s">
        <v>215</v>
      </c>
      <c r="C32" s="96">
        <v>2430</v>
      </c>
      <c r="D32" s="96">
        <v>3180</v>
      </c>
      <c r="E32" s="96">
        <v>3790</v>
      </c>
      <c r="F32" s="96">
        <v>3910</v>
      </c>
      <c r="H32" s="97" t="s">
        <v>200</v>
      </c>
    </row>
    <row r="33" spans="1:15" s="97" customFormat="1">
      <c r="A33" s="94">
        <f>COUNTIF('Cleanup TMS'!T:T,'2020_CapacityTable'!B33)</f>
        <v>0</v>
      </c>
      <c r="B33" s="95" t="s">
        <v>216</v>
      </c>
      <c r="C33" s="96">
        <v>0</v>
      </c>
      <c r="D33" s="96">
        <v>830</v>
      </c>
      <c r="E33" s="96">
        <v>880</v>
      </c>
      <c r="F33" s="96">
        <v>880</v>
      </c>
      <c r="H33" s="97" t="s">
        <v>235</v>
      </c>
    </row>
    <row r="34" spans="1:15" s="97" customFormat="1">
      <c r="A34" s="94">
        <f>COUNTIF('Cleanup TMS'!T:T,'2020_CapacityTable'!B34)</f>
        <v>4</v>
      </c>
      <c r="B34" s="95" t="s">
        <v>224</v>
      </c>
      <c r="C34" s="96">
        <v>0</v>
      </c>
      <c r="D34" s="96">
        <v>370</v>
      </c>
      <c r="E34" s="96">
        <v>750</v>
      </c>
      <c r="F34" s="96">
        <v>800</v>
      </c>
      <c r="H34" s="97" t="s">
        <v>236</v>
      </c>
    </row>
    <row r="35" spans="1:15" s="97" customFormat="1">
      <c r="A35" s="94">
        <f>COUNTIF('Cleanup TMS'!T:T,'2020_CapacityTable'!B35)</f>
        <v>1</v>
      </c>
      <c r="B35" s="95" t="s">
        <v>567</v>
      </c>
      <c r="C35" s="96">
        <v>580</v>
      </c>
      <c r="D35" s="96">
        <v>890</v>
      </c>
      <c r="E35" s="96">
        <v>1200</v>
      </c>
      <c r="F35" s="96">
        <v>1610</v>
      </c>
      <c r="H35" s="98" t="str">
        <f t="shared" ref="H35" si="0">H38</f>
        <v>Table 7, Uninterrupted Flow, 1 Lane</v>
      </c>
    </row>
    <row r="36" spans="1:15" s="97" customFormat="1">
      <c r="A36" s="94">
        <f>COUNTIF('Cleanup TMS'!T:T,'2020_CapacityTable'!B36)</f>
        <v>15</v>
      </c>
      <c r="B36" s="95" t="s">
        <v>217</v>
      </c>
      <c r="C36" s="96">
        <v>0</v>
      </c>
      <c r="D36" s="96">
        <v>830</v>
      </c>
      <c r="E36" s="96">
        <v>880</v>
      </c>
      <c r="F36" s="96">
        <v>880</v>
      </c>
      <c r="H36" s="97" t="s">
        <v>235</v>
      </c>
    </row>
    <row r="37" spans="1:15" s="97" customFormat="1">
      <c r="A37" s="94">
        <f>COUNTIF('Cleanup TMS'!T:T,'2020_CapacityTable'!B37)</f>
        <v>68</v>
      </c>
      <c r="B37" s="95" t="s">
        <v>218</v>
      </c>
      <c r="C37" s="96">
        <v>0</v>
      </c>
      <c r="D37" s="96">
        <v>370</v>
      </c>
      <c r="E37" s="96">
        <v>750</v>
      </c>
      <c r="F37" s="96">
        <v>800</v>
      </c>
      <c r="H37" s="97" t="s">
        <v>236</v>
      </c>
    </row>
    <row r="38" spans="1:15" s="97" customFormat="1">
      <c r="A38" s="94">
        <f>COUNTIF('Cleanup TMS'!T:T,'2020_CapacityTable'!B38)</f>
        <v>56</v>
      </c>
      <c r="B38" s="95" t="s">
        <v>232</v>
      </c>
      <c r="C38" s="96">
        <v>580</v>
      </c>
      <c r="D38" s="96">
        <v>890</v>
      </c>
      <c r="E38" s="96">
        <v>1200</v>
      </c>
      <c r="F38" s="96">
        <v>1610</v>
      </c>
      <c r="H38" s="97" t="s">
        <v>237</v>
      </c>
    </row>
    <row r="39" spans="1:15" s="97" customFormat="1">
      <c r="A39" s="94">
        <f>COUNTIF('Cleanup TMS'!T:T,'2020_CapacityTable'!B39)</f>
        <v>31</v>
      </c>
      <c r="B39" s="95" t="s">
        <v>219</v>
      </c>
      <c r="C39" s="96">
        <v>0</v>
      </c>
      <c r="D39" s="96">
        <v>1910</v>
      </c>
      <c r="E39" s="96">
        <v>2000</v>
      </c>
      <c r="F39" s="96">
        <v>2000</v>
      </c>
      <c r="H39" s="97" t="s">
        <v>238</v>
      </c>
    </row>
    <row r="40" spans="1:15" s="97" customFormat="1">
      <c r="A40" s="94">
        <f>COUNTIF('Cleanup TMS'!T:T,'2020_CapacityTable'!B40)</f>
        <v>34</v>
      </c>
      <c r="B40" s="95" t="s">
        <v>220</v>
      </c>
      <c r="C40" s="96">
        <v>0</v>
      </c>
      <c r="D40" s="96">
        <v>730</v>
      </c>
      <c r="E40" s="96">
        <v>1630</v>
      </c>
      <c r="F40" s="96">
        <v>1700</v>
      </c>
      <c r="H40" s="97" t="s">
        <v>239</v>
      </c>
    </row>
    <row r="41" spans="1:15" s="97" customFormat="1">
      <c r="A41" s="94">
        <f>COUNTIF('Cleanup TMS'!T:T,'2020_CapacityTable'!B41)</f>
        <v>1</v>
      </c>
      <c r="B41" s="95" t="s">
        <v>555</v>
      </c>
      <c r="C41" s="96">
        <v>1800</v>
      </c>
      <c r="D41" s="96">
        <v>2600</v>
      </c>
      <c r="E41" s="96">
        <v>3280</v>
      </c>
      <c r="F41" s="96">
        <v>3730</v>
      </c>
      <c r="H41" s="97" t="s">
        <v>203</v>
      </c>
    </row>
    <row r="42" spans="1:15" s="97" customFormat="1">
      <c r="A42" s="94">
        <f>COUNTIF('Cleanup TMS'!T:T,'2020_CapacityTable'!B42)</f>
        <v>3</v>
      </c>
      <c r="B42" s="95" t="s">
        <v>221</v>
      </c>
      <c r="C42" s="96">
        <v>0</v>
      </c>
      <c r="D42" s="96">
        <v>1910</v>
      </c>
      <c r="E42" s="96">
        <v>2000</v>
      </c>
      <c r="F42" s="96">
        <v>2000</v>
      </c>
      <c r="H42" s="97" t="s">
        <v>238</v>
      </c>
    </row>
    <row r="43" spans="1:15" s="97" customFormat="1">
      <c r="A43" s="94">
        <f>COUNTIF('Cleanup TMS'!T:T,'2020_CapacityTable'!B43)</f>
        <v>2</v>
      </c>
      <c r="B43" s="95" t="s">
        <v>222</v>
      </c>
      <c r="C43" s="96">
        <v>0</v>
      </c>
      <c r="D43" s="96">
        <v>730</v>
      </c>
      <c r="E43" s="96">
        <v>1630</v>
      </c>
      <c r="F43" s="96">
        <v>1700</v>
      </c>
      <c r="H43" s="97" t="s">
        <v>239</v>
      </c>
      <c r="O43" s="99"/>
    </row>
    <row r="44" spans="1:15" s="97" customFormat="1">
      <c r="A44" s="94">
        <f>COUNTIF('Cleanup TMS'!T:T,'2020_CapacityTable'!B44)</f>
        <v>2</v>
      </c>
      <c r="B44" s="95" t="s">
        <v>553</v>
      </c>
      <c r="C44" s="96">
        <v>0</v>
      </c>
      <c r="D44" s="96">
        <v>2940</v>
      </c>
      <c r="E44" s="96">
        <v>3020</v>
      </c>
      <c r="F44" s="96">
        <v>3020</v>
      </c>
      <c r="H44" s="97" t="s">
        <v>554</v>
      </c>
      <c r="O44" s="100"/>
    </row>
    <row r="45" spans="1:15" s="97" customFormat="1">
      <c r="A45" s="94">
        <f>COUNTIF('Cleanup TMS'!T:T,'2020_CapacityTable'!B45)</f>
        <v>0</v>
      </c>
      <c r="B45" s="95" t="s">
        <v>223</v>
      </c>
      <c r="C45" s="96">
        <v>0</v>
      </c>
      <c r="D45" s="96">
        <v>1170</v>
      </c>
      <c r="E45" s="96">
        <v>2520</v>
      </c>
      <c r="F45" s="96">
        <v>2560</v>
      </c>
      <c r="H45" s="97" t="s">
        <v>240</v>
      </c>
    </row>
    <row r="46" spans="1:15" s="97" customFormat="1">
      <c r="B46" s="94"/>
      <c r="C46" s="94"/>
      <c r="D46" s="94"/>
      <c r="E46" s="94"/>
      <c r="F46" s="94"/>
    </row>
    <row r="47" spans="1:15" s="97" customFormat="1">
      <c r="B47" s="94"/>
      <c r="C47" s="94"/>
      <c r="D47" s="94"/>
      <c r="E47" s="94"/>
      <c r="F47" s="94"/>
    </row>
    <row r="48" spans="1:15" s="97" customFormat="1">
      <c r="B48" s="94"/>
      <c r="C48" s="94" t="s">
        <v>3</v>
      </c>
      <c r="D48" s="94" t="s">
        <v>4</v>
      </c>
      <c r="E48" s="94" t="s">
        <v>5</v>
      </c>
      <c r="F48" s="94" t="s">
        <v>183</v>
      </c>
      <c r="H48" s="94" t="s">
        <v>191</v>
      </c>
    </row>
    <row r="49" spans="1:8" s="97" customFormat="1">
      <c r="A49" s="94">
        <f>COUNTIF('Cleanup TMS'!T:T,'2020_CapacityTable'!B49)</f>
        <v>5</v>
      </c>
      <c r="B49" s="95" t="s">
        <v>209</v>
      </c>
      <c r="C49" s="96">
        <v>0</v>
      </c>
      <c r="D49" s="96">
        <v>12900</v>
      </c>
      <c r="E49" s="96">
        <v>14200</v>
      </c>
      <c r="F49" s="96">
        <v>14200</v>
      </c>
      <c r="H49" s="97" t="s">
        <v>562</v>
      </c>
    </row>
    <row r="50" spans="1:8" s="97" customFormat="1">
      <c r="A50" s="94">
        <f>COUNTIF('Cleanup TMS'!T:T,'2020_CapacityTable'!B50)</f>
        <v>8</v>
      </c>
      <c r="B50" s="95" t="s">
        <v>210</v>
      </c>
      <c r="C50" s="96">
        <v>10300</v>
      </c>
      <c r="D50" s="96">
        <v>15700</v>
      </c>
      <c r="E50" s="96">
        <v>21300</v>
      </c>
      <c r="F50" s="96">
        <v>28500</v>
      </c>
      <c r="H50" s="97" t="s">
        <v>578</v>
      </c>
    </row>
    <row r="51" spans="1:8" s="97" customFormat="1">
      <c r="A51" s="94">
        <f>COUNTIF('Cleanup TMS'!T:T,'2020_CapacityTable'!B51)</f>
        <v>12</v>
      </c>
      <c r="B51" s="95" t="s">
        <v>225</v>
      </c>
      <c r="C51" s="96">
        <v>4600</v>
      </c>
      <c r="D51" s="96">
        <v>8600</v>
      </c>
      <c r="E51" s="96">
        <v>14000</v>
      </c>
      <c r="F51" s="96">
        <v>28500</v>
      </c>
      <c r="H51" s="97" t="s">
        <v>579</v>
      </c>
    </row>
    <row r="52" spans="1:8" s="97" customFormat="1">
      <c r="A52" s="94">
        <f>COUNTIF('Cleanup TMS'!T:T,'2020_CapacityTable'!B52)</f>
        <v>6</v>
      </c>
      <c r="B52" s="95" t="s">
        <v>211</v>
      </c>
      <c r="C52" s="96">
        <v>0</v>
      </c>
      <c r="D52" s="96">
        <v>29300</v>
      </c>
      <c r="E52" s="96">
        <v>30400</v>
      </c>
      <c r="F52" s="96">
        <v>30400</v>
      </c>
      <c r="H52" s="97" t="s">
        <v>571</v>
      </c>
    </row>
    <row r="53" spans="1:8" s="97" customFormat="1">
      <c r="A53" s="94">
        <f>COUNTIF('Cleanup TMS'!T:T,'2020_CapacityTable'!B53)</f>
        <v>3</v>
      </c>
      <c r="B53" s="95" t="s">
        <v>566</v>
      </c>
      <c r="C53" s="96">
        <v>31200</v>
      </c>
      <c r="D53" s="96">
        <v>44900</v>
      </c>
      <c r="E53" s="96">
        <v>55700</v>
      </c>
      <c r="F53" s="96">
        <v>62700</v>
      </c>
      <c r="H53" s="97" t="s">
        <v>582</v>
      </c>
    </row>
    <row r="54" spans="1:8" s="97" customFormat="1">
      <c r="A54" s="94">
        <f>COUNTIF('Cleanup TMS'!T:T,'2020_CapacityTable'!B54)</f>
        <v>2</v>
      </c>
      <c r="B54" s="95" t="s">
        <v>212</v>
      </c>
      <c r="C54" s="96">
        <v>34800</v>
      </c>
      <c r="D54" s="96">
        <v>48000</v>
      </c>
      <c r="E54" s="96">
        <v>56700</v>
      </c>
      <c r="F54" s="96">
        <v>63200</v>
      </c>
      <c r="H54" s="97" t="s">
        <v>572</v>
      </c>
    </row>
    <row r="55" spans="1:8" s="97" customFormat="1">
      <c r="A55" s="94">
        <f>COUNTIF('Cleanup TMS'!T:T,'2020_CapacityTable'!B55)</f>
        <v>0</v>
      </c>
      <c r="B55" s="95" t="s">
        <v>213</v>
      </c>
      <c r="C55" s="96">
        <v>0</v>
      </c>
      <c r="D55" s="96">
        <v>29300</v>
      </c>
      <c r="E55" s="96">
        <v>30400</v>
      </c>
      <c r="F55" s="96">
        <v>30400</v>
      </c>
      <c r="H55" s="97" t="s">
        <v>571</v>
      </c>
    </row>
    <row r="56" spans="1:8" s="97" customFormat="1">
      <c r="A56" s="94">
        <f>COUNTIF('Cleanup TMS'!T:T,'2020_CapacityTable'!B56)</f>
        <v>6</v>
      </c>
      <c r="B56" s="95" t="s">
        <v>214</v>
      </c>
      <c r="C56" s="96">
        <v>48900</v>
      </c>
      <c r="D56" s="96">
        <v>69000</v>
      </c>
      <c r="E56" s="96">
        <v>82600</v>
      </c>
      <c r="F56" s="96">
        <v>94800</v>
      </c>
      <c r="H56" s="97" t="s">
        <v>568</v>
      </c>
    </row>
    <row r="57" spans="1:8" s="97" customFormat="1">
      <c r="A57" s="94">
        <f>COUNTIF('Cleanup TMS'!T:T,'2020_CapacityTable'!B57)</f>
        <v>0</v>
      </c>
      <c r="B57" s="95" t="s">
        <v>241</v>
      </c>
      <c r="C57" s="14">
        <v>0</v>
      </c>
      <c r="D57" s="14">
        <v>34000</v>
      </c>
      <c r="E57" s="14">
        <v>35500</v>
      </c>
      <c r="F57" s="14">
        <v>35500</v>
      </c>
      <c r="H57" s="97" t="s">
        <v>573</v>
      </c>
    </row>
    <row r="58" spans="1:8" s="97" customFormat="1">
      <c r="A58" s="94">
        <f>COUNTIF('Cleanup TMS'!T:T,'2020_CapacityTable'!B58)</f>
        <v>0</v>
      </c>
      <c r="B58" s="95" t="s">
        <v>215</v>
      </c>
      <c r="C58" s="14">
        <v>45100</v>
      </c>
      <c r="D58" s="14">
        <v>59000</v>
      </c>
      <c r="E58" s="14">
        <v>70300</v>
      </c>
      <c r="F58" s="14">
        <v>72600</v>
      </c>
      <c r="H58" s="97" t="s">
        <v>574</v>
      </c>
    </row>
    <row r="59" spans="1:8" s="97" customFormat="1">
      <c r="A59" s="94">
        <f>COUNTIF('Cleanup TMS'!T:T,'2020_CapacityTable'!B59)</f>
        <v>0</v>
      </c>
      <c r="B59" s="95" t="s">
        <v>216</v>
      </c>
      <c r="C59" s="14">
        <v>0</v>
      </c>
      <c r="D59" s="14">
        <f>ROUND(1.05*16800,0)</f>
        <v>17640</v>
      </c>
      <c r="E59" s="14">
        <f>ROUND(1.05*17700,0)</f>
        <v>18585</v>
      </c>
      <c r="F59" s="14">
        <f>ROUND(1.05*17700,0)</f>
        <v>18585</v>
      </c>
      <c r="H59" s="97" t="s">
        <v>581</v>
      </c>
    </row>
    <row r="60" spans="1:8" s="97" customFormat="1">
      <c r="A60" s="94">
        <f>COUNTIF('Cleanup TMS'!T:T,'2020_CapacityTable'!B60)</f>
        <v>4</v>
      </c>
      <c r="B60" s="95" t="s">
        <v>224</v>
      </c>
      <c r="C60" s="96">
        <v>0</v>
      </c>
      <c r="D60" s="96">
        <f>ROUND(1.05*7300,0)</f>
        <v>7665</v>
      </c>
      <c r="E60" s="96">
        <f>ROUND(1.05*14800,0)</f>
        <v>15540</v>
      </c>
      <c r="F60" s="96">
        <f>ROUND(1.05*15600,0)</f>
        <v>16380</v>
      </c>
      <c r="H60" s="97" t="s">
        <v>580</v>
      </c>
    </row>
    <row r="61" spans="1:8" s="97" customFormat="1">
      <c r="A61" s="94">
        <f>COUNTIF('Cleanup TMS'!T:T,'2020_CapacityTable'!B61)</f>
        <v>1</v>
      </c>
      <c r="B61" s="95" t="s">
        <v>567</v>
      </c>
      <c r="C61" s="96">
        <v>11700</v>
      </c>
      <c r="D61" s="96">
        <v>1800</v>
      </c>
      <c r="E61" s="96">
        <f t="shared" ref="E61:H61" si="1">E64</f>
        <v>24200</v>
      </c>
      <c r="F61" s="96">
        <v>32600</v>
      </c>
      <c r="H61" s="98" t="str">
        <f t="shared" si="1"/>
        <v>Table 1, Uninterrupted Flow, 2 Lanes</v>
      </c>
    </row>
    <row r="62" spans="1:8" s="97" customFormat="1">
      <c r="A62" s="94">
        <f>COUNTIF('Cleanup TMS'!T:T,'2020_CapacityTable'!B62)</f>
        <v>15</v>
      </c>
      <c r="B62" s="95" t="s">
        <v>217</v>
      </c>
      <c r="C62" s="96">
        <v>0</v>
      </c>
      <c r="D62" s="96">
        <v>16800</v>
      </c>
      <c r="E62" s="96">
        <v>17700</v>
      </c>
      <c r="F62" s="96">
        <v>17700</v>
      </c>
      <c r="H62" s="97" t="s">
        <v>563</v>
      </c>
    </row>
    <row r="63" spans="1:8" s="97" customFormat="1" ht="14.25" customHeight="1">
      <c r="A63" s="94">
        <f>COUNTIF('Cleanup TMS'!T:T,'2020_CapacityTable'!B63)</f>
        <v>68</v>
      </c>
      <c r="B63" s="95" t="s">
        <v>218</v>
      </c>
      <c r="C63" s="96">
        <v>0</v>
      </c>
      <c r="D63" s="96">
        <v>7300</v>
      </c>
      <c r="E63" s="96">
        <v>14800</v>
      </c>
      <c r="F63" s="96">
        <v>15600</v>
      </c>
      <c r="H63" s="97" t="s">
        <v>564</v>
      </c>
    </row>
    <row r="64" spans="1:8" s="97" customFormat="1">
      <c r="A64" s="94">
        <f>COUNTIF('Cleanup TMS'!T:T,'2020_CapacityTable'!B64)</f>
        <v>56</v>
      </c>
      <c r="B64" s="95" t="s">
        <v>232</v>
      </c>
      <c r="C64" s="96">
        <v>11700</v>
      </c>
      <c r="D64" s="96">
        <v>18000</v>
      </c>
      <c r="E64" s="96">
        <v>24200</v>
      </c>
      <c r="F64" s="96">
        <v>32600</v>
      </c>
      <c r="H64" s="97" t="s">
        <v>565</v>
      </c>
    </row>
    <row r="65" spans="1:8" s="97" customFormat="1">
      <c r="A65" s="94">
        <f>COUNTIF('Cleanup TMS'!T:T,'2020_CapacityTable'!B65)</f>
        <v>31</v>
      </c>
      <c r="B65" s="95" t="s">
        <v>219</v>
      </c>
      <c r="C65" s="96">
        <v>0</v>
      </c>
      <c r="D65" s="96">
        <v>37900</v>
      </c>
      <c r="E65" s="96">
        <v>39800</v>
      </c>
      <c r="F65" s="96">
        <v>39800</v>
      </c>
      <c r="H65" s="97" t="s">
        <v>575</v>
      </c>
    </row>
    <row r="66" spans="1:8" s="97" customFormat="1">
      <c r="A66" s="94">
        <f>COUNTIF('Cleanup TMS'!T:T,'2020_CapacityTable'!B66)</f>
        <v>34</v>
      </c>
      <c r="B66" s="95" t="s">
        <v>220</v>
      </c>
      <c r="C66" s="96">
        <v>0</v>
      </c>
      <c r="D66" s="96">
        <v>14500</v>
      </c>
      <c r="E66" s="96">
        <v>32400</v>
      </c>
      <c r="F66" s="96">
        <v>33800</v>
      </c>
      <c r="H66" s="97" t="s">
        <v>576</v>
      </c>
    </row>
    <row r="67" spans="1:8" s="97" customFormat="1">
      <c r="A67" s="94">
        <f>COUNTIF('Cleanup TMS'!T:T,'2020_CapacityTable'!B67)</f>
        <v>1</v>
      </c>
      <c r="B67" s="95" t="s">
        <v>555</v>
      </c>
      <c r="C67" s="96">
        <v>36300</v>
      </c>
      <c r="D67" s="96">
        <v>52600</v>
      </c>
      <c r="E67" s="96">
        <v>66200</v>
      </c>
      <c r="F67" s="96">
        <v>75300</v>
      </c>
      <c r="H67" s="97" t="s">
        <v>577</v>
      </c>
    </row>
    <row r="68" spans="1:8" s="97" customFormat="1">
      <c r="A68" s="94">
        <f>COUNTIF('Cleanup TMS'!T:T,'2020_CapacityTable'!B68)</f>
        <v>3</v>
      </c>
      <c r="B68" s="95" t="s">
        <v>221</v>
      </c>
      <c r="C68" s="96">
        <v>0</v>
      </c>
      <c r="D68" s="96">
        <v>37900</v>
      </c>
      <c r="E68" s="96">
        <v>39800</v>
      </c>
      <c r="F68" s="96">
        <v>39800</v>
      </c>
      <c r="H68" s="97" t="s">
        <v>575</v>
      </c>
    </row>
    <row r="69" spans="1:8" s="97" customFormat="1">
      <c r="A69" s="94">
        <f>COUNTIF('Cleanup TMS'!T:T,'2020_CapacityTable'!B69)</f>
        <v>2</v>
      </c>
      <c r="B69" s="95" t="s">
        <v>222</v>
      </c>
      <c r="C69" s="96">
        <v>0</v>
      </c>
      <c r="D69" s="96">
        <v>14500</v>
      </c>
      <c r="E69" s="96">
        <v>32400</v>
      </c>
      <c r="F69" s="96">
        <v>33800</v>
      </c>
      <c r="H69" s="97" t="s">
        <v>576</v>
      </c>
    </row>
    <row r="70" spans="1:8" s="97" customFormat="1">
      <c r="A70" s="94">
        <f>COUNTIF('Cleanup TMS'!T:T,'2020_CapacityTable'!B70)</f>
        <v>2</v>
      </c>
      <c r="B70" s="95" t="s">
        <v>553</v>
      </c>
      <c r="C70" s="96">
        <v>0</v>
      </c>
      <c r="D70" s="96">
        <v>58400</v>
      </c>
      <c r="E70" s="96">
        <v>59900</v>
      </c>
      <c r="F70" s="96">
        <v>59900</v>
      </c>
      <c r="H70" s="97" t="s">
        <v>569</v>
      </c>
    </row>
    <row r="71" spans="1:8" s="97" customFormat="1">
      <c r="A71" s="94">
        <f>COUNTIF('Cleanup TMS'!T:T,'2020_CapacityTable'!B71)</f>
        <v>0</v>
      </c>
      <c r="B71" s="95" t="s">
        <v>223</v>
      </c>
      <c r="C71" s="96">
        <v>0</v>
      </c>
      <c r="D71" s="96">
        <v>23300</v>
      </c>
      <c r="E71" s="96">
        <v>50000</v>
      </c>
      <c r="F71" s="96">
        <v>50900</v>
      </c>
      <c r="H71" s="97" t="s">
        <v>570</v>
      </c>
    </row>
  </sheetData>
  <autoFilter ref="B22:H22" xr:uid="{C6E2FE4A-C5FA-43FB-992F-4291E448284A}">
    <sortState xmlns:xlrd2="http://schemas.microsoft.com/office/spreadsheetml/2017/richdata2" ref="B23:H45">
      <sortCondition ref="B22"/>
    </sortState>
  </autoFilter>
  <mergeCells count="1">
    <mergeCell ref="A21:L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D9276-DCCA-4E17-A773-A6E00D10674B}">
  <sheetPr>
    <tabColor rgb="FF00B050"/>
    <pageSetUpPr fitToPage="1"/>
  </sheetPr>
  <dimension ref="A1:CZ650"/>
  <sheetViews>
    <sheetView zoomScale="90" zoomScaleNormal="90" workbookViewId="0">
      <pane xSplit="6" ySplit="1" topLeftCell="G2" activePane="bottomRight" state="frozen"/>
      <selection activeCell="Q226" sqref="Q226"/>
      <selection pane="topRight" activeCell="Q226" sqref="Q226"/>
      <selection pane="bottomLeft" activeCell="Q226" sqref="Q226"/>
      <selection pane="bottomRight" activeCell="Q226" sqref="Q226"/>
    </sheetView>
  </sheetViews>
  <sheetFormatPr defaultColWidth="9.140625" defaultRowHeight="12.75"/>
  <cols>
    <col min="1" max="2" width="12.85546875" style="7" customWidth="1"/>
    <col min="3" max="4" width="9.28515625" style="7" customWidth="1"/>
    <col min="5" max="5" width="14.5703125" style="7" customWidth="1"/>
    <col min="6" max="6" width="10.85546875" style="7" customWidth="1"/>
    <col min="7" max="7" width="9.140625" style="155" customWidth="1"/>
    <col min="8" max="8" width="12.5703125" style="7" customWidth="1"/>
    <col min="9" max="9" width="33.28515625" style="6" bestFit="1" customWidth="1"/>
    <col min="10" max="10" width="32.7109375" style="6" bestFit="1" customWidth="1"/>
    <col min="11" max="11" width="29.28515625" style="6" customWidth="1"/>
    <col min="12" max="12" width="10.7109375" style="31" customWidth="1"/>
    <col min="13" max="13" width="8" style="7" customWidth="1"/>
    <col min="14" max="14" width="10.42578125" style="7" customWidth="1"/>
    <col min="15" max="15" width="6.5703125" style="7" customWidth="1"/>
    <col min="16" max="16" width="15.5703125" style="7" customWidth="1"/>
    <col min="17" max="17" width="6.140625" style="7" customWidth="1"/>
    <col min="18" max="18" width="14.140625" style="7" customWidth="1"/>
    <col min="19" max="19" width="6.5703125" style="7" customWidth="1"/>
    <col min="20" max="21" width="12.7109375" style="7" customWidth="1"/>
    <col min="22" max="22" width="15.28515625" style="7" customWidth="1"/>
    <col min="23" max="23" width="37.7109375" style="8" customWidth="1"/>
    <col min="24" max="24" width="26.7109375" style="8" customWidth="1"/>
    <col min="25" max="25" width="8.42578125" style="7" customWidth="1"/>
    <col min="26" max="26" width="28.85546875" style="7" customWidth="1"/>
    <col min="27" max="30" width="7.85546875" style="7" customWidth="1"/>
    <col min="31" max="36" width="7.28515625" style="7" customWidth="1"/>
    <col min="37" max="40" width="7.85546875" style="7" customWidth="1"/>
    <col min="41" max="42" width="14.28515625" style="9" customWidth="1"/>
    <col min="43" max="43" width="10.7109375" style="27" customWidth="1"/>
    <col min="44" max="44" width="10.7109375" style="7" customWidth="1"/>
    <col min="45" max="45" width="12.42578125" style="7" customWidth="1"/>
    <col min="46" max="53" width="7.85546875" style="7" customWidth="1"/>
    <col min="54" max="55" width="14.28515625" style="9" customWidth="1"/>
    <col min="56" max="56" width="12.42578125" style="7" customWidth="1"/>
    <col min="57" max="57" width="10.7109375" style="27" customWidth="1"/>
    <col min="58" max="58" width="10.7109375" style="7" customWidth="1"/>
    <col min="59" max="59" width="13.42578125" style="136" customWidth="1"/>
    <col min="60" max="61" width="10.7109375" style="4" customWidth="1"/>
    <col min="62" max="62" width="12.7109375" style="4" customWidth="1"/>
    <col min="63" max="67" width="9.7109375" style="7" customWidth="1"/>
    <col min="68" max="68" width="14.42578125" style="7" customWidth="1"/>
    <col min="69" max="71" width="9.7109375" style="7" customWidth="1"/>
    <col min="72" max="84" width="12.7109375" style="4" customWidth="1"/>
    <col min="85" max="85" width="12" style="7" bestFit="1" customWidth="1"/>
    <col min="86" max="86" width="15.7109375" style="28" bestFit="1" customWidth="1"/>
    <col min="87" max="87" width="15.7109375" style="28" customWidth="1"/>
    <col min="88" max="90" width="9.140625" style="4"/>
    <col min="91" max="91" width="29.7109375" style="4" bestFit="1" customWidth="1"/>
    <col min="92" max="92" width="16.85546875" style="4" customWidth="1"/>
    <col min="93" max="93" width="9.140625" style="4"/>
    <col min="94" max="94" width="29.7109375" style="7" bestFit="1" customWidth="1"/>
    <col min="95" max="95" width="35.28515625" style="7" bestFit="1" customWidth="1"/>
    <col min="96" max="96" width="14.5703125" style="7" customWidth="1"/>
    <col min="97" max="100" width="10.42578125" style="7" customWidth="1"/>
    <col min="101" max="101" width="9.140625" style="7"/>
    <col min="102" max="102" width="26.7109375" style="8" customWidth="1"/>
    <col min="103" max="104" width="9.140625" style="31"/>
    <col min="105" max="16384" width="9.140625" style="4"/>
  </cols>
  <sheetData>
    <row r="1" spans="1:104" s="63" customFormat="1" ht="46.5" customHeight="1">
      <c r="A1" s="48" t="s">
        <v>176</v>
      </c>
      <c r="B1" s="48" t="s">
        <v>587</v>
      </c>
      <c r="C1" s="48" t="s">
        <v>856</v>
      </c>
      <c r="D1" s="48" t="s">
        <v>1095</v>
      </c>
      <c r="E1" s="48" t="s">
        <v>177</v>
      </c>
      <c r="F1" s="48" t="s">
        <v>178</v>
      </c>
      <c r="G1" s="154" t="s">
        <v>678</v>
      </c>
      <c r="H1" s="48" t="s">
        <v>631</v>
      </c>
      <c r="I1" s="48" t="s">
        <v>179</v>
      </c>
      <c r="J1" s="261" t="s">
        <v>0</v>
      </c>
      <c r="K1" s="261" t="s">
        <v>1</v>
      </c>
      <c r="L1" s="48" t="s">
        <v>1096</v>
      </c>
      <c r="M1" s="48" t="s">
        <v>1097</v>
      </c>
      <c r="N1" s="48" t="s">
        <v>590</v>
      </c>
      <c r="O1" s="48" t="s">
        <v>591</v>
      </c>
      <c r="P1" s="48" t="s">
        <v>208</v>
      </c>
      <c r="Q1" s="48" t="s">
        <v>538</v>
      </c>
      <c r="R1" s="48" t="s">
        <v>592</v>
      </c>
      <c r="S1" s="48" t="s">
        <v>206</v>
      </c>
      <c r="T1" s="48" t="s">
        <v>207</v>
      </c>
      <c r="U1" s="48" t="s">
        <v>1138</v>
      </c>
      <c r="V1" s="48" t="s">
        <v>180</v>
      </c>
      <c r="W1" s="50" t="s">
        <v>2</v>
      </c>
      <c r="X1" s="50" t="s">
        <v>181</v>
      </c>
      <c r="Y1" s="50" t="s">
        <v>182</v>
      </c>
      <c r="Z1" s="150" t="s">
        <v>677</v>
      </c>
      <c r="AA1" s="51" t="s">
        <v>603</v>
      </c>
      <c r="AB1" s="51" t="s">
        <v>604</v>
      </c>
      <c r="AC1" s="51" t="s">
        <v>605</v>
      </c>
      <c r="AD1" s="51" t="s">
        <v>606</v>
      </c>
      <c r="AE1" s="52" t="s">
        <v>190</v>
      </c>
      <c r="AF1" s="52" t="s">
        <v>226</v>
      </c>
      <c r="AG1" s="53" t="s">
        <v>227</v>
      </c>
      <c r="AH1" s="53" t="s">
        <v>228</v>
      </c>
      <c r="AI1" s="53" t="s">
        <v>229</v>
      </c>
      <c r="AJ1" s="53" t="s">
        <v>230</v>
      </c>
      <c r="AK1" s="51" t="s">
        <v>607</v>
      </c>
      <c r="AL1" s="51" t="s">
        <v>608</v>
      </c>
      <c r="AM1" s="51" t="s">
        <v>609</v>
      </c>
      <c r="AN1" s="51" t="s">
        <v>610</v>
      </c>
      <c r="AO1" s="51" t="s">
        <v>611</v>
      </c>
      <c r="AP1" s="51" t="s">
        <v>1098</v>
      </c>
      <c r="AQ1" s="55" t="s">
        <v>1099</v>
      </c>
      <c r="AR1" s="51" t="s">
        <v>1100</v>
      </c>
      <c r="AS1" s="54" t="s">
        <v>1101</v>
      </c>
      <c r="AT1" s="56" t="s">
        <v>594</v>
      </c>
      <c r="AU1" s="56" t="s">
        <v>595</v>
      </c>
      <c r="AV1" s="56" t="s">
        <v>596</v>
      </c>
      <c r="AW1" s="56" t="s">
        <v>597</v>
      </c>
      <c r="AX1" s="56" t="s">
        <v>598</v>
      </c>
      <c r="AY1" s="56" t="s">
        <v>599</v>
      </c>
      <c r="AZ1" s="56" t="s">
        <v>600</v>
      </c>
      <c r="BA1" s="56" t="s">
        <v>601</v>
      </c>
      <c r="BB1" s="56" t="s">
        <v>602</v>
      </c>
      <c r="BC1" s="57" t="s">
        <v>1102</v>
      </c>
      <c r="BD1" s="57" t="s">
        <v>1103</v>
      </c>
      <c r="BE1" s="58" t="s">
        <v>1104</v>
      </c>
      <c r="BF1" s="56" t="s">
        <v>1105</v>
      </c>
      <c r="BG1" s="147" t="s">
        <v>552</v>
      </c>
      <c r="BH1" s="137" t="s">
        <v>612</v>
      </c>
      <c r="BI1" s="137" t="s">
        <v>613</v>
      </c>
      <c r="BJ1" s="137" t="s">
        <v>614</v>
      </c>
      <c r="BK1" s="76" t="s">
        <v>1106</v>
      </c>
      <c r="BL1" s="76" t="s">
        <v>1107</v>
      </c>
      <c r="BM1" s="76" t="s">
        <v>1108</v>
      </c>
      <c r="BN1" s="76" t="s">
        <v>1109</v>
      </c>
      <c r="BO1" s="76" t="s">
        <v>1110</v>
      </c>
      <c r="BP1" s="76" t="s">
        <v>1111</v>
      </c>
      <c r="BQ1" s="76" t="s">
        <v>1112</v>
      </c>
      <c r="BR1" s="76" t="s">
        <v>1113</v>
      </c>
      <c r="BS1" s="76" t="s">
        <v>1114</v>
      </c>
      <c r="BT1" s="59" t="s">
        <v>1115</v>
      </c>
      <c r="BU1" s="59" t="s">
        <v>1116</v>
      </c>
      <c r="BV1" s="59" t="s">
        <v>1117</v>
      </c>
      <c r="BW1" s="59" t="s">
        <v>1118</v>
      </c>
      <c r="BX1" s="80" t="s">
        <v>1119</v>
      </c>
      <c r="BY1" s="80" t="s">
        <v>1120</v>
      </c>
      <c r="BZ1" s="80" t="s">
        <v>1121</v>
      </c>
      <c r="CA1" s="80" t="s">
        <v>1122</v>
      </c>
      <c r="CB1" s="80" t="s">
        <v>1123</v>
      </c>
      <c r="CC1" s="80" t="s">
        <v>1124</v>
      </c>
      <c r="CD1" s="80" t="s">
        <v>1125</v>
      </c>
      <c r="CE1" s="80" t="s">
        <v>1126</v>
      </c>
      <c r="CF1" s="81" t="s">
        <v>1127</v>
      </c>
      <c r="CG1" s="60" t="s">
        <v>1128</v>
      </c>
      <c r="CH1" s="60" t="s">
        <v>1129</v>
      </c>
      <c r="CI1" s="60" t="s">
        <v>1130</v>
      </c>
      <c r="CJ1" s="61" t="s">
        <v>1131</v>
      </c>
      <c r="CK1" s="62" t="s">
        <v>616</v>
      </c>
      <c r="CL1" s="62" t="s">
        <v>617</v>
      </c>
      <c r="CM1" s="62" t="s">
        <v>618</v>
      </c>
      <c r="CN1" s="62" t="s">
        <v>619</v>
      </c>
      <c r="CO1" s="62" t="s">
        <v>620</v>
      </c>
      <c r="CP1" s="48" t="s">
        <v>621</v>
      </c>
      <c r="CQ1" s="48" t="s">
        <v>622</v>
      </c>
      <c r="CR1" s="48" t="s">
        <v>623</v>
      </c>
      <c r="CS1" s="48" t="s">
        <v>1132</v>
      </c>
      <c r="CT1" s="48" t="s">
        <v>1133</v>
      </c>
      <c r="CU1" s="48" t="s">
        <v>1134</v>
      </c>
      <c r="CV1" s="48" t="s">
        <v>1135</v>
      </c>
      <c r="CW1" s="48" t="s">
        <v>624</v>
      </c>
      <c r="CX1" s="50" t="s">
        <v>585</v>
      </c>
      <c r="CY1" s="48" t="s">
        <v>1136</v>
      </c>
      <c r="CZ1" s="48" t="s">
        <v>1137</v>
      </c>
    </row>
    <row r="2" spans="1:104" ht="12.75" customHeight="1">
      <c r="A2" s="1">
        <v>4000</v>
      </c>
      <c r="B2" s="1">
        <f>IF($D2="STATE",E2,D2)</f>
        <v>177</v>
      </c>
      <c r="C2" s="1">
        <v>474</v>
      </c>
      <c r="D2" s="1">
        <f>VLOOKUP(C2,'2022 counts'!$A$6:$B$304,2,FALSE)</f>
        <v>177</v>
      </c>
      <c r="E2" s="1"/>
      <c r="F2" s="2" t="s">
        <v>6</v>
      </c>
      <c r="G2" s="141">
        <v>20</v>
      </c>
      <c r="H2" s="11">
        <v>1.6057824678999999</v>
      </c>
      <c r="I2" s="10" t="s">
        <v>157</v>
      </c>
      <c r="J2" s="10" t="s">
        <v>18</v>
      </c>
      <c r="K2" s="10" t="s">
        <v>682</v>
      </c>
      <c r="L2" s="143">
        <v>2</v>
      </c>
      <c r="M2" s="1">
        <f>'State of the System - Sumter Co'!K2</f>
        <v>2</v>
      </c>
      <c r="N2" s="1" t="str">
        <f>IF('State of the System - Sumter Co'!L2="URBAN","U","R")</f>
        <v>U</v>
      </c>
      <c r="O2" s="1" t="str">
        <f>IF('State of the System - Sumter Co'!M2="UNDIVIDED","U",IF('State of the System - Sumter Co'!M2="DIVIDED","D","F"))</f>
        <v>U</v>
      </c>
      <c r="P2" s="1" t="str">
        <f>'State of the System - Sumter Co'!N2</f>
        <v>INTERRUPTED</v>
      </c>
      <c r="Q2" s="1" t="str">
        <f t="shared" ref="Q2:Q67" si="0">IF(AND(N2="R",O2="U",P2="interrupted"),"x",IF(AND(N2="R",R2="undeveloped"),"z",IF(AND(N2="R",R2="developed"),"y","")))</f>
        <v/>
      </c>
      <c r="R2" s="1" t="str">
        <f>'State of the System - Sumter Co'!O2</f>
        <v/>
      </c>
      <c r="S2" s="1" t="str">
        <f t="shared" ref="S2:S35" si="1">IF(N2="r","",IF(P2="interrupted",IF(G2&lt;37.5,"-2","-1"),"-x"))</f>
        <v>-2</v>
      </c>
      <c r="T2" s="1" t="str">
        <f t="shared" ref="T2:T67" si="2">CONCATENATE(N2,"-",L2,O2,S2,Q2)</f>
        <v>U-2U-2</v>
      </c>
      <c r="U2" s="1" t="str">
        <f t="shared" ref="U2:U21" si="3">CONCATENATE(N2,"-",M2,O2,S2,Q2)</f>
        <v>U-2U-2</v>
      </c>
      <c r="V2" s="1" t="s">
        <v>10</v>
      </c>
      <c r="W2" s="1" t="s">
        <v>11</v>
      </c>
      <c r="X2" s="1" t="s">
        <v>21</v>
      </c>
      <c r="Y2" s="1" t="str">
        <f>'State of the System - Sumter Co'!R2</f>
        <v>D</v>
      </c>
      <c r="Z2" s="143" t="str">
        <f t="shared" ref="Z2:Z67" si="4">IF(AND(V2="STATE",X2="FREEWAY"),"NHS Interstate",IF(V2="STATE","NHS Non-Interstate","Other CMP Network Roadways"))</f>
        <v>Other CMP Network Roadways</v>
      </c>
      <c r="AA2" s="15">
        <f>VLOOKUP($T2,'2020_CapacityTable'!$B$49:$F$71,2)</f>
        <v>0</v>
      </c>
      <c r="AB2" s="15">
        <f>VLOOKUP($T2,'2020_CapacityTable'!$B$49:$F$71,3)</f>
        <v>7300</v>
      </c>
      <c r="AC2" s="15">
        <f>VLOOKUP($T2,'2020_CapacityTable'!$B$49:$F$71,4)</f>
        <v>14800</v>
      </c>
      <c r="AD2" s="15">
        <f>VLOOKUP($T2,'2020_CapacityTable'!$B$49:$F$71,5)</f>
        <v>15600</v>
      </c>
      <c r="AE2" s="35">
        <f t="shared" ref="AE2:AE29" si="5">IF(V2&lt;&gt;"STATE",-10%,"")</f>
        <v>-0.1</v>
      </c>
      <c r="AF2" s="36" t="str">
        <f t="shared" ref="AF2:AF67" si="6">IF($L2=2,IF($O2="D",5%,""),"")</f>
        <v/>
      </c>
      <c r="AG2" s="35"/>
      <c r="AH2" s="35" t="str">
        <f t="shared" ref="AH2:AH9" si="7">IF($O2="U",IF($L2&gt;2,"LOOK",""),"")</f>
        <v/>
      </c>
      <c r="AI2" s="35"/>
      <c r="AJ2" s="36"/>
      <c r="AK2" s="15">
        <f t="shared" ref="AK2:AK67" si="8">ROUND(AA2*(1+SUM($AE2:$AJ2)),0)</f>
        <v>0</v>
      </c>
      <c r="AL2" s="15">
        <f t="shared" ref="AL2:AL67" si="9">ROUND(AB2*(1+SUM($AE2:$AJ2)),0)</f>
        <v>6570</v>
      </c>
      <c r="AM2" s="15">
        <f t="shared" ref="AM2:AM67" si="10">ROUND(AC2*(1+SUM($AE2:$AJ2)),0)</f>
        <v>13320</v>
      </c>
      <c r="AN2" s="15">
        <f t="shared" ref="AN2:AN67" si="11">ROUND(AD2*(1+SUM($AE2:$AJ2)),0)</f>
        <v>14040</v>
      </c>
      <c r="AO2" s="3">
        <f>IF($Y2="","",IF($Y2="B",AK2,IF($Y2="C",AL2,IF($Y2="D",AM2,AN2))))</f>
        <v>13320</v>
      </c>
      <c r="AP2" s="138">
        <f>VLOOKUP($B2,'2022 counts'!$B$6:$R$304,17,FALSE)</f>
        <v>4638</v>
      </c>
      <c r="AQ2" s="11">
        <f t="shared" ref="AQ2:AQ67" si="12">IF(AND(AP2="-"),"",ROUND(AP2/AO2,2))</f>
        <v>0.35</v>
      </c>
      <c r="AR2" s="2" t="str">
        <f t="shared" ref="AR2:AR67" si="13">IF(AQ2="","",IF(AP2&lt;=$AK2,"B",IF(AP2&lt;=$AL2,"C",IF(AP2&lt;=$AM2,"D",IF(AP2&lt;=$AN2,"E","F")))))</f>
        <v>C</v>
      </c>
      <c r="AS2" s="26">
        <f>IF(AP2="-","",ROUND(AP2*H2*365/1000000,2))</f>
        <v>2.72</v>
      </c>
      <c r="AT2" s="15">
        <f>VLOOKUP($T2,'2020_CapacityTable'!$B$23:$F$45,2)</f>
        <v>0</v>
      </c>
      <c r="AU2" s="15">
        <f>VLOOKUP($T2,'2020_CapacityTable'!$B$23:$F$45,3)</f>
        <v>370</v>
      </c>
      <c r="AV2" s="15">
        <f>VLOOKUP($T2,'2020_CapacityTable'!$B$23:$F$45,4)</f>
        <v>750</v>
      </c>
      <c r="AW2" s="15">
        <f>VLOOKUP($T2,'2020_CapacityTable'!$B$23:$F$45,5)</f>
        <v>800</v>
      </c>
      <c r="AX2" s="15">
        <f t="shared" ref="AX2:AX67" si="14">ROUND(AT2*(1+SUM($AE2:$AJ2)),0)</f>
        <v>0</v>
      </c>
      <c r="AY2" s="15">
        <f t="shared" ref="AY2:AY67" si="15">ROUND(AU2*(1+SUM($AE2:$AJ2)),0)</f>
        <v>333</v>
      </c>
      <c r="AZ2" s="15">
        <f t="shared" ref="AZ2:AZ67" si="16">ROUND(AV2*(1+SUM($AE2:$AJ2)),0)</f>
        <v>675</v>
      </c>
      <c r="BA2" s="15">
        <f t="shared" ref="BA2:BA67" si="17">ROUND(AW2*(1+SUM($AE2:$AJ2)),0)</f>
        <v>720</v>
      </c>
      <c r="BB2" s="3">
        <f t="shared" ref="BB2:BB35" si="18">IF(Y2="","",IF(Y2="B",AX2,IF(Y2="C",AY2,IF(Y2="D",AZ2,BA2))))</f>
        <v>675</v>
      </c>
      <c r="BC2" s="138">
        <f>VLOOKUP($B2,'2022 counts'!$B$6:$AD$304,28,FALSE)</f>
        <v>264</v>
      </c>
      <c r="BD2" s="138">
        <f>VLOOKUP($B2,'2022 counts'!$B$6:$AD$304,29,FALSE)</f>
        <v>259</v>
      </c>
      <c r="BE2" s="11">
        <f t="shared" ref="BE2:BE67" si="19">IF(AND(BC2="-",BD2="-"),"",ROUND(MAX(BC2,BD2)/BB2,2))</f>
        <v>0.39</v>
      </c>
      <c r="BF2" s="2" t="str">
        <f t="shared" ref="BF2:BF67" si="20">IF(BE2="","",IF(MAX(BC2,BD2)&lt;=$AX2,"B",IF(MAX(BC2,BD2)&lt;=$AY2,"C",IF(MAX(BC2,BD2)&lt;=$AZ2,"D",IF(MAX(BC2,BD2)&lt;=$BA2,"E","F")))))</f>
        <v>C</v>
      </c>
      <c r="BG2" s="135">
        <v>0</v>
      </c>
      <c r="BH2" s="135">
        <f>IF($AQ2="","",VLOOKUP($B2, '2022 counts'!$B$6:$T$304,19,FALSE))</f>
        <v>0</v>
      </c>
      <c r="BI2" s="38">
        <f t="shared" ref="BI2:BI67" si="21">IF(BG2=BH2,IF(BG2&gt;0.01,BG2,0.01),IF(BH2&gt;0.01,BH2,0.01))</f>
        <v>0.01</v>
      </c>
      <c r="BJ2" s="39" t="str">
        <f t="shared" ref="BJ2:BJ67" si="22">IF(BG2=BI2,"",IF(AND(BH2&lt;0.01,BG2&gt;0.01),"minimum, (1)",IF(BH2=BI2,"(1)",IF(AND(BI2=0.01,BG2&lt;0.01),"minimum","HELP"))))</f>
        <v>minimum</v>
      </c>
      <c r="BK2" s="15">
        <f>VLOOKUP($U2,'2020_CapacityTable'!$B$49:$F$71,2)</f>
        <v>0</v>
      </c>
      <c r="BL2" s="15">
        <f>VLOOKUP($U2,'2020_CapacityTable'!$B$49:$F$71,3)</f>
        <v>7300</v>
      </c>
      <c r="BM2" s="15">
        <f>VLOOKUP($T2,'2020_CapacityTable'!$B$49:$F$71,4)</f>
        <v>14800</v>
      </c>
      <c r="BN2" s="15">
        <f>VLOOKUP($T2,'2020_CapacityTable'!$B$49:$F$71,5)</f>
        <v>15600</v>
      </c>
      <c r="BO2" s="15">
        <f t="shared" ref="BO2:BO67" si="23">ROUND(BK2*(1+SUM($AE2:$AJ2)),0)</f>
        <v>0</v>
      </c>
      <c r="BP2" s="15">
        <f t="shared" ref="BP2:BP67" si="24">ROUND(BL2*(1+SUM($AE2:$AJ2)),0)</f>
        <v>6570</v>
      </c>
      <c r="BQ2" s="15">
        <f t="shared" ref="BQ2:BQ67" si="25">ROUND(BM2*(1+SUM($AE2:$AJ2)),0)</f>
        <v>13320</v>
      </c>
      <c r="BR2" s="15">
        <f t="shared" ref="BR2:BR67" si="26">ROUND(BN2*(1+SUM($AE2:$AJ2)),0)</f>
        <v>14040</v>
      </c>
      <c r="BS2" s="3">
        <f t="shared" ref="BS2:BS35" si="27">IF($Y2="","",IF($Y2="B",BO2,IF($Y2="C",BP2,IF($Y2="D",BQ2,BR2))))</f>
        <v>13320</v>
      </c>
      <c r="BT2" s="40">
        <f>'State of the System - Sumter Co'!AD2</f>
        <v>4875</v>
      </c>
      <c r="BU2" s="41">
        <f t="shared" ref="BU2:BU67" si="28">IF(BT2="-","",ROUND(BT2/BS2,2))</f>
        <v>0.37</v>
      </c>
      <c r="BV2" s="2" t="str">
        <f t="shared" ref="BV2:BV67" si="29">IF(BU2="","",IF(BT2&lt;=$BO2,"B",IF(BT2&lt;=$BP2,"C",IF(BT2&lt;=$BQ2,"D",IF(BT2&lt;=$BR2,"E","F")))))</f>
        <v>C</v>
      </c>
      <c r="BW2" s="2">
        <f t="shared" ref="BW2:BW67" si="30">IF(BT2="-","",ROUND(BT2*H2*365/1000000,2))</f>
        <v>2.86</v>
      </c>
      <c r="BX2" s="15">
        <f>VLOOKUP($U2,'2020_CapacityTable'!$B$23:$F$45,2)</f>
        <v>0</v>
      </c>
      <c r="BY2" s="15">
        <f>VLOOKUP($U2,'2020_CapacityTable'!$B$23:$F$45,3)</f>
        <v>370</v>
      </c>
      <c r="BZ2" s="15">
        <f>VLOOKUP($U2,'2020_CapacityTable'!$B$23:$F$45,4)</f>
        <v>750</v>
      </c>
      <c r="CA2" s="15">
        <f>VLOOKUP($U2,'2020_CapacityTable'!$B$23:$F$45,5)</f>
        <v>800</v>
      </c>
      <c r="CB2" s="15">
        <f t="shared" ref="CB2:CB67" si="31">ROUND(BX2*(1+SUM($AE2:$AJ2)),0)</f>
        <v>0</v>
      </c>
      <c r="CC2" s="15">
        <f t="shared" ref="CC2:CC67" si="32">ROUND(BY2*(1+SUM($AE2:$AJ2)),0)</f>
        <v>333</v>
      </c>
      <c r="CD2" s="15">
        <f t="shared" ref="CD2:CD67" si="33">ROUND(BZ2*(1+SUM($AE2:$AJ2)),0)</f>
        <v>675</v>
      </c>
      <c r="CE2" s="15">
        <f t="shared" ref="CE2:CE67" si="34">ROUND(CA2*(1+SUM($AE2:$AJ2)),0)</f>
        <v>720</v>
      </c>
      <c r="CF2" s="3">
        <f t="shared" ref="CF2:CF35" si="35">IF($Y2="","",IF($Y2="B",CB2,IF($Y2="C",CC2,IF($Y2="D",CD2,CE2))))</f>
        <v>675</v>
      </c>
      <c r="CG2" s="3">
        <f>'State of the System - Sumter Co'!AH2</f>
        <v>277</v>
      </c>
      <c r="CH2" s="3">
        <f>'State of the System - Sumter Co'!AI2</f>
        <v>272</v>
      </c>
      <c r="CI2" s="11">
        <f t="shared" ref="CI2:CI67" si="36">IF(AND(CG2="",CH2=""),"",ROUND(MAX(CG2,CH2)/CF2,2))</f>
        <v>0.41</v>
      </c>
      <c r="CJ2" s="2" t="str">
        <f t="shared" ref="CJ2:CJ35" si="37">IF(OR(CI2="",CI2="-",CI2=0),"",IF(MAX(CG2,CH2)&lt;=$AX2,"B",IF(MAX(CG2,CH2)&lt;=$AY2,"C",IF(MAX(CG2,CH2)&lt;=$AZ2,"D",IF(MAX(CG2,CH2)&lt;=$BA2,"E","F")))))</f>
        <v>C</v>
      </c>
      <c r="CK2" s="3">
        <f>ROUND(1.08*AN2,0)</f>
        <v>15163</v>
      </c>
      <c r="CL2" s="11">
        <f t="shared" ref="CL2:CL67" si="38">IF(BT2="-","",ROUND(BT2/CK2,2))</f>
        <v>0.32</v>
      </c>
      <c r="CM2" s="140" t="str">
        <f t="shared" ref="CM2:CM67" si="39">IF(CL2="","",IF(AP2&gt;CK2,"EXTREMELY (2020)",IF(CL2&gt;1,"EXTREMELY (2025)",IF(AQ2&gt;1,"CONGESTED (2020)",IF(BU2&gt;1,"CONGESTED (2025)",IF(OR(AQ2&gt;=0.9,BU2&gt;=0.9),"APPROACHING CONGESTION","NOT CONGESTED"))))))</f>
        <v>NOT CONGESTED</v>
      </c>
      <c r="CN2" s="3">
        <f t="shared" ref="CN2:CN67" si="40">ROUND(1.08*BA2,0)</f>
        <v>778</v>
      </c>
      <c r="CO2" s="11">
        <f t="shared" ref="CO2:CO67" si="41">IF(OR(AND(CG2="-",CH2="-"),AND(CG2="",CH2="")),"",ROUND(MAX(CG2,CH2)/CN2,2))</f>
        <v>0.36</v>
      </c>
      <c r="CP2" s="141" t="str">
        <f t="shared" ref="CP2:CP35" si="42">IF(OR(CO2="",CO2=0),"",IF(OR(BC2&gt;CN2,BD2&gt;CN2),"EXTREMELY (2020)",IF(CO2&gt;1,"EXTREMELY (2025)",IF(BE2&gt;1,"CONGESTED (2020)",IF(CI2&gt;1,"CONGESTED (2025)",IF(OR(BE2&gt;=0.9,CI2&gt;=0.9),"APPROACHING CONGESTION","NOT CONGESTED"))))))</f>
        <v>NOT CONGESTED</v>
      </c>
      <c r="CQ2" s="2"/>
      <c r="CR2" s="42"/>
      <c r="CS2" s="140" t="str">
        <f t="shared" ref="CS2:CS67" si="43">IF(OR(AP2="",AR2="",AQ2&lt;1),"",ROUND(H2,2))</f>
        <v/>
      </c>
      <c r="CT2" s="11" t="str">
        <f t="shared" ref="CT2:CT35" si="44">IF(OR(BT2="",BV2="",BU2&lt;1),"",ROUND(H2,2))</f>
        <v/>
      </c>
      <c r="CU2" s="140" t="str">
        <f>IF(OR(AP2="",AR2="",AP2&lt;$CK2),"",ROUND($H2,2))</f>
        <v/>
      </c>
      <c r="CV2" s="11" t="str">
        <f t="shared" ref="CV2:CV67" si="45">IF(OR(AQ2="",AS2="",BT2&lt;$CK2),"",ROUND($H2,2))</f>
        <v/>
      </c>
      <c r="CW2" s="2"/>
      <c r="CX2" s="1"/>
      <c r="CY2" s="142" t="str">
        <f t="shared" ref="CY2:CY67" si="46">IF(OR(AP2="",AR2="",AQ2&lt;1),"",ROUND($H2*AP2*365/1000000,2))</f>
        <v/>
      </c>
      <c r="CZ2" s="32" t="str">
        <f t="shared" ref="CZ2:CZ67" si="47">IF(OR(BT2="",BV2="",BU2&lt;1),"",ROUND(BT2*$H2*365/1000000,2))</f>
        <v/>
      </c>
    </row>
    <row r="3" spans="1:104" ht="12.75" customHeight="1">
      <c r="A3" s="1">
        <v>4010</v>
      </c>
      <c r="B3" s="1">
        <f t="shared" ref="B3:B68" si="48">IF($D3="STATE",E3,D3)</f>
        <v>176</v>
      </c>
      <c r="C3" s="1">
        <v>472</v>
      </c>
      <c r="D3" s="1">
        <f>VLOOKUP(C3,'2022 counts'!$A$6:$B$304,2,FALSE)</f>
        <v>176</v>
      </c>
      <c r="E3" s="1"/>
      <c r="F3" s="2" t="s">
        <v>6</v>
      </c>
      <c r="G3" s="141">
        <v>20</v>
      </c>
      <c r="H3" s="11">
        <v>0.662551197767</v>
      </c>
      <c r="I3" s="10" t="s">
        <v>157</v>
      </c>
      <c r="J3" s="10" t="s">
        <v>682</v>
      </c>
      <c r="K3" s="10" t="s">
        <v>7</v>
      </c>
      <c r="L3" s="143">
        <v>2</v>
      </c>
      <c r="M3" s="1">
        <f>'State of the System - Sumter Co'!K3</f>
        <v>2</v>
      </c>
      <c r="N3" s="1" t="str">
        <f>IF('State of the System - Sumter Co'!L3="URBAN","U","R")</f>
        <v>U</v>
      </c>
      <c r="O3" s="1" t="str">
        <f>IF('State of the System - Sumter Co'!M3="UNDIVIDED","U",IF('State of the System - Sumter Co'!M3="DIVIDED","D","F"))</f>
        <v>U</v>
      </c>
      <c r="P3" s="1" t="str">
        <f>'State of the System - Sumter Co'!N3</f>
        <v>INTERRUPTED</v>
      </c>
      <c r="Q3" s="1" t="str">
        <f t="shared" si="0"/>
        <v/>
      </c>
      <c r="R3" s="1" t="str">
        <f>'State of the System - Sumter Co'!O3</f>
        <v/>
      </c>
      <c r="S3" s="1" t="str">
        <f t="shared" si="1"/>
        <v>-2</v>
      </c>
      <c r="T3" s="1" t="str">
        <f t="shared" si="2"/>
        <v>U-2U-2</v>
      </c>
      <c r="U3" s="1" t="str">
        <f t="shared" si="3"/>
        <v>U-2U-2</v>
      </c>
      <c r="V3" s="1" t="s">
        <v>10</v>
      </c>
      <c r="W3" s="1" t="s">
        <v>11</v>
      </c>
      <c r="X3" s="1" t="s">
        <v>21</v>
      </c>
      <c r="Y3" s="1" t="str">
        <f>'State of the System - Sumter Co'!R3</f>
        <v>D</v>
      </c>
      <c r="Z3" s="143" t="str">
        <f t="shared" si="4"/>
        <v>Other CMP Network Roadways</v>
      </c>
      <c r="AA3" s="15">
        <f>VLOOKUP($T3,'2020_CapacityTable'!$B$49:$F$71,2)</f>
        <v>0</v>
      </c>
      <c r="AB3" s="15">
        <f>VLOOKUP($T3,'2020_CapacityTable'!$B$49:$F$71,3)</f>
        <v>7300</v>
      </c>
      <c r="AC3" s="15">
        <f>VLOOKUP($T3,'2020_CapacityTable'!$B$49:$F$71,4)</f>
        <v>14800</v>
      </c>
      <c r="AD3" s="15">
        <f>VLOOKUP($T3,'2020_CapacityTable'!$B$49:$F$71,5)</f>
        <v>15600</v>
      </c>
      <c r="AE3" s="35">
        <f t="shared" si="5"/>
        <v>-0.1</v>
      </c>
      <c r="AF3" s="36" t="str">
        <f t="shared" si="6"/>
        <v/>
      </c>
      <c r="AG3" s="35"/>
      <c r="AH3" s="35" t="str">
        <f t="shared" si="7"/>
        <v/>
      </c>
      <c r="AI3" s="35"/>
      <c r="AJ3" s="36"/>
      <c r="AK3" s="15">
        <f t="shared" si="8"/>
        <v>0</v>
      </c>
      <c r="AL3" s="15">
        <f t="shared" si="9"/>
        <v>6570</v>
      </c>
      <c r="AM3" s="15">
        <f t="shared" si="10"/>
        <v>13320</v>
      </c>
      <c r="AN3" s="15">
        <f t="shared" si="11"/>
        <v>14040</v>
      </c>
      <c r="AO3" s="3">
        <f t="shared" ref="AO3:AO36" si="49">IF(Y3="","",IF(Y3="B",AK3,IF(Y3="C",AL3,IF(Y3="D",AM3,AN3))))</f>
        <v>13320</v>
      </c>
      <c r="AP3" s="138">
        <f>VLOOKUP($B3,'2022 counts'!$B$6:$R$304,17,FALSE)</f>
        <v>8132</v>
      </c>
      <c r="AQ3" s="11">
        <f t="shared" si="12"/>
        <v>0.61</v>
      </c>
      <c r="AR3" s="2" t="str">
        <f t="shared" si="13"/>
        <v>D</v>
      </c>
      <c r="AS3" s="26">
        <f t="shared" ref="AS3:AS67" si="50">IF(AP3="-","",ROUND(AP3*H3*365/1000000,2))</f>
        <v>1.97</v>
      </c>
      <c r="AT3" s="15">
        <f>VLOOKUP($T3,'2020_CapacityTable'!$B$23:$F$45,2)</f>
        <v>0</v>
      </c>
      <c r="AU3" s="15">
        <f>VLOOKUP($T3,'2020_CapacityTable'!$B$23:$F$45,3)</f>
        <v>370</v>
      </c>
      <c r="AV3" s="15">
        <f>VLOOKUP($T3,'2020_CapacityTable'!$B$23:$F$45,4)</f>
        <v>750</v>
      </c>
      <c r="AW3" s="15">
        <f>VLOOKUP($T3,'2020_CapacityTable'!$B$23:$F$45,5)</f>
        <v>800</v>
      </c>
      <c r="AX3" s="15">
        <f t="shared" si="14"/>
        <v>0</v>
      </c>
      <c r="AY3" s="15">
        <f t="shared" si="15"/>
        <v>333</v>
      </c>
      <c r="AZ3" s="15">
        <f t="shared" si="16"/>
        <v>675</v>
      </c>
      <c r="BA3" s="15">
        <f t="shared" si="17"/>
        <v>720</v>
      </c>
      <c r="BB3" s="3">
        <f t="shared" si="18"/>
        <v>675</v>
      </c>
      <c r="BC3" s="138">
        <f>VLOOKUP($B3,'2022 counts'!$B$6:$AD$304,28,FALSE)</f>
        <v>463</v>
      </c>
      <c r="BD3" s="138">
        <f>VLOOKUP($B3,'2022 counts'!$B$6:$AD$304,29,FALSE)</f>
        <v>403</v>
      </c>
      <c r="BE3" s="11">
        <f t="shared" si="19"/>
        <v>0.69</v>
      </c>
      <c r="BF3" s="2" t="str">
        <f t="shared" si="20"/>
        <v>D</v>
      </c>
      <c r="BG3" s="135">
        <v>0</v>
      </c>
      <c r="BH3" s="135">
        <f>IF($AQ3="","",VLOOKUP($B3, '2022 counts'!$B$6:$T$304,19,FALSE))</f>
        <v>0</v>
      </c>
      <c r="BI3" s="38">
        <f t="shared" si="21"/>
        <v>0.01</v>
      </c>
      <c r="BJ3" s="39" t="str">
        <f t="shared" si="22"/>
        <v>minimum</v>
      </c>
      <c r="BK3" s="15">
        <f>VLOOKUP($U3,'2020_CapacityTable'!$B$49:$F$71,2)</f>
        <v>0</v>
      </c>
      <c r="BL3" s="15">
        <f>VLOOKUP($U3,'2020_CapacityTable'!$B$49:$F$71,3)</f>
        <v>7300</v>
      </c>
      <c r="BM3" s="15">
        <f>VLOOKUP($T3,'2020_CapacityTable'!$B$49:$F$71,4)</f>
        <v>14800</v>
      </c>
      <c r="BN3" s="15">
        <f>VLOOKUP($T3,'2020_CapacityTable'!$B$49:$F$71,5)</f>
        <v>15600</v>
      </c>
      <c r="BO3" s="15">
        <f t="shared" si="23"/>
        <v>0</v>
      </c>
      <c r="BP3" s="15">
        <f t="shared" si="24"/>
        <v>6570</v>
      </c>
      <c r="BQ3" s="15">
        <f t="shared" si="25"/>
        <v>13320</v>
      </c>
      <c r="BR3" s="15">
        <f t="shared" si="26"/>
        <v>14040</v>
      </c>
      <c r="BS3" s="3">
        <f t="shared" si="27"/>
        <v>13320</v>
      </c>
      <c r="BT3" s="40">
        <f>'State of the System - Sumter Co'!AD3</f>
        <v>8547</v>
      </c>
      <c r="BU3" s="41">
        <f t="shared" si="28"/>
        <v>0.64</v>
      </c>
      <c r="BV3" s="2" t="str">
        <f t="shared" si="29"/>
        <v>D</v>
      </c>
      <c r="BW3" s="2">
        <f t="shared" si="30"/>
        <v>2.0699999999999998</v>
      </c>
      <c r="BX3" s="15">
        <f>VLOOKUP($U3,'2020_CapacityTable'!$B$23:$F$45,2)</f>
        <v>0</v>
      </c>
      <c r="BY3" s="15">
        <f>VLOOKUP($U3,'2020_CapacityTable'!$B$23:$F$45,3)</f>
        <v>370</v>
      </c>
      <c r="BZ3" s="15">
        <f>VLOOKUP($U3,'2020_CapacityTable'!$B$23:$F$45,4)</f>
        <v>750</v>
      </c>
      <c r="CA3" s="15">
        <f>VLOOKUP($U3,'2020_CapacityTable'!$B$23:$F$45,5)</f>
        <v>800</v>
      </c>
      <c r="CB3" s="15">
        <f t="shared" si="31"/>
        <v>0</v>
      </c>
      <c r="CC3" s="15">
        <f t="shared" si="32"/>
        <v>333</v>
      </c>
      <c r="CD3" s="15">
        <f t="shared" si="33"/>
        <v>675</v>
      </c>
      <c r="CE3" s="15">
        <f t="shared" si="34"/>
        <v>720</v>
      </c>
      <c r="CF3" s="3">
        <f t="shared" si="35"/>
        <v>675</v>
      </c>
      <c r="CG3" s="2">
        <f>'State of the System - Sumter Co'!AH3</f>
        <v>487</v>
      </c>
      <c r="CH3" s="2">
        <f>'State of the System - Sumter Co'!AI3</f>
        <v>424</v>
      </c>
      <c r="CI3" s="11">
        <f t="shared" si="36"/>
        <v>0.72</v>
      </c>
      <c r="CJ3" s="2" t="str">
        <f t="shared" si="37"/>
        <v>D</v>
      </c>
      <c r="CK3" s="3">
        <f t="shared" ref="CK3:CK67" si="51">ROUND(1.08*AN3,0)</f>
        <v>15163</v>
      </c>
      <c r="CL3" s="11">
        <f t="shared" si="38"/>
        <v>0.56000000000000005</v>
      </c>
      <c r="CM3" s="140" t="str">
        <f t="shared" si="39"/>
        <v>NOT CONGESTED</v>
      </c>
      <c r="CN3" s="3">
        <f t="shared" si="40"/>
        <v>778</v>
      </c>
      <c r="CO3" s="11">
        <f t="shared" si="41"/>
        <v>0.63</v>
      </c>
      <c r="CP3" s="141" t="str">
        <f t="shared" si="42"/>
        <v>NOT CONGESTED</v>
      </c>
      <c r="CQ3" s="3"/>
      <c r="CR3" s="3"/>
      <c r="CS3" s="140" t="str">
        <f t="shared" si="43"/>
        <v/>
      </c>
      <c r="CT3" s="11" t="str">
        <f t="shared" si="44"/>
        <v/>
      </c>
      <c r="CU3" s="140" t="str">
        <f t="shared" ref="CU3:CU67" si="52">IF(OR(AP3="",AR3="",AP3&lt;$CK3),"",ROUND($H3,2))</f>
        <v/>
      </c>
      <c r="CV3" s="11" t="str">
        <f t="shared" si="45"/>
        <v/>
      </c>
      <c r="CW3" s="2"/>
      <c r="CX3" s="1"/>
      <c r="CY3" s="142" t="str">
        <f t="shared" si="46"/>
        <v/>
      </c>
      <c r="CZ3" s="32" t="str">
        <f t="shared" si="47"/>
        <v/>
      </c>
    </row>
    <row r="4" spans="1:104" ht="12.75" customHeight="1">
      <c r="A4" s="1">
        <v>4020</v>
      </c>
      <c r="B4" s="1">
        <f t="shared" si="48"/>
        <v>178</v>
      </c>
      <c r="C4" s="1">
        <v>470</v>
      </c>
      <c r="D4" s="1">
        <f>VLOOKUP(C4,'2022 counts'!$A$6:$B$304,2,FALSE)</f>
        <v>178</v>
      </c>
      <c r="E4" s="1"/>
      <c r="F4" s="2" t="s">
        <v>6</v>
      </c>
      <c r="G4" s="141">
        <v>20</v>
      </c>
      <c r="H4" s="11">
        <v>0.82546720476299995</v>
      </c>
      <c r="I4" s="10" t="s">
        <v>157</v>
      </c>
      <c r="J4" s="10" t="s">
        <v>7</v>
      </c>
      <c r="K4" s="10" t="s">
        <v>18</v>
      </c>
      <c r="L4" s="143">
        <v>2</v>
      </c>
      <c r="M4" s="1">
        <f>'State of the System - Sumter Co'!K4</f>
        <v>2</v>
      </c>
      <c r="N4" s="1" t="str">
        <f>IF('State of the System - Sumter Co'!L4="URBAN","U","R")</f>
        <v>U</v>
      </c>
      <c r="O4" s="1" t="str">
        <f>IF('State of the System - Sumter Co'!M4="UNDIVIDED","U",IF('State of the System - Sumter Co'!M4="DIVIDED","D","F"))</f>
        <v>U</v>
      </c>
      <c r="P4" s="1" t="str">
        <f>'State of the System - Sumter Co'!N4</f>
        <v>INTERRUPTED</v>
      </c>
      <c r="Q4" s="1" t="str">
        <f t="shared" si="0"/>
        <v/>
      </c>
      <c r="R4" s="1" t="str">
        <f>'State of the System - Sumter Co'!O4</f>
        <v/>
      </c>
      <c r="S4" s="1" t="str">
        <f t="shared" si="1"/>
        <v>-2</v>
      </c>
      <c r="T4" s="1" t="str">
        <f t="shared" si="2"/>
        <v>U-2U-2</v>
      </c>
      <c r="U4" s="1" t="str">
        <f t="shared" si="3"/>
        <v>U-2U-2</v>
      </c>
      <c r="V4" s="1" t="s">
        <v>10</v>
      </c>
      <c r="W4" s="1" t="s">
        <v>11</v>
      </c>
      <c r="X4" s="1" t="s">
        <v>21</v>
      </c>
      <c r="Y4" s="1" t="str">
        <f>'State of the System - Sumter Co'!R4</f>
        <v>D</v>
      </c>
      <c r="Z4" s="143" t="str">
        <f t="shared" si="4"/>
        <v>Other CMP Network Roadways</v>
      </c>
      <c r="AA4" s="15">
        <f>VLOOKUP($T4,'2020_CapacityTable'!$B$49:$F$71,2)</f>
        <v>0</v>
      </c>
      <c r="AB4" s="15">
        <f>VLOOKUP($T4,'2020_CapacityTable'!$B$49:$F$71,3)</f>
        <v>7300</v>
      </c>
      <c r="AC4" s="15">
        <f>VLOOKUP($T4,'2020_CapacityTable'!$B$49:$F$71,4)</f>
        <v>14800</v>
      </c>
      <c r="AD4" s="15">
        <f>VLOOKUP($T4,'2020_CapacityTable'!$B$49:$F$71,5)</f>
        <v>15600</v>
      </c>
      <c r="AE4" s="35">
        <f t="shared" si="5"/>
        <v>-0.1</v>
      </c>
      <c r="AF4" s="36" t="str">
        <f t="shared" si="6"/>
        <v/>
      </c>
      <c r="AG4" s="35"/>
      <c r="AH4" s="35" t="str">
        <f t="shared" si="7"/>
        <v/>
      </c>
      <c r="AI4" s="35"/>
      <c r="AJ4" s="36"/>
      <c r="AK4" s="15">
        <f t="shared" si="8"/>
        <v>0</v>
      </c>
      <c r="AL4" s="15">
        <f t="shared" si="9"/>
        <v>6570</v>
      </c>
      <c r="AM4" s="15">
        <f t="shared" si="10"/>
        <v>13320</v>
      </c>
      <c r="AN4" s="15">
        <f t="shared" si="11"/>
        <v>14040</v>
      </c>
      <c r="AO4" s="3">
        <f t="shared" si="49"/>
        <v>13320</v>
      </c>
      <c r="AP4" s="138">
        <f>VLOOKUP($B4,'2022 counts'!$B$6:$R$304,17,FALSE)</f>
        <v>11586</v>
      </c>
      <c r="AQ4" s="11">
        <f t="shared" si="12"/>
        <v>0.87</v>
      </c>
      <c r="AR4" s="2" t="str">
        <f t="shared" si="13"/>
        <v>D</v>
      </c>
      <c r="AS4" s="26">
        <f t="shared" si="50"/>
        <v>3.49</v>
      </c>
      <c r="AT4" s="15">
        <f>VLOOKUP($T4,'2020_CapacityTable'!$B$23:$F$45,2)</f>
        <v>0</v>
      </c>
      <c r="AU4" s="15">
        <f>VLOOKUP($T4,'2020_CapacityTable'!$B$23:$F$45,3)</f>
        <v>370</v>
      </c>
      <c r="AV4" s="15">
        <f>VLOOKUP($T4,'2020_CapacityTable'!$B$23:$F$45,4)</f>
        <v>750</v>
      </c>
      <c r="AW4" s="15">
        <f>VLOOKUP($T4,'2020_CapacityTable'!$B$23:$F$45,5)</f>
        <v>800</v>
      </c>
      <c r="AX4" s="15">
        <f t="shared" si="14"/>
        <v>0</v>
      </c>
      <c r="AY4" s="15">
        <f t="shared" si="15"/>
        <v>333</v>
      </c>
      <c r="AZ4" s="15">
        <f t="shared" si="16"/>
        <v>675</v>
      </c>
      <c r="BA4" s="15">
        <f t="shared" si="17"/>
        <v>720</v>
      </c>
      <c r="BB4" s="3">
        <f t="shared" si="18"/>
        <v>675</v>
      </c>
      <c r="BC4" s="138">
        <f>VLOOKUP($B4,'2022 counts'!$B$6:$AD$304,28,FALSE)</f>
        <v>627</v>
      </c>
      <c r="BD4" s="138">
        <f>VLOOKUP($B4,'2022 counts'!$B$6:$AD$304,29,FALSE)</f>
        <v>519</v>
      </c>
      <c r="BE4" s="11">
        <f t="shared" si="19"/>
        <v>0.93</v>
      </c>
      <c r="BF4" s="2" t="str">
        <f t="shared" si="20"/>
        <v>D</v>
      </c>
      <c r="BG4" s="135">
        <v>1.4999999999999999E-2</v>
      </c>
      <c r="BH4" s="135">
        <f>IF($AQ4="","",VLOOKUP($B4, '2022 counts'!$B$6:$T$304,19,FALSE))</f>
        <v>1.4999999999999999E-2</v>
      </c>
      <c r="BI4" s="38">
        <f t="shared" si="21"/>
        <v>1.4999999999999999E-2</v>
      </c>
      <c r="BJ4" s="39" t="str">
        <f t="shared" si="22"/>
        <v/>
      </c>
      <c r="BK4" s="15">
        <f>VLOOKUP($U4,'2020_CapacityTable'!$B$49:$F$71,2)</f>
        <v>0</v>
      </c>
      <c r="BL4" s="15">
        <f>VLOOKUP($U4,'2020_CapacityTable'!$B$49:$F$71,3)</f>
        <v>7300</v>
      </c>
      <c r="BM4" s="15">
        <f>VLOOKUP($T4,'2020_CapacityTable'!$B$49:$F$71,4)</f>
        <v>14800</v>
      </c>
      <c r="BN4" s="15">
        <f>VLOOKUP($T4,'2020_CapacityTable'!$B$49:$F$71,5)</f>
        <v>15600</v>
      </c>
      <c r="BO4" s="15">
        <f t="shared" si="23"/>
        <v>0</v>
      </c>
      <c r="BP4" s="15">
        <f t="shared" si="24"/>
        <v>6570</v>
      </c>
      <c r="BQ4" s="15">
        <f t="shared" si="25"/>
        <v>13320</v>
      </c>
      <c r="BR4" s="15">
        <f t="shared" si="26"/>
        <v>14040</v>
      </c>
      <c r="BS4" s="3">
        <f t="shared" si="27"/>
        <v>13320</v>
      </c>
      <c r="BT4" s="40">
        <f>'State of the System - Sumter Co'!AD4</f>
        <v>12481</v>
      </c>
      <c r="BU4" s="41">
        <f t="shared" si="28"/>
        <v>0.94</v>
      </c>
      <c r="BV4" s="2" t="str">
        <f t="shared" si="29"/>
        <v>D</v>
      </c>
      <c r="BW4" s="2">
        <f t="shared" si="30"/>
        <v>3.76</v>
      </c>
      <c r="BX4" s="15">
        <f>VLOOKUP($U4,'2020_CapacityTable'!$B$23:$F$45,2)</f>
        <v>0</v>
      </c>
      <c r="BY4" s="15">
        <f>VLOOKUP($U4,'2020_CapacityTable'!$B$23:$F$45,3)</f>
        <v>370</v>
      </c>
      <c r="BZ4" s="15">
        <f>VLOOKUP($U4,'2020_CapacityTable'!$B$23:$F$45,4)</f>
        <v>750</v>
      </c>
      <c r="CA4" s="15">
        <f>VLOOKUP($U4,'2020_CapacityTable'!$B$23:$F$45,5)</f>
        <v>800</v>
      </c>
      <c r="CB4" s="15">
        <f t="shared" si="31"/>
        <v>0</v>
      </c>
      <c r="CC4" s="15">
        <f t="shared" si="32"/>
        <v>333</v>
      </c>
      <c r="CD4" s="15">
        <f t="shared" si="33"/>
        <v>675</v>
      </c>
      <c r="CE4" s="15">
        <f t="shared" si="34"/>
        <v>720</v>
      </c>
      <c r="CF4" s="3">
        <f t="shared" si="35"/>
        <v>675</v>
      </c>
      <c r="CG4" s="2">
        <f>'State of the System - Sumter Co'!AH4</f>
        <v>675</v>
      </c>
      <c r="CH4" s="2">
        <f>'State of the System - Sumter Co'!AI4</f>
        <v>559</v>
      </c>
      <c r="CI4" s="11">
        <f t="shared" si="36"/>
        <v>1</v>
      </c>
      <c r="CJ4" s="2" t="str">
        <f t="shared" si="37"/>
        <v>D</v>
      </c>
      <c r="CK4" s="3">
        <f t="shared" si="51"/>
        <v>15163</v>
      </c>
      <c r="CL4" s="11">
        <f t="shared" si="38"/>
        <v>0.82</v>
      </c>
      <c r="CM4" s="140" t="str">
        <f t="shared" si="39"/>
        <v>APPROACHING CONGESTION</v>
      </c>
      <c r="CN4" s="3">
        <f t="shared" si="40"/>
        <v>778</v>
      </c>
      <c r="CO4" s="11">
        <f t="shared" si="41"/>
        <v>0.87</v>
      </c>
      <c r="CP4" s="141" t="str">
        <f t="shared" si="42"/>
        <v>APPROACHING CONGESTION</v>
      </c>
      <c r="CQ4" s="2" t="s">
        <v>560</v>
      </c>
      <c r="CR4" s="43">
        <v>1</v>
      </c>
      <c r="CS4" s="140" t="str">
        <f t="shared" si="43"/>
        <v/>
      </c>
      <c r="CT4" s="11" t="str">
        <f t="shared" si="44"/>
        <v/>
      </c>
      <c r="CU4" s="140" t="str">
        <f t="shared" si="52"/>
        <v/>
      </c>
      <c r="CV4" s="11" t="str">
        <f t="shared" si="45"/>
        <v/>
      </c>
      <c r="CW4" s="2"/>
      <c r="CX4" s="1"/>
      <c r="CY4" s="142" t="str">
        <f t="shared" si="46"/>
        <v/>
      </c>
      <c r="CZ4" s="32" t="str">
        <f t="shared" si="47"/>
        <v/>
      </c>
    </row>
    <row r="5" spans="1:104" ht="12.75" customHeight="1">
      <c r="A5" s="1">
        <v>4030</v>
      </c>
      <c r="B5" s="1">
        <f t="shared" si="48"/>
        <v>183</v>
      </c>
      <c r="C5" s="1">
        <v>476</v>
      </c>
      <c r="D5" s="1">
        <f>VLOOKUP(C5,'2022 counts'!$A$6:$B$304,2,FALSE)</f>
        <v>183</v>
      </c>
      <c r="E5" s="1"/>
      <c r="F5" s="2" t="s">
        <v>6</v>
      </c>
      <c r="G5" s="141">
        <v>20</v>
      </c>
      <c r="H5" s="11">
        <v>0.54660748977200002</v>
      </c>
      <c r="I5" s="10" t="s">
        <v>174</v>
      </c>
      <c r="J5" s="10" t="s">
        <v>175</v>
      </c>
      <c r="K5" s="10" t="s">
        <v>14</v>
      </c>
      <c r="L5" s="143">
        <v>2</v>
      </c>
      <c r="M5" s="1">
        <f>'State of the System - Sumter Co'!K5</f>
        <v>2</v>
      </c>
      <c r="N5" s="1" t="str">
        <f>IF('State of the System - Sumter Co'!L5="URBAN","U","R")</f>
        <v>U</v>
      </c>
      <c r="O5" s="1" t="str">
        <f>IF('State of the System - Sumter Co'!M5="UNDIVIDED","U",IF('State of the System - Sumter Co'!M5="DIVIDED","D","F"))</f>
        <v>U</v>
      </c>
      <c r="P5" s="1" t="str">
        <f>'State of the System - Sumter Co'!N5</f>
        <v>INTERRUPTED</v>
      </c>
      <c r="Q5" s="1" t="str">
        <f t="shared" si="0"/>
        <v/>
      </c>
      <c r="R5" s="1" t="str">
        <f>'State of the System - Sumter Co'!O5</f>
        <v/>
      </c>
      <c r="S5" s="1" t="str">
        <f t="shared" si="1"/>
        <v>-2</v>
      </c>
      <c r="T5" s="1" t="str">
        <f t="shared" si="2"/>
        <v>U-2U-2</v>
      </c>
      <c r="U5" s="1" t="str">
        <f t="shared" si="3"/>
        <v>U-2U-2</v>
      </c>
      <c r="V5" s="1" t="s">
        <v>10</v>
      </c>
      <c r="W5" s="1" t="s">
        <v>11</v>
      </c>
      <c r="X5" s="1" t="s">
        <v>21</v>
      </c>
      <c r="Y5" s="1" t="str">
        <f>'State of the System - Sumter Co'!R5</f>
        <v>D</v>
      </c>
      <c r="Z5" s="143" t="str">
        <f t="shared" si="4"/>
        <v>Other CMP Network Roadways</v>
      </c>
      <c r="AA5" s="15">
        <f>VLOOKUP($T5,'2020_CapacityTable'!$B$49:$F$71,2)</f>
        <v>0</v>
      </c>
      <c r="AB5" s="15">
        <f>VLOOKUP($T5,'2020_CapacityTable'!$B$49:$F$71,3)</f>
        <v>7300</v>
      </c>
      <c r="AC5" s="15">
        <f>VLOOKUP($T5,'2020_CapacityTable'!$B$49:$F$71,4)</f>
        <v>14800</v>
      </c>
      <c r="AD5" s="15">
        <f>VLOOKUP($T5,'2020_CapacityTable'!$B$49:$F$71,5)</f>
        <v>15600</v>
      </c>
      <c r="AE5" s="35">
        <f t="shared" si="5"/>
        <v>-0.1</v>
      </c>
      <c r="AF5" s="36" t="str">
        <f t="shared" si="6"/>
        <v/>
      </c>
      <c r="AG5" s="35">
        <v>-0.2</v>
      </c>
      <c r="AH5" s="35" t="str">
        <f t="shared" si="7"/>
        <v/>
      </c>
      <c r="AI5" s="35"/>
      <c r="AJ5" s="36"/>
      <c r="AK5" s="15">
        <f t="shared" si="8"/>
        <v>0</v>
      </c>
      <c r="AL5" s="15">
        <f t="shared" si="9"/>
        <v>5110</v>
      </c>
      <c r="AM5" s="15">
        <f t="shared" si="10"/>
        <v>10360</v>
      </c>
      <c r="AN5" s="15">
        <f t="shared" si="11"/>
        <v>10920</v>
      </c>
      <c r="AO5" s="3">
        <f t="shared" si="49"/>
        <v>10360</v>
      </c>
      <c r="AP5" s="138">
        <f>VLOOKUP($B5,'2022 counts'!$B$6:$R$304,17,FALSE)</f>
        <v>3339</v>
      </c>
      <c r="AQ5" s="11">
        <f t="shared" si="12"/>
        <v>0.32</v>
      </c>
      <c r="AR5" s="2" t="str">
        <f t="shared" si="13"/>
        <v>C</v>
      </c>
      <c r="AS5" s="26">
        <f t="shared" si="50"/>
        <v>0.67</v>
      </c>
      <c r="AT5" s="15">
        <f>VLOOKUP($T5,'2020_CapacityTable'!$B$23:$F$45,2)</f>
        <v>0</v>
      </c>
      <c r="AU5" s="15">
        <f>VLOOKUP($T5,'2020_CapacityTable'!$B$23:$F$45,3)</f>
        <v>370</v>
      </c>
      <c r="AV5" s="15">
        <f>VLOOKUP($T5,'2020_CapacityTable'!$B$23:$F$45,4)</f>
        <v>750</v>
      </c>
      <c r="AW5" s="15">
        <f>VLOOKUP($T5,'2020_CapacityTable'!$B$23:$F$45,5)</f>
        <v>800</v>
      </c>
      <c r="AX5" s="15">
        <f t="shared" si="14"/>
        <v>0</v>
      </c>
      <c r="AY5" s="15">
        <f t="shared" si="15"/>
        <v>259</v>
      </c>
      <c r="AZ5" s="15">
        <f t="shared" si="16"/>
        <v>525</v>
      </c>
      <c r="BA5" s="15">
        <f t="shared" si="17"/>
        <v>560</v>
      </c>
      <c r="BB5" s="3">
        <f t="shared" si="18"/>
        <v>525</v>
      </c>
      <c r="BC5" s="138">
        <f>VLOOKUP($B5,'2022 counts'!$B$6:$AD$304,28,FALSE)</f>
        <v>143</v>
      </c>
      <c r="BD5" s="138">
        <f>VLOOKUP($B5,'2022 counts'!$B$6:$AD$304,29,FALSE)</f>
        <v>169</v>
      </c>
      <c r="BE5" s="11">
        <f t="shared" si="19"/>
        <v>0.32</v>
      </c>
      <c r="BF5" s="2" t="str">
        <f t="shared" si="20"/>
        <v>C</v>
      </c>
      <c r="BG5" s="135">
        <v>0</v>
      </c>
      <c r="BH5" s="135">
        <f>IF($AQ5="","",VLOOKUP($B5, '2022 counts'!$B$6:$T$304,19,FALSE))</f>
        <v>0</v>
      </c>
      <c r="BI5" s="38">
        <f t="shared" si="21"/>
        <v>0.01</v>
      </c>
      <c r="BJ5" s="39" t="str">
        <f t="shared" si="22"/>
        <v>minimum</v>
      </c>
      <c r="BK5" s="15">
        <f>VLOOKUP($U5,'2020_CapacityTable'!$B$49:$F$71,2)</f>
        <v>0</v>
      </c>
      <c r="BL5" s="15">
        <f>VLOOKUP($U5,'2020_CapacityTable'!$B$49:$F$71,3)</f>
        <v>7300</v>
      </c>
      <c r="BM5" s="15">
        <f>VLOOKUP($T5,'2020_CapacityTable'!$B$49:$F$71,4)</f>
        <v>14800</v>
      </c>
      <c r="BN5" s="15">
        <f>VLOOKUP($T5,'2020_CapacityTable'!$B$49:$F$71,5)</f>
        <v>15600</v>
      </c>
      <c r="BO5" s="15">
        <f t="shared" si="23"/>
        <v>0</v>
      </c>
      <c r="BP5" s="15">
        <f t="shared" si="24"/>
        <v>5110</v>
      </c>
      <c r="BQ5" s="15">
        <f t="shared" si="25"/>
        <v>10360</v>
      </c>
      <c r="BR5" s="15">
        <f t="shared" si="26"/>
        <v>10920</v>
      </c>
      <c r="BS5" s="3">
        <f t="shared" si="27"/>
        <v>10360</v>
      </c>
      <c r="BT5" s="40">
        <f>'State of the System - Sumter Co'!AD5</f>
        <v>3509</v>
      </c>
      <c r="BU5" s="41">
        <f t="shared" si="28"/>
        <v>0.34</v>
      </c>
      <c r="BV5" s="2" t="str">
        <f t="shared" si="29"/>
        <v>C</v>
      </c>
      <c r="BW5" s="2">
        <f t="shared" si="30"/>
        <v>0.7</v>
      </c>
      <c r="BX5" s="15">
        <f>VLOOKUP($U5,'2020_CapacityTable'!$B$23:$F$45,2)</f>
        <v>0</v>
      </c>
      <c r="BY5" s="15">
        <f>VLOOKUP($U5,'2020_CapacityTable'!$B$23:$F$45,3)</f>
        <v>370</v>
      </c>
      <c r="BZ5" s="15">
        <f>VLOOKUP($U5,'2020_CapacityTable'!$B$23:$F$45,4)</f>
        <v>750</v>
      </c>
      <c r="CA5" s="15">
        <f>VLOOKUP($U5,'2020_CapacityTable'!$B$23:$F$45,5)</f>
        <v>800</v>
      </c>
      <c r="CB5" s="15">
        <f t="shared" si="31"/>
        <v>0</v>
      </c>
      <c r="CC5" s="15">
        <f t="shared" si="32"/>
        <v>259</v>
      </c>
      <c r="CD5" s="15">
        <f t="shared" si="33"/>
        <v>525</v>
      </c>
      <c r="CE5" s="15">
        <f t="shared" si="34"/>
        <v>560</v>
      </c>
      <c r="CF5" s="3">
        <f t="shared" si="35"/>
        <v>525</v>
      </c>
      <c r="CG5" s="2">
        <f>'State of the System - Sumter Co'!AH5</f>
        <v>150</v>
      </c>
      <c r="CH5" s="2">
        <f>'State of the System - Sumter Co'!AI5</f>
        <v>178</v>
      </c>
      <c r="CI5" s="11">
        <f t="shared" si="36"/>
        <v>0.34</v>
      </c>
      <c r="CJ5" s="2" t="str">
        <f t="shared" si="37"/>
        <v>C</v>
      </c>
      <c r="CK5" s="3">
        <f t="shared" si="51"/>
        <v>11794</v>
      </c>
      <c r="CL5" s="11">
        <f t="shared" si="38"/>
        <v>0.3</v>
      </c>
      <c r="CM5" s="140" t="str">
        <f t="shared" si="39"/>
        <v>NOT CONGESTED</v>
      </c>
      <c r="CN5" s="3">
        <f t="shared" si="40"/>
        <v>605</v>
      </c>
      <c r="CO5" s="11">
        <f t="shared" si="41"/>
        <v>0.28999999999999998</v>
      </c>
      <c r="CP5" s="141" t="str">
        <f t="shared" si="42"/>
        <v>NOT CONGESTED</v>
      </c>
      <c r="CQ5" s="2"/>
      <c r="CR5" s="42"/>
      <c r="CS5" s="140" t="str">
        <f t="shared" si="43"/>
        <v/>
      </c>
      <c r="CT5" s="11" t="str">
        <f t="shared" si="44"/>
        <v/>
      </c>
      <c r="CU5" s="140" t="str">
        <f t="shared" si="52"/>
        <v/>
      </c>
      <c r="CV5" s="11" t="str">
        <f t="shared" si="45"/>
        <v/>
      </c>
      <c r="CW5" s="2"/>
      <c r="CX5" s="1"/>
      <c r="CY5" s="142" t="str">
        <f t="shared" si="46"/>
        <v/>
      </c>
      <c r="CZ5" s="32" t="str">
        <f t="shared" si="47"/>
        <v/>
      </c>
    </row>
    <row r="6" spans="1:104" ht="12.75" customHeight="1">
      <c r="A6" s="1">
        <v>4040</v>
      </c>
      <c r="B6" s="1">
        <f t="shared" si="48"/>
        <v>11</v>
      </c>
      <c r="C6" s="1">
        <v>478</v>
      </c>
      <c r="D6" s="1">
        <f>VLOOKUP(C6,'2022 counts'!$A$6:$B$304,2,FALSE)</f>
        <v>11</v>
      </c>
      <c r="E6" s="1"/>
      <c r="F6" s="2" t="s">
        <v>6</v>
      </c>
      <c r="G6" s="141">
        <v>20</v>
      </c>
      <c r="H6" s="11">
        <v>0.71353581461799997</v>
      </c>
      <c r="I6" s="10" t="s">
        <v>37</v>
      </c>
      <c r="J6" s="10" t="s">
        <v>38</v>
      </c>
      <c r="K6" s="10" t="s">
        <v>14</v>
      </c>
      <c r="L6" s="143">
        <v>2</v>
      </c>
      <c r="M6" s="1">
        <f>'State of the System - Sumter Co'!K6</f>
        <v>2</v>
      </c>
      <c r="N6" s="1" t="str">
        <f>IF('State of the System - Sumter Co'!L6="URBAN","U","R")</f>
        <v>U</v>
      </c>
      <c r="O6" s="1" t="str">
        <f>IF('State of the System - Sumter Co'!M6="UNDIVIDED","U",IF('State of the System - Sumter Co'!M6="DIVIDED","D","F"))</f>
        <v>U</v>
      </c>
      <c r="P6" s="1" t="str">
        <f>'State of the System - Sumter Co'!N6</f>
        <v>INTERRUPTED</v>
      </c>
      <c r="Q6" s="1" t="str">
        <f t="shared" si="0"/>
        <v/>
      </c>
      <c r="R6" s="1" t="str">
        <f>'State of the System - Sumter Co'!O6</f>
        <v/>
      </c>
      <c r="S6" s="1" t="str">
        <f t="shared" si="1"/>
        <v>-2</v>
      </c>
      <c r="T6" s="1" t="str">
        <f t="shared" si="2"/>
        <v>U-2U-2</v>
      </c>
      <c r="U6" s="1" t="str">
        <f t="shared" si="3"/>
        <v>U-2U-2</v>
      </c>
      <c r="V6" s="1" t="s">
        <v>10</v>
      </c>
      <c r="W6" s="1" t="s">
        <v>11</v>
      </c>
      <c r="X6" s="1" t="s">
        <v>21</v>
      </c>
      <c r="Y6" s="1" t="str">
        <f>'State of the System - Sumter Co'!R6</f>
        <v>D</v>
      </c>
      <c r="Z6" s="143" t="str">
        <f t="shared" si="4"/>
        <v>Other CMP Network Roadways</v>
      </c>
      <c r="AA6" s="15">
        <f>VLOOKUP($T6,'2020_CapacityTable'!$B$49:$F$71,2)</f>
        <v>0</v>
      </c>
      <c r="AB6" s="15">
        <f>VLOOKUP($T6,'2020_CapacityTable'!$B$49:$F$71,3)</f>
        <v>7300</v>
      </c>
      <c r="AC6" s="15">
        <f>VLOOKUP($T6,'2020_CapacityTable'!$B$49:$F$71,4)</f>
        <v>14800</v>
      </c>
      <c r="AD6" s="15">
        <f>VLOOKUP($T6,'2020_CapacityTable'!$B$49:$F$71,5)</f>
        <v>15600</v>
      </c>
      <c r="AE6" s="35">
        <f t="shared" si="5"/>
        <v>-0.1</v>
      </c>
      <c r="AF6" s="36" t="str">
        <f t="shared" si="6"/>
        <v/>
      </c>
      <c r="AG6" s="35">
        <v>-0.2</v>
      </c>
      <c r="AH6" s="35" t="str">
        <f t="shared" si="7"/>
        <v/>
      </c>
      <c r="AI6" s="35"/>
      <c r="AJ6" s="36"/>
      <c r="AK6" s="15">
        <f t="shared" si="8"/>
        <v>0</v>
      </c>
      <c r="AL6" s="15">
        <f t="shared" si="9"/>
        <v>5110</v>
      </c>
      <c r="AM6" s="15">
        <f t="shared" si="10"/>
        <v>10360</v>
      </c>
      <c r="AN6" s="15">
        <f t="shared" si="11"/>
        <v>10920</v>
      </c>
      <c r="AO6" s="3">
        <f t="shared" si="49"/>
        <v>10360</v>
      </c>
      <c r="AP6" s="138">
        <f>VLOOKUP($B6,'2022 counts'!$B$6:$R$304,17,FALSE)</f>
        <v>5707</v>
      </c>
      <c r="AQ6" s="11">
        <f t="shared" si="12"/>
        <v>0.55000000000000004</v>
      </c>
      <c r="AR6" s="2" t="str">
        <f t="shared" si="13"/>
        <v>D</v>
      </c>
      <c r="AS6" s="26">
        <f t="shared" si="50"/>
        <v>1.49</v>
      </c>
      <c r="AT6" s="15">
        <f>VLOOKUP($T6,'2020_CapacityTable'!$B$23:$F$45,2)</f>
        <v>0</v>
      </c>
      <c r="AU6" s="15">
        <f>VLOOKUP($T6,'2020_CapacityTable'!$B$23:$F$45,3)</f>
        <v>370</v>
      </c>
      <c r="AV6" s="15">
        <f>VLOOKUP($T6,'2020_CapacityTable'!$B$23:$F$45,4)</f>
        <v>750</v>
      </c>
      <c r="AW6" s="15">
        <f>VLOOKUP($T6,'2020_CapacityTable'!$B$23:$F$45,5)</f>
        <v>800</v>
      </c>
      <c r="AX6" s="15">
        <f t="shared" si="14"/>
        <v>0</v>
      </c>
      <c r="AY6" s="15">
        <f t="shared" si="15"/>
        <v>259</v>
      </c>
      <c r="AZ6" s="15">
        <f t="shared" si="16"/>
        <v>525</v>
      </c>
      <c r="BA6" s="15">
        <f t="shared" si="17"/>
        <v>560</v>
      </c>
      <c r="BB6" s="3">
        <f t="shared" si="18"/>
        <v>525</v>
      </c>
      <c r="BC6" s="138">
        <f>VLOOKUP($B6,'2022 counts'!$B$6:$AD$304,28,FALSE)</f>
        <v>280</v>
      </c>
      <c r="BD6" s="138">
        <f>VLOOKUP($B6,'2022 counts'!$B$6:$AD$304,29,FALSE)</f>
        <v>340</v>
      </c>
      <c r="BE6" s="11">
        <f t="shared" si="19"/>
        <v>0.65</v>
      </c>
      <c r="BF6" s="2" t="str">
        <f t="shared" si="20"/>
        <v>D</v>
      </c>
      <c r="BG6" s="135">
        <v>0</v>
      </c>
      <c r="BH6" s="135">
        <f>IF($AQ6="","",VLOOKUP($B6, '2022 counts'!$B$6:$T$304,19,FALSE))</f>
        <v>0</v>
      </c>
      <c r="BI6" s="38">
        <f t="shared" si="21"/>
        <v>0.01</v>
      </c>
      <c r="BJ6" s="39" t="str">
        <f t="shared" si="22"/>
        <v>minimum</v>
      </c>
      <c r="BK6" s="15">
        <f>VLOOKUP($U6,'2020_CapacityTable'!$B$49:$F$71,2)</f>
        <v>0</v>
      </c>
      <c r="BL6" s="15">
        <f>VLOOKUP($U6,'2020_CapacityTable'!$B$49:$F$71,3)</f>
        <v>7300</v>
      </c>
      <c r="BM6" s="15">
        <f>VLOOKUP($T6,'2020_CapacityTable'!$B$49:$F$71,4)</f>
        <v>14800</v>
      </c>
      <c r="BN6" s="15">
        <f>VLOOKUP($T6,'2020_CapacityTable'!$B$49:$F$71,5)</f>
        <v>15600</v>
      </c>
      <c r="BO6" s="15">
        <f t="shared" si="23"/>
        <v>0</v>
      </c>
      <c r="BP6" s="15">
        <f t="shared" si="24"/>
        <v>5110</v>
      </c>
      <c r="BQ6" s="15">
        <f t="shared" si="25"/>
        <v>10360</v>
      </c>
      <c r="BR6" s="15">
        <f t="shared" si="26"/>
        <v>10920</v>
      </c>
      <c r="BS6" s="3">
        <f t="shared" si="27"/>
        <v>10360</v>
      </c>
      <c r="BT6" s="40">
        <f>'State of the System - Sumter Co'!AD6</f>
        <v>5998</v>
      </c>
      <c r="BU6" s="41">
        <f t="shared" si="28"/>
        <v>0.57999999999999996</v>
      </c>
      <c r="BV6" s="2" t="str">
        <f t="shared" si="29"/>
        <v>D</v>
      </c>
      <c r="BW6" s="2">
        <f t="shared" si="30"/>
        <v>1.56</v>
      </c>
      <c r="BX6" s="15">
        <f>VLOOKUP($U6,'2020_CapacityTable'!$B$23:$F$45,2)</f>
        <v>0</v>
      </c>
      <c r="BY6" s="15">
        <f>VLOOKUP($U6,'2020_CapacityTable'!$B$23:$F$45,3)</f>
        <v>370</v>
      </c>
      <c r="BZ6" s="15">
        <f>VLOOKUP($U6,'2020_CapacityTable'!$B$23:$F$45,4)</f>
        <v>750</v>
      </c>
      <c r="CA6" s="15">
        <f>VLOOKUP($U6,'2020_CapacityTable'!$B$23:$F$45,5)</f>
        <v>800</v>
      </c>
      <c r="CB6" s="15">
        <f t="shared" si="31"/>
        <v>0</v>
      </c>
      <c r="CC6" s="15">
        <f t="shared" si="32"/>
        <v>259</v>
      </c>
      <c r="CD6" s="15">
        <f t="shared" si="33"/>
        <v>525</v>
      </c>
      <c r="CE6" s="15">
        <f t="shared" si="34"/>
        <v>560</v>
      </c>
      <c r="CF6" s="3">
        <f t="shared" si="35"/>
        <v>525</v>
      </c>
      <c r="CG6" s="2">
        <f>'State of the System - Sumter Co'!AH6</f>
        <v>294</v>
      </c>
      <c r="CH6" s="2">
        <f>'State of the System - Sumter Co'!AI6</f>
        <v>357</v>
      </c>
      <c r="CI6" s="11">
        <f t="shared" si="36"/>
        <v>0.68</v>
      </c>
      <c r="CJ6" s="2" t="str">
        <f t="shared" si="37"/>
        <v>D</v>
      </c>
      <c r="CK6" s="3">
        <f t="shared" si="51"/>
        <v>11794</v>
      </c>
      <c r="CL6" s="11">
        <f t="shared" si="38"/>
        <v>0.51</v>
      </c>
      <c r="CM6" s="140" t="str">
        <f t="shared" si="39"/>
        <v>NOT CONGESTED</v>
      </c>
      <c r="CN6" s="3">
        <f t="shared" si="40"/>
        <v>605</v>
      </c>
      <c r="CO6" s="11">
        <f t="shared" si="41"/>
        <v>0.59</v>
      </c>
      <c r="CP6" s="141" t="str">
        <f t="shared" si="42"/>
        <v>NOT CONGESTED</v>
      </c>
      <c r="CQ6" s="3"/>
      <c r="CR6" s="3"/>
      <c r="CS6" s="140" t="str">
        <f t="shared" si="43"/>
        <v/>
      </c>
      <c r="CT6" s="11" t="str">
        <f t="shared" si="44"/>
        <v/>
      </c>
      <c r="CU6" s="140" t="str">
        <f t="shared" si="52"/>
        <v/>
      </c>
      <c r="CV6" s="11" t="str">
        <f t="shared" si="45"/>
        <v/>
      </c>
      <c r="CW6" s="2"/>
      <c r="CX6" s="1"/>
      <c r="CY6" s="142" t="str">
        <f t="shared" si="46"/>
        <v/>
      </c>
      <c r="CZ6" s="32" t="str">
        <f t="shared" si="47"/>
        <v/>
      </c>
    </row>
    <row r="7" spans="1:104" ht="12.75" customHeight="1">
      <c r="A7" s="1">
        <v>4050</v>
      </c>
      <c r="B7" s="1">
        <f t="shared" si="48"/>
        <v>148</v>
      </c>
      <c r="C7" s="1">
        <v>480</v>
      </c>
      <c r="D7" s="1">
        <f>VLOOKUP(C7,'2022 counts'!$A$6:$B$304,2,FALSE)</f>
        <v>148</v>
      </c>
      <c r="E7" s="1"/>
      <c r="F7" s="2" t="s">
        <v>6</v>
      </c>
      <c r="G7" s="141">
        <v>20</v>
      </c>
      <c r="H7" s="11">
        <v>0.56950043256899996</v>
      </c>
      <c r="I7" s="10" t="s">
        <v>545</v>
      </c>
      <c r="J7" s="10" t="s">
        <v>134</v>
      </c>
      <c r="K7" s="10" t="s">
        <v>14</v>
      </c>
      <c r="L7" s="143">
        <v>2</v>
      </c>
      <c r="M7" s="1">
        <f>'State of the System - Sumter Co'!K7</f>
        <v>2</v>
      </c>
      <c r="N7" s="1" t="str">
        <f>IF('State of the System - Sumter Co'!L7="URBAN","U","R")</f>
        <v>U</v>
      </c>
      <c r="O7" s="1" t="str">
        <f>IF('State of the System - Sumter Co'!M7="UNDIVIDED","U",IF('State of the System - Sumter Co'!M7="DIVIDED","D","F"))</f>
        <v>U</v>
      </c>
      <c r="P7" s="1" t="str">
        <f>'State of the System - Sumter Co'!N7</f>
        <v>INTERRUPTED</v>
      </c>
      <c r="Q7" s="1" t="str">
        <f t="shared" si="0"/>
        <v/>
      </c>
      <c r="R7" s="1" t="str">
        <f>'State of the System - Sumter Co'!O7</f>
        <v/>
      </c>
      <c r="S7" s="1" t="str">
        <f t="shared" si="1"/>
        <v>-2</v>
      </c>
      <c r="T7" s="1" t="str">
        <f t="shared" si="2"/>
        <v>U-2U-2</v>
      </c>
      <c r="U7" s="1" t="str">
        <f t="shared" si="3"/>
        <v>U-2U-2</v>
      </c>
      <c r="V7" s="1" t="s">
        <v>10</v>
      </c>
      <c r="W7" s="1" t="s">
        <v>11</v>
      </c>
      <c r="X7" s="1" t="s">
        <v>21</v>
      </c>
      <c r="Y7" s="1" t="str">
        <f>'State of the System - Sumter Co'!R7</f>
        <v>D</v>
      </c>
      <c r="Z7" s="143" t="str">
        <f t="shared" si="4"/>
        <v>Other CMP Network Roadways</v>
      </c>
      <c r="AA7" s="15">
        <f>VLOOKUP($T7,'2020_CapacityTable'!$B$49:$F$71,2)</f>
        <v>0</v>
      </c>
      <c r="AB7" s="15">
        <f>VLOOKUP($T7,'2020_CapacityTable'!$B$49:$F$71,3)</f>
        <v>7300</v>
      </c>
      <c r="AC7" s="15">
        <f>VLOOKUP($T7,'2020_CapacityTable'!$B$49:$F$71,4)</f>
        <v>14800</v>
      </c>
      <c r="AD7" s="15">
        <f>VLOOKUP($T7,'2020_CapacityTable'!$B$49:$F$71,5)</f>
        <v>15600</v>
      </c>
      <c r="AE7" s="35">
        <f t="shared" si="5"/>
        <v>-0.1</v>
      </c>
      <c r="AF7" s="36" t="str">
        <f t="shared" si="6"/>
        <v/>
      </c>
      <c r="AG7" s="35">
        <v>-0.2</v>
      </c>
      <c r="AH7" s="35" t="str">
        <f t="shared" si="7"/>
        <v/>
      </c>
      <c r="AI7" s="35"/>
      <c r="AJ7" s="36"/>
      <c r="AK7" s="15">
        <f t="shared" si="8"/>
        <v>0</v>
      </c>
      <c r="AL7" s="15">
        <f t="shared" si="9"/>
        <v>5110</v>
      </c>
      <c r="AM7" s="15">
        <f t="shared" si="10"/>
        <v>10360</v>
      </c>
      <c r="AN7" s="15">
        <f t="shared" si="11"/>
        <v>10920</v>
      </c>
      <c r="AO7" s="3">
        <f t="shared" si="49"/>
        <v>10360</v>
      </c>
      <c r="AP7" s="138">
        <f>VLOOKUP($B7,'2022 counts'!$B$6:$R$304,17,FALSE)</f>
        <v>4706</v>
      </c>
      <c r="AQ7" s="11">
        <f t="shared" si="12"/>
        <v>0.45</v>
      </c>
      <c r="AR7" s="2" t="str">
        <f t="shared" si="13"/>
        <v>C</v>
      </c>
      <c r="AS7" s="26">
        <f t="shared" si="50"/>
        <v>0.98</v>
      </c>
      <c r="AT7" s="15">
        <f>VLOOKUP($T7,'2020_CapacityTable'!$B$23:$F$45,2)</f>
        <v>0</v>
      </c>
      <c r="AU7" s="15">
        <f>VLOOKUP($T7,'2020_CapacityTable'!$B$23:$F$45,3)</f>
        <v>370</v>
      </c>
      <c r="AV7" s="15">
        <f>VLOOKUP($T7,'2020_CapacityTable'!$B$23:$F$45,4)</f>
        <v>750</v>
      </c>
      <c r="AW7" s="15">
        <f>VLOOKUP($T7,'2020_CapacityTable'!$B$23:$F$45,5)</f>
        <v>800</v>
      </c>
      <c r="AX7" s="15">
        <f t="shared" si="14"/>
        <v>0</v>
      </c>
      <c r="AY7" s="15">
        <f t="shared" si="15"/>
        <v>259</v>
      </c>
      <c r="AZ7" s="15">
        <f t="shared" si="16"/>
        <v>525</v>
      </c>
      <c r="BA7" s="15">
        <f t="shared" si="17"/>
        <v>560</v>
      </c>
      <c r="BB7" s="3">
        <f t="shared" si="18"/>
        <v>525</v>
      </c>
      <c r="BC7" s="138">
        <f>VLOOKUP($B7,'2022 counts'!$B$6:$AD$304,28,FALSE)</f>
        <v>240</v>
      </c>
      <c r="BD7" s="138">
        <f>VLOOKUP($B7,'2022 counts'!$B$6:$AD$304,29,FALSE)</f>
        <v>252</v>
      </c>
      <c r="BE7" s="11">
        <f t="shared" si="19"/>
        <v>0.48</v>
      </c>
      <c r="BF7" s="2" t="str">
        <f t="shared" si="20"/>
        <v>C</v>
      </c>
      <c r="BG7" s="135">
        <v>0</v>
      </c>
      <c r="BH7" s="135">
        <f>IF($AQ7="","",VLOOKUP($B7, '2022 counts'!$B$6:$T$304,19,FALSE))</f>
        <v>0</v>
      </c>
      <c r="BI7" s="38">
        <f t="shared" si="21"/>
        <v>0.01</v>
      </c>
      <c r="BJ7" s="39" t="str">
        <f t="shared" si="22"/>
        <v>minimum</v>
      </c>
      <c r="BK7" s="15">
        <f>VLOOKUP($U7,'2020_CapacityTable'!$B$49:$F$71,2)</f>
        <v>0</v>
      </c>
      <c r="BL7" s="15">
        <f>VLOOKUP($U7,'2020_CapacityTable'!$B$49:$F$71,3)</f>
        <v>7300</v>
      </c>
      <c r="BM7" s="15">
        <f>VLOOKUP($T7,'2020_CapacityTable'!$B$49:$F$71,4)</f>
        <v>14800</v>
      </c>
      <c r="BN7" s="15">
        <f>VLOOKUP($T7,'2020_CapacityTable'!$B$49:$F$71,5)</f>
        <v>15600</v>
      </c>
      <c r="BO7" s="15">
        <f t="shared" si="23"/>
        <v>0</v>
      </c>
      <c r="BP7" s="15">
        <f t="shared" si="24"/>
        <v>5110</v>
      </c>
      <c r="BQ7" s="15">
        <f t="shared" si="25"/>
        <v>10360</v>
      </c>
      <c r="BR7" s="15">
        <f t="shared" si="26"/>
        <v>10920</v>
      </c>
      <c r="BS7" s="3">
        <f t="shared" si="27"/>
        <v>10360</v>
      </c>
      <c r="BT7" s="40">
        <f>'State of the System - Sumter Co'!AD7</f>
        <v>4946</v>
      </c>
      <c r="BU7" s="41">
        <f t="shared" si="28"/>
        <v>0.48</v>
      </c>
      <c r="BV7" s="2" t="str">
        <f t="shared" si="29"/>
        <v>C</v>
      </c>
      <c r="BW7" s="2">
        <f t="shared" si="30"/>
        <v>1.03</v>
      </c>
      <c r="BX7" s="15">
        <f>VLOOKUP($U7,'2020_CapacityTable'!$B$23:$F$45,2)</f>
        <v>0</v>
      </c>
      <c r="BY7" s="15">
        <f>VLOOKUP($U7,'2020_CapacityTable'!$B$23:$F$45,3)</f>
        <v>370</v>
      </c>
      <c r="BZ7" s="15">
        <f>VLOOKUP($U7,'2020_CapacityTable'!$B$23:$F$45,4)</f>
        <v>750</v>
      </c>
      <c r="CA7" s="15">
        <f>VLOOKUP($U7,'2020_CapacityTable'!$B$23:$F$45,5)</f>
        <v>800</v>
      </c>
      <c r="CB7" s="15">
        <f t="shared" si="31"/>
        <v>0</v>
      </c>
      <c r="CC7" s="15">
        <f t="shared" si="32"/>
        <v>259</v>
      </c>
      <c r="CD7" s="15">
        <f t="shared" si="33"/>
        <v>525</v>
      </c>
      <c r="CE7" s="15">
        <f t="shared" si="34"/>
        <v>560</v>
      </c>
      <c r="CF7" s="3">
        <f t="shared" si="35"/>
        <v>525</v>
      </c>
      <c r="CG7" s="2">
        <f>'State of the System - Sumter Co'!AH7</f>
        <v>252</v>
      </c>
      <c r="CH7" s="2">
        <f>'State of the System - Sumter Co'!AI7</f>
        <v>265</v>
      </c>
      <c r="CI7" s="11">
        <f t="shared" si="36"/>
        <v>0.5</v>
      </c>
      <c r="CJ7" s="2" t="str">
        <f t="shared" si="37"/>
        <v>D</v>
      </c>
      <c r="CK7" s="3">
        <f t="shared" si="51"/>
        <v>11794</v>
      </c>
      <c r="CL7" s="11">
        <f t="shared" si="38"/>
        <v>0.42</v>
      </c>
      <c r="CM7" s="140" t="str">
        <f t="shared" si="39"/>
        <v>NOT CONGESTED</v>
      </c>
      <c r="CN7" s="3">
        <f t="shared" si="40"/>
        <v>605</v>
      </c>
      <c r="CO7" s="11">
        <f t="shared" si="41"/>
        <v>0.44</v>
      </c>
      <c r="CP7" s="141" t="str">
        <f t="shared" si="42"/>
        <v>NOT CONGESTED</v>
      </c>
      <c r="CQ7" s="2"/>
      <c r="CR7" s="42"/>
      <c r="CS7" s="140" t="str">
        <f t="shared" si="43"/>
        <v/>
      </c>
      <c r="CT7" s="11" t="str">
        <f t="shared" si="44"/>
        <v/>
      </c>
      <c r="CU7" s="140" t="str">
        <f t="shared" si="52"/>
        <v/>
      </c>
      <c r="CV7" s="11" t="str">
        <f t="shared" si="45"/>
        <v/>
      </c>
      <c r="CW7" s="2"/>
      <c r="CX7" s="1"/>
      <c r="CY7" s="142" t="str">
        <f t="shared" si="46"/>
        <v/>
      </c>
      <c r="CZ7" s="32" t="str">
        <f t="shared" si="47"/>
        <v/>
      </c>
    </row>
    <row r="8" spans="1:104" ht="12.75" customHeight="1">
      <c r="A8" s="1">
        <v>4060</v>
      </c>
      <c r="B8" s="1">
        <f t="shared" si="48"/>
        <v>181</v>
      </c>
      <c r="C8" s="1">
        <v>267</v>
      </c>
      <c r="D8" s="1">
        <f>VLOOKUP(C8,'2022 counts'!$A$6:$B$304,2,FALSE)</f>
        <v>181</v>
      </c>
      <c r="E8" s="1"/>
      <c r="F8" s="2" t="s">
        <v>6</v>
      </c>
      <c r="G8" s="141">
        <v>20</v>
      </c>
      <c r="H8" s="11">
        <v>0.56628622651500005</v>
      </c>
      <c r="I8" s="10" t="s">
        <v>102</v>
      </c>
      <c r="J8" s="10" t="s">
        <v>55</v>
      </c>
      <c r="K8" s="10" t="s">
        <v>158</v>
      </c>
      <c r="L8" s="143">
        <v>2</v>
      </c>
      <c r="M8" s="1">
        <f>'State of the System - Sumter Co'!K8</f>
        <v>2</v>
      </c>
      <c r="N8" s="1" t="str">
        <f>IF('State of the System - Sumter Co'!L8="URBAN","U","R")</f>
        <v>U</v>
      </c>
      <c r="O8" s="1" t="str">
        <f>IF('State of the System - Sumter Co'!M8="UNDIVIDED","U",IF('State of the System - Sumter Co'!M8="DIVIDED","D","F"))</f>
        <v>U</v>
      </c>
      <c r="P8" s="1" t="str">
        <f>'State of the System - Sumter Co'!N8</f>
        <v>INTERRUPTED</v>
      </c>
      <c r="Q8" s="1" t="str">
        <f t="shared" si="0"/>
        <v/>
      </c>
      <c r="R8" s="1" t="str">
        <f>'State of the System - Sumter Co'!O8</f>
        <v/>
      </c>
      <c r="S8" s="1" t="str">
        <f t="shared" si="1"/>
        <v>-2</v>
      </c>
      <c r="T8" s="1" t="str">
        <f t="shared" si="2"/>
        <v>U-2U-2</v>
      </c>
      <c r="U8" s="1" t="str">
        <f t="shared" si="3"/>
        <v>U-2U-2</v>
      </c>
      <c r="V8" s="1" t="s">
        <v>10</v>
      </c>
      <c r="W8" s="1" t="s">
        <v>11</v>
      </c>
      <c r="X8" s="1" t="s">
        <v>21</v>
      </c>
      <c r="Y8" s="1" t="str">
        <f>'State of the System - Sumter Co'!R8</f>
        <v>D</v>
      </c>
      <c r="Z8" s="143" t="str">
        <f t="shared" si="4"/>
        <v>Other CMP Network Roadways</v>
      </c>
      <c r="AA8" s="15">
        <f>VLOOKUP($T8,'2020_CapacityTable'!$B$49:$F$71,2)</f>
        <v>0</v>
      </c>
      <c r="AB8" s="15">
        <f>VLOOKUP($T8,'2020_CapacityTable'!$B$49:$F$71,3)</f>
        <v>7300</v>
      </c>
      <c r="AC8" s="15">
        <f>VLOOKUP($T8,'2020_CapacityTable'!$B$49:$F$71,4)</f>
        <v>14800</v>
      </c>
      <c r="AD8" s="15">
        <f>VLOOKUP($T8,'2020_CapacityTable'!$B$49:$F$71,5)</f>
        <v>15600</v>
      </c>
      <c r="AE8" s="35">
        <f t="shared" si="5"/>
        <v>-0.1</v>
      </c>
      <c r="AF8" s="36" t="str">
        <f t="shared" si="6"/>
        <v/>
      </c>
      <c r="AG8" s="35">
        <v>-0.2</v>
      </c>
      <c r="AH8" s="35" t="str">
        <f t="shared" si="7"/>
        <v/>
      </c>
      <c r="AI8" s="35"/>
      <c r="AJ8" s="36"/>
      <c r="AK8" s="15">
        <f t="shared" si="8"/>
        <v>0</v>
      </c>
      <c r="AL8" s="15">
        <f t="shared" si="9"/>
        <v>5110</v>
      </c>
      <c r="AM8" s="15">
        <f t="shared" si="10"/>
        <v>10360</v>
      </c>
      <c r="AN8" s="15">
        <f t="shared" si="11"/>
        <v>10920</v>
      </c>
      <c r="AO8" s="3">
        <f t="shared" si="49"/>
        <v>10360</v>
      </c>
      <c r="AP8" s="138">
        <f>VLOOKUP($B8,'2022 counts'!$B$6:$R$304,17,FALSE)</f>
        <v>5533</v>
      </c>
      <c r="AQ8" s="11">
        <f t="shared" si="12"/>
        <v>0.53</v>
      </c>
      <c r="AR8" s="2" t="str">
        <f t="shared" si="13"/>
        <v>D</v>
      </c>
      <c r="AS8" s="26">
        <f t="shared" si="50"/>
        <v>1.1399999999999999</v>
      </c>
      <c r="AT8" s="15">
        <f>VLOOKUP($T8,'2020_CapacityTable'!$B$23:$F$45,2)</f>
        <v>0</v>
      </c>
      <c r="AU8" s="15">
        <f>VLOOKUP($T8,'2020_CapacityTable'!$B$23:$F$45,3)</f>
        <v>370</v>
      </c>
      <c r="AV8" s="15">
        <f>VLOOKUP($T8,'2020_CapacityTable'!$B$23:$F$45,4)</f>
        <v>750</v>
      </c>
      <c r="AW8" s="15">
        <f>VLOOKUP($T8,'2020_CapacityTable'!$B$23:$F$45,5)</f>
        <v>800</v>
      </c>
      <c r="AX8" s="15">
        <f t="shared" si="14"/>
        <v>0</v>
      </c>
      <c r="AY8" s="15">
        <f t="shared" si="15"/>
        <v>259</v>
      </c>
      <c r="AZ8" s="15">
        <f t="shared" si="16"/>
        <v>525</v>
      </c>
      <c r="BA8" s="15">
        <f t="shared" si="17"/>
        <v>560</v>
      </c>
      <c r="BB8" s="3">
        <f t="shared" si="18"/>
        <v>525</v>
      </c>
      <c r="BC8" s="138">
        <f>VLOOKUP($B8,'2022 counts'!$B$6:$AD$304,28,FALSE)</f>
        <v>294</v>
      </c>
      <c r="BD8" s="138">
        <f>VLOOKUP($B8,'2022 counts'!$B$6:$AD$304,29,FALSE)</f>
        <v>253</v>
      </c>
      <c r="BE8" s="11">
        <f t="shared" si="19"/>
        <v>0.56000000000000005</v>
      </c>
      <c r="BF8" s="2" t="str">
        <f t="shared" si="20"/>
        <v>D</v>
      </c>
      <c r="BG8" s="135">
        <v>0</v>
      </c>
      <c r="BH8" s="135">
        <f>IF($AQ8="","",VLOOKUP($B8, '2022 counts'!$B$6:$T$304,19,FALSE))</f>
        <v>0</v>
      </c>
      <c r="BI8" s="38">
        <f t="shared" si="21"/>
        <v>0.01</v>
      </c>
      <c r="BJ8" s="39" t="str">
        <f t="shared" si="22"/>
        <v>minimum</v>
      </c>
      <c r="BK8" s="15">
        <f>VLOOKUP($U8,'2020_CapacityTable'!$B$49:$F$71,2)</f>
        <v>0</v>
      </c>
      <c r="BL8" s="15">
        <f>VLOOKUP($U8,'2020_CapacityTable'!$B$49:$F$71,3)</f>
        <v>7300</v>
      </c>
      <c r="BM8" s="15">
        <f>VLOOKUP($T8,'2020_CapacityTable'!$B$49:$F$71,4)</f>
        <v>14800</v>
      </c>
      <c r="BN8" s="15">
        <f>VLOOKUP($T8,'2020_CapacityTable'!$B$49:$F$71,5)</f>
        <v>15600</v>
      </c>
      <c r="BO8" s="15">
        <f t="shared" si="23"/>
        <v>0</v>
      </c>
      <c r="BP8" s="15">
        <f t="shared" si="24"/>
        <v>5110</v>
      </c>
      <c r="BQ8" s="15">
        <f t="shared" si="25"/>
        <v>10360</v>
      </c>
      <c r="BR8" s="15">
        <f t="shared" si="26"/>
        <v>10920</v>
      </c>
      <c r="BS8" s="3">
        <f t="shared" si="27"/>
        <v>10360</v>
      </c>
      <c r="BT8" s="40">
        <f>'State of the System - Sumter Co'!AD8</f>
        <v>5815</v>
      </c>
      <c r="BU8" s="41">
        <f t="shared" si="28"/>
        <v>0.56000000000000005</v>
      </c>
      <c r="BV8" s="2" t="str">
        <f t="shared" si="29"/>
        <v>D</v>
      </c>
      <c r="BW8" s="2">
        <f t="shared" si="30"/>
        <v>1.2</v>
      </c>
      <c r="BX8" s="15">
        <f>VLOOKUP($U8,'2020_CapacityTable'!$B$23:$F$45,2)</f>
        <v>0</v>
      </c>
      <c r="BY8" s="15">
        <f>VLOOKUP($U8,'2020_CapacityTable'!$B$23:$F$45,3)</f>
        <v>370</v>
      </c>
      <c r="BZ8" s="15">
        <f>VLOOKUP($U8,'2020_CapacityTable'!$B$23:$F$45,4)</f>
        <v>750</v>
      </c>
      <c r="CA8" s="15">
        <f>VLOOKUP($U8,'2020_CapacityTable'!$B$23:$F$45,5)</f>
        <v>800</v>
      </c>
      <c r="CB8" s="15">
        <f t="shared" si="31"/>
        <v>0</v>
      </c>
      <c r="CC8" s="15">
        <f t="shared" si="32"/>
        <v>259</v>
      </c>
      <c r="CD8" s="15">
        <f t="shared" si="33"/>
        <v>525</v>
      </c>
      <c r="CE8" s="15">
        <f t="shared" si="34"/>
        <v>560</v>
      </c>
      <c r="CF8" s="3">
        <f t="shared" si="35"/>
        <v>525</v>
      </c>
      <c r="CG8" s="2">
        <f>'State of the System - Sumter Co'!AH8</f>
        <v>309</v>
      </c>
      <c r="CH8" s="2">
        <f>'State of the System - Sumter Co'!AI8</f>
        <v>266</v>
      </c>
      <c r="CI8" s="11">
        <f t="shared" si="36"/>
        <v>0.59</v>
      </c>
      <c r="CJ8" s="2" t="str">
        <f t="shared" si="37"/>
        <v>D</v>
      </c>
      <c r="CK8" s="3">
        <f t="shared" si="51"/>
        <v>11794</v>
      </c>
      <c r="CL8" s="11">
        <f t="shared" si="38"/>
        <v>0.49</v>
      </c>
      <c r="CM8" s="140" t="str">
        <f t="shared" si="39"/>
        <v>NOT CONGESTED</v>
      </c>
      <c r="CN8" s="3">
        <f t="shared" si="40"/>
        <v>605</v>
      </c>
      <c r="CO8" s="11">
        <f t="shared" si="41"/>
        <v>0.51</v>
      </c>
      <c r="CP8" s="141" t="str">
        <f t="shared" si="42"/>
        <v>NOT CONGESTED</v>
      </c>
      <c r="CQ8" s="2"/>
      <c r="CR8" s="42"/>
      <c r="CS8" s="140" t="str">
        <f t="shared" si="43"/>
        <v/>
      </c>
      <c r="CT8" s="11" t="str">
        <f t="shared" si="44"/>
        <v/>
      </c>
      <c r="CU8" s="140" t="str">
        <f t="shared" si="52"/>
        <v/>
      </c>
      <c r="CV8" s="11" t="str">
        <f t="shared" si="45"/>
        <v/>
      </c>
      <c r="CW8" s="2"/>
      <c r="CX8" s="1"/>
      <c r="CY8" s="142" t="str">
        <f t="shared" si="46"/>
        <v/>
      </c>
      <c r="CZ8" s="32" t="str">
        <f t="shared" si="47"/>
        <v/>
      </c>
    </row>
    <row r="9" spans="1:104" ht="12.75" customHeight="1">
      <c r="A9" s="1">
        <v>4070</v>
      </c>
      <c r="B9" s="1" t="str">
        <f t="shared" si="48"/>
        <v>2020-270</v>
      </c>
      <c r="C9" s="1">
        <v>270</v>
      </c>
      <c r="D9" s="1" t="str">
        <f>VLOOKUP(C9,'2022 counts'!$A$6:$B$304,2,FALSE)</f>
        <v>2020-270</v>
      </c>
      <c r="E9" s="1"/>
      <c r="F9" s="2" t="s">
        <v>6</v>
      </c>
      <c r="G9" s="141">
        <v>20</v>
      </c>
      <c r="H9" s="11">
        <v>1.07540740756</v>
      </c>
      <c r="I9" s="10" t="s">
        <v>102</v>
      </c>
      <c r="J9" s="10" t="s">
        <v>158</v>
      </c>
      <c r="K9" s="10" t="s">
        <v>128</v>
      </c>
      <c r="L9" s="143">
        <v>2</v>
      </c>
      <c r="M9" s="1">
        <f>'State of the System - Sumter Co'!K9</f>
        <v>2</v>
      </c>
      <c r="N9" s="1" t="str">
        <f>IF('State of the System - Sumter Co'!L9="URBAN","U","R")</f>
        <v>U</v>
      </c>
      <c r="O9" s="1" t="str">
        <f>IF('State of the System - Sumter Co'!M9="UNDIVIDED","U",IF('State of the System - Sumter Co'!M9="DIVIDED","D","F"))</f>
        <v>U</v>
      </c>
      <c r="P9" s="1" t="str">
        <f>'State of the System - Sumter Co'!N9</f>
        <v>INTERRUPTED</v>
      </c>
      <c r="Q9" s="1" t="str">
        <f t="shared" si="0"/>
        <v/>
      </c>
      <c r="R9" s="1" t="str">
        <f>'State of the System - Sumter Co'!O9</f>
        <v/>
      </c>
      <c r="S9" s="1" t="str">
        <f t="shared" si="1"/>
        <v>-2</v>
      </c>
      <c r="T9" s="1" t="str">
        <f t="shared" si="2"/>
        <v>U-2U-2</v>
      </c>
      <c r="U9" s="1" t="str">
        <f t="shared" si="3"/>
        <v>U-2U-2</v>
      </c>
      <c r="V9" s="1" t="s">
        <v>10</v>
      </c>
      <c r="W9" s="1" t="s">
        <v>11</v>
      </c>
      <c r="X9" s="1" t="s">
        <v>21</v>
      </c>
      <c r="Y9" s="1" t="str">
        <f>'State of the System - Sumter Co'!R9</f>
        <v>D</v>
      </c>
      <c r="Z9" s="143" t="str">
        <f t="shared" si="4"/>
        <v>Other CMP Network Roadways</v>
      </c>
      <c r="AA9" s="15">
        <f>VLOOKUP($T9,'2020_CapacityTable'!$B$49:$F$71,2)</f>
        <v>0</v>
      </c>
      <c r="AB9" s="15">
        <f>VLOOKUP($T9,'2020_CapacityTable'!$B$49:$F$71,3)</f>
        <v>7300</v>
      </c>
      <c r="AC9" s="15">
        <f>VLOOKUP($T9,'2020_CapacityTable'!$B$49:$F$71,4)</f>
        <v>14800</v>
      </c>
      <c r="AD9" s="15">
        <f>VLOOKUP($T9,'2020_CapacityTable'!$B$49:$F$71,5)</f>
        <v>15600</v>
      </c>
      <c r="AE9" s="35">
        <f t="shared" si="5"/>
        <v>-0.1</v>
      </c>
      <c r="AF9" s="36" t="str">
        <f t="shared" si="6"/>
        <v/>
      </c>
      <c r="AG9" s="35">
        <v>-0.2</v>
      </c>
      <c r="AH9" s="35" t="str">
        <f t="shared" si="7"/>
        <v/>
      </c>
      <c r="AI9" s="35"/>
      <c r="AJ9" s="36"/>
      <c r="AK9" s="15">
        <f t="shared" si="8"/>
        <v>0</v>
      </c>
      <c r="AL9" s="15">
        <f t="shared" si="9"/>
        <v>5110</v>
      </c>
      <c r="AM9" s="15">
        <f t="shared" si="10"/>
        <v>10360</v>
      </c>
      <c r="AN9" s="15">
        <f t="shared" si="11"/>
        <v>10920</v>
      </c>
      <c r="AO9" s="3">
        <f t="shared" si="49"/>
        <v>10360</v>
      </c>
      <c r="AP9" s="138">
        <f>VLOOKUP($B9,'2022 counts'!$B$6:$R$304,17,FALSE)</f>
        <v>2965.2285714285681</v>
      </c>
      <c r="AQ9" s="11">
        <f t="shared" si="12"/>
        <v>0.28999999999999998</v>
      </c>
      <c r="AR9" s="2" t="str">
        <f t="shared" si="13"/>
        <v>C</v>
      </c>
      <c r="AS9" s="26">
        <f t="shared" si="50"/>
        <v>1.1599999999999999</v>
      </c>
      <c r="AT9" s="15">
        <f>VLOOKUP($T9,'2020_CapacityTable'!$B$23:$F$45,2)</f>
        <v>0</v>
      </c>
      <c r="AU9" s="15">
        <f>VLOOKUP($T9,'2020_CapacityTable'!$B$23:$F$45,3)</f>
        <v>370</v>
      </c>
      <c r="AV9" s="15">
        <f>VLOOKUP($T9,'2020_CapacityTable'!$B$23:$F$45,4)</f>
        <v>750</v>
      </c>
      <c r="AW9" s="15">
        <f>VLOOKUP($T9,'2020_CapacityTable'!$B$23:$F$45,5)</f>
        <v>800</v>
      </c>
      <c r="AX9" s="15">
        <f t="shared" si="14"/>
        <v>0</v>
      </c>
      <c r="AY9" s="15">
        <f t="shared" si="15"/>
        <v>259</v>
      </c>
      <c r="AZ9" s="15">
        <f t="shared" si="16"/>
        <v>525</v>
      </c>
      <c r="BA9" s="15">
        <f t="shared" si="17"/>
        <v>560</v>
      </c>
      <c r="BB9" s="3">
        <f t="shared" si="18"/>
        <v>525</v>
      </c>
      <c r="BC9" s="138">
        <f>VLOOKUP($B9,'2022 counts'!$B$6:$AD$304,28,FALSE)</f>
        <v>144</v>
      </c>
      <c r="BD9" s="138">
        <f>VLOOKUP($B9,'2022 counts'!$B$6:$AD$304,29,FALSE)</f>
        <v>184</v>
      </c>
      <c r="BE9" s="11">
        <f t="shared" si="19"/>
        <v>0.35</v>
      </c>
      <c r="BF9" s="2" t="str">
        <f t="shared" si="20"/>
        <v>C</v>
      </c>
      <c r="BG9" s="135">
        <v>0</v>
      </c>
      <c r="BH9" s="135">
        <f>IF($AQ9="","",VLOOKUP($B9, '2022 counts'!$B$6:$T$304,19,FALSE))</f>
        <v>0</v>
      </c>
      <c r="BI9" s="38">
        <f t="shared" si="21"/>
        <v>0.01</v>
      </c>
      <c r="BJ9" s="39" t="str">
        <f t="shared" si="22"/>
        <v>minimum</v>
      </c>
      <c r="BK9" s="15">
        <f>VLOOKUP($U9,'2020_CapacityTable'!$B$49:$F$71,2)</f>
        <v>0</v>
      </c>
      <c r="BL9" s="15">
        <f>VLOOKUP($U9,'2020_CapacityTable'!$B$49:$F$71,3)</f>
        <v>7300</v>
      </c>
      <c r="BM9" s="15">
        <f>VLOOKUP($T9,'2020_CapacityTable'!$B$49:$F$71,4)</f>
        <v>14800</v>
      </c>
      <c r="BN9" s="15">
        <f>VLOOKUP($T9,'2020_CapacityTable'!$B$49:$F$71,5)</f>
        <v>15600</v>
      </c>
      <c r="BO9" s="15">
        <f t="shared" si="23"/>
        <v>0</v>
      </c>
      <c r="BP9" s="15">
        <f t="shared" si="24"/>
        <v>5110</v>
      </c>
      <c r="BQ9" s="15">
        <f t="shared" si="25"/>
        <v>10360</v>
      </c>
      <c r="BR9" s="15">
        <f t="shared" si="26"/>
        <v>10920</v>
      </c>
      <c r="BS9" s="3">
        <f t="shared" si="27"/>
        <v>10360</v>
      </c>
      <c r="BT9" s="40">
        <f>'State of the System - Sumter Co'!AD9</f>
        <v>3116</v>
      </c>
      <c r="BU9" s="41">
        <f t="shared" si="28"/>
        <v>0.3</v>
      </c>
      <c r="BV9" s="2" t="str">
        <f t="shared" si="29"/>
        <v>C</v>
      </c>
      <c r="BW9" s="2">
        <f t="shared" si="30"/>
        <v>1.22</v>
      </c>
      <c r="BX9" s="15">
        <f>VLOOKUP($U9,'2020_CapacityTable'!$B$23:$F$45,2)</f>
        <v>0</v>
      </c>
      <c r="BY9" s="15">
        <f>VLOOKUP($U9,'2020_CapacityTable'!$B$23:$F$45,3)</f>
        <v>370</v>
      </c>
      <c r="BZ9" s="15">
        <f>VLOOKUP($U9,'2020_CapacityTable'!$B$23:$F$45,4)</f>
        <v>750</v>
      </c>
      <c r="CA9" s="15">
        <f>VLOOKUP($U9,'2020_CapacityTable'!$B$23:$F$45,5)</f>
        <v>800</v>
      </c>
      <c r="CB9" s="15">
        <f t="shared" si="31"/>
        <v>0</v>
      </c>
      <c r="CC9" s="15">
        <f t="shared" si="32"/>
        <v>259</v>
      </c>
      <c r="CD9" s="15">
        <f t="shared" si="33"/>
        <v>525</v>
      </c>
      <c r="CE9" s="15">
        <f t="shared" si="34"/>
        <v>560</v>
      </c>
      <c r="CF9" s="3">
        <f t="shared" si="35"/>
        <v>525</v>
      </c>
      <c r="CG9" s="2">
        <f>'State of the System - Sumter Co'!AH9</f>
        <v>151</v>
      </c>
      <c r="CH9" s="2">
        <f>'State of the System - Sumter Co'!AI9</f>
        <v>193</v>
      </c>
      <c r="CI9" s="11">
        <f t="shared" si="36"/>
        <v>0.37</v>
      </c>
      <c r="CJ9" s="2" t="str">
        <f t="shared" si="37"/>
        <v>C</v>
      </c>
      <c r="CK9" s="3">
        <f t="shared" si="51"/>
        <v>11794</v>
      </c>
      <c r="CL9" s="11">
        <f t="shared" si="38"/>
        <v>0.26</v>
      </c>
      <c r="CM9" s="140" t="str">
        <f t="shared" si="39"/>
        <v>NOT CONGESTED</v>
      </c>
      <c r="CN9" s="3">
        <f t="shared" si="40"/>
        <v>605</v>
      </c>
      <c r="CO9" s="11">
        <f t="shared" si="41"/>
        <v>0.32</v>
      </c>
      <c r="CP9" s="141" t="str">
        <f t="shared" si="42"/>
        <v>NOT CONGESTED</v>
      </c>
      <c r="CQ9" s="3"/>
      <c r="CR9" s="3"/>
      <c r="CS9" s="140" t="str">
        <f t="shared" si="43"/>
        <v/>
      </c>
      <c r="CT9" s="11" t="str">
        <f t="shared" si="44"/>
        <v/>
      </c>
      <c r="CU9" s="140" t="str">
        <f t="shared" si="52"/>
        <v/>
      </c>
      <c r="CV9" s="11" t="str">
        <f t="shared" si="45"/>
        <v/>
      </c>
      <c r="CW9" s="2"/>
      <c r="CX9" s="1"/>
      <c r="CY9" s="142" t="str">
        <f t="shared" si="46"/>
        <v/>
      </c>
      <c r="CZ9" s="32" t="str">
        <f t="shared" si="47"/>
        <v/>
      </c>
    </row>
    <row r="10" spans="1:104" ht="12.75" customHeight="1">
      <c r="A10" s="2">
        <v>4830</v>
      </c>
      <c r="B10" s="1">
        <f t="shared" si="48"/>
        <v>129</v>
      </c>
      <c r="C10" s="33">
        <v>483</v>
      </c>
      <c r="D10" s="1">
        <f>VLOOKUP(C10,'2022 counts'!$A$6:$B$304,2,FALSE)</f>
        <v>129</v>
      </c>
      <c r="E10" s="2"/>
      <c r="F10" s="2" t="s">
        <v>6</v>
      </c>
      <c r="G10" s="141">
        <v>30</v>
      </c>
      <c r="H10" s="11">
        <v>1.18</v>
      </c>
      <c r="I10" s="34" t="s">
        <v>683</v>
      </c>
      <c r="J10" s="34" t="s">
        <v>18</v>
      </c>
      <c r="K10" s="34" t="s">
        <v>540</v>
      </c>
      <c r="L10" s="143">
        <v>2</v>
      </c>
      <c r="M10" s="1">
        <f>'State of the System - Sumter Co'!K10</f>
        <v>2</v>
      </c>
      <c r="N10" s="1" t="str">
        <f>IF('State of the System - Sumter Co'!L10="URBAN","U","R")</f>
        <v>U</v>
      </c>
      <c r="O10" s="1" t="str">
        <f>IF('State of the System - Sumter Co'!M10="UNDIVIDED","U",IF('State of the System - Sumter Co'!M10="DIVIDED","D","F"))</f>
        <v>U</v>
      </c>
      <c r="P10" s="1" t="str">
        <f>'State of the System - Sumter Co'!N10</f>
        <v>INTERRUPTED</v>
      </c>
      <c r="Q10" s="1" t="str">
        <f t="shared" si="0"/>
        <v/>
      </c>
      <c r="R10" s="1" t="str">
        <f>'State of the System - Sumter Co'!O10</f>
        <v/>
      </c>
      <c r="S10" s="1" t="str">
        <f t="shared" si="1"/>
        <v>-2</v>
      </c>
      <c r="T10" s="1" t="str">
        <f t="shared" si="2"/>
        <v>U-2U-2</v>
      </c>
      <c r="U10" s="1" t="str">
        <f t="shared" si="3"/>
        <v>U-2U-2</v>
      </c>
      <c r="V10" s="2" t="s">
        <v>10</v>
      </c>
      <c r="W10" s="1" t="s">
        <v>11</v>
      </c>
      <c r="X10" s="1" t="s">
        <v>21</v>
      </c>
      <c r="Y10" s="1" t="str">
        <f>'State of the System - Sumter Co'!R10</f>
        <v>D</v>
      </c>
      <c r="Z10" s="143" t="str">
        <f t="shared" si="4"/>
        <v>Other CMP Network Roadways</v>
      </c>
      <c r="AA10" s="15">
        <f>VLOOKUP($T10,'2020_CapacityTable'!$B$49:$F$71,2)</f>
        <v>0</v>
      </c>
      <c r="AB10" s="15">
        <f>VLOOKUP($T10,'2020_CapacityTable'!$B$49:$F$71,3)</f>
        <v>7300</v>
      </c>
      <c r="AC10" s="15">
        <f>VLOOKUP($T10,'2020_CapacityTable'!$B$49:$F$71,4)</f>
        <v>14800</v>
      </c>
      <c r="AD10" s="15">
        <f>VLOOKUP($T10,'2020_CapacityTable'!$B$49:$F$71,5)</f>
        <v>15600</v>
      </c>
      <c r="AE10" s="35">
        <f t="shared" si="5"/>
        <v>-0.1</v>
      </c>
      <c r="AF10" s="36" t="str">
        <f t="shared" si="6"/>
        <v/>
      </c>
      <c r="AG10" s="2"/>
      <c r="AH10" s="2"/>
      <c r="AI10" s="2"/>
      <c r="AJ10" s="36"/>
      <c r="AK10" s="15">
        <f t="shared" si="8"/>
        <v>0</v>
      </c>
      <c r="AL10" s="15">
        <f t="shared" si="9"/>
        <v>6570</v>
      </c>
      <c r="AM10" s="15">
        <f t="shared" si="10"/>
        <v>13320</v>
      </c>
      <c r="AN10" s="15">
        <f t="shared" si="11"/>
        <v>14040</v>
      </c>
      <c r="AO10" s="3">
        <f t="shared" si="49"/>
        <v>13320</v>
      </c>
      <c r="AP10" s="138">
        <f>VLOOKUP($B10,'2022 counts'!$B$6:$R$304,17,FALSE)</f>
        <v>12224</v>
      </c>
      <c r="AQ10" s="11">
        <f t="shared" si="12"/>
        <v>0.92</v>
      </c>
      <c r="AR10" s="2" t="str">
        <f t="shared" si="13"/>
        <v>D</v>
      </c>
      <c r="AS10" s="26">
        <f t="shared" si="50"/>
        <v>5.26</v>
      </c>
      <c r="AT10" s="15">
        <f>VLOOKUP($T10,'2020_CapacityTable'!$B$23:$F$45,2)</f>
        <v>0</v>
      </c>
      <c r="AU10" s="15">
        <f>VLOOKUP($T10,'2020_CapacityTable'!$B$23:$F$45,3)</f>
        <v>370</v>
      </c>
      <c r="AV10" s="15">
        <f>VLOOKUP($T10,'2020_CapacityTable'!$B$23:$F$45,4)</f>
        <v>750</v>
      </c>
      <c r="AW10" s="15">
        <f>VLOOKUP($T10,'2020_CapacityTable'!$B$23:$F$45,5)</f>
        <v>800</v>
      </c>
      <c r="AX10" s="15">
        <f t="shared" si="14"/>
        <v>0</v>
      </c>
      <c r="AY10" s="15">
        <f t="shared" si="15"/>
        <v>333</v>
      </c>
      <c r="AZ10" s="15">
        <f t="shared" si="16"/>
        <v>675</v>
      </c>
      <c r="BA10" s="15">
        <f t="shared" si="17"/>
        <v>720</v>
      </c>
      <c r="BB10" s="3">
        <f t="shared" si="18"/>
        <v>675</v>
      </c>
      <c r="BC10" s="138">
        <f>VLOOKUP($B10,'2022 counts'!$B$6:$AD$304,28,FALSE)</f>
        <v>507</v>
      </c>
      <c r="BD10" s="138">
        <f>VLOOKUP($B10,'2022 counts'!$B$6:$AD$304,29,FALSE)</f>
        <v>580</v>
      </c>
      <c r="BE10" s="11">
        <f t="shared" si="19"/>
        <v>0.86</v>
      </c>
      <c r="BF10" s="2" t="str">
        <f t="shared" si="20"/>
        <v>D</v>
      </c>
      <c r="BG10" s="135">
        <v>3.7499999999999999E-2</v>
      </c>
      <c r="BH10" s="135">
        <f>IF($AQ10="","",VLOOKUP($B10, '2022 counts'!$B$6:$T$304,19,FALSE))</f>
        <v>3.7499999999999999E-2</v>
      </c>
      <c r="BI10" s="38">
        <f t="shared" si="21"/>
        <v>3.7499999999999999E-2</v>
      </c>
      <c r="BJ10" s="39" t="str">
        <f t="shared" si="22"/>
        <v/>
      </c>
      <c r="BK10" s="15">
        <f>VLOOKUP($U10,'2020_CapacityTable'!$B$49:$F$71,2)</f>
        <v>0</v>
      </c>
      <c r="BL10" s="15">
        <f>VLOOKUP($U10,'2020_CapacityTable'!$B$49:$F$71,3)</f>
        <v>7300</v>
      </c>
      <c r="BM10" s="15">
        <f>VLOOKUP($T10,'2020_CapacityTable'!$B$49:$F$71,4)</f>
        <v>14800</v>
      </c>
      <c r="BN10" s="15">
        <f>VLOOKUP($T10,'2020_CapacityTable'!$B$49:$F$71,5)</f>
        <v>15600</v>
      </c>
      <c r="BO10" s="15">
        <f t="shared" si="23"/>
        <v>0</v>
      </c>
      <c r="BP10" s="15">
        <f t="shared" si="24"/>
        <v>6570</v>
      </c>
      <c r="BQ10" s="15">
        <f t="shared" si="25"/>
        <v>13320</v>
      </c>
      <c r="BR10" s="15">
        <f t="shared" si="26"/>
        <v>14040</v>
      </c>
      <c r="BS10" s="3">
        <f t="shared" si="27"/>
        <v>13320</v>
      </c>
      <c r="BT10" s="40">
        <f>'State of the System - Sumter Co'!AD10</f>
        <v>14694</v>
      </c>
      <c r="BU10" s="41">
        <f t="shared" si="28"/>
        <v>1.1000000000000001</v>
      </c>
      <c r="BV10" s="2" t="str">
        <f t="shared" si="29"/>
        <v>F</v>
      </c>
      <c r="BW10" s="2">
        <f t="shared" si="30"/>
        <v>6.33</v>
      </c>
      <c r="BX10" s="15">
        <f>VLOOKUP($U10,'2020_CapacityTable'!$B$23:$F$45,2)</f>
        <v>0</v>
      </c>
      <c r="BY10" s="15">
        <f>VLOOKUP($U10,'2020_CapacityTable'!$B$23:$F$45,3)</f>
        <v>370</v>
      </c>
      <c r="BZ10" s="15">
        <f>VLOOKUP($U10,'2020_CapacityTable'!$B$23:$F$45,4)</f>
        <v>750</v>
      </c>
      <c r="CA10" s="15">
        <f>VLOOKUP($U10,'2020_CapacityTable'!$B$23:$F$45,5)</f>
        <v>800</v>
      </c>
      <c r="CB10" s="15">
        <f t="shared" si="31"/>
        <v>0</v>
      </c>
      <c r="CC10" s="15">
        <f t="shared" si="32"/>
        <v>333</v>
      </c>
      <c r="CD10" s="15">
        <f t="shared" si="33"/>
        <v>675</v>
      </c>
      <c r="CE10" s="15">
        <f t="shared" si="34"/>
        <v>720</v>
      </c>
      <c r="CF10" s="3">
        <f t="shared" si="35"/>
        <v>675</v>
      </c>
      <c r="CG10" s="2">
        <f>'State of the System - Sumter Co'!AH10</f>
        <v>609</v>
      </c>
      <c r="CH10" s="2">
        <f>'State of the System - Sumter Co'!AI10</f>
        <v>697</v>
      </c>
      <c r="CI10" s="11">
        <f t="shared" si="36"/>
        <v>1.03</v>
      </c>
      <c r="CJ10" s="2" t="str">
        <f t="shared" si="37"/>
        <v>E</v>
      </c>
      <c r="CK10" s="3">
        <f t="shared" si="51"/>
        <v>15163</v>
      </c>
      <c r="CL10" s="11">
        <f t="shared" si="38"/>
        <v>0.97</v>
      </c>
      <c r="CM10" s="140" t="str">
        <f t="shared" si="39"/>
        <v>CONGESTED (2025)</v>
      </c>
      <c r="CN10" s="3">
        <f t="shared" si="40"/>
        <v>778</v>
      </c>
      <c r="CO10" s="11">
        <f t="shared" si="41"/>
        <v>0.9</v>
      </c>
      <c r="CP10" s="141" t="str">
        <f t="shared" si="42"/>
        <v>CONGESTED (2025)</v>
      </c>
      <c r="CQ10" s="2"/>
      <c r="CR10" s="42"/>
      <c r="CS10" s="140" t="str">
        <f t="shared" si="43"/>
        <v/>
      </c>
      <c r="CT10" s="11">
        <f t="shared" si="44"/>
        <v>1.18</v>
      </c>
      <c r="CU10" s="140" t="str">
        <f t="shared" si="52"/>
        <v/>
      </c>
      <c r="CV10" s="11" t="str">
        <f t="shared" si="45"/>
        <v/>
      </c>
      <c r="CW10" s="2"/>
      <c r="CX10" s="1"/>
      <c r="CY10" s="142" t="str">
        <f t="shared" si="46"/>
        <v/>
      </c>
      <c r="CZ10" s="32">
        <f t="shared" si="47"/>
        <v>6.33</v>
      </c>
    </row>
    <row r="11" spans="1:104" ht="12.75" customHeight="1">
      <c r="A11" s="2">
        <v>4835</v>
      </c>
      <c r="B11" s="1">
        <f t="shared" si="48"/>
        <v>130</v>
      </c>
      <c r="C11" s="33">
        <v>1271</v>
      </c>
      <c r="D11" s="1">
        <f>VLOOKUP(C11,'2022 counts'!$A$6:$B$304,2,FALSE)</f>
        <v>130</v>
      </c>
      <c r="E11" s="2"/>
      <c r="F11" s="2" t="s">
        <v>6</v>
      </c>
      <c r="G11" s="141">
        <v>55</v>
      </c>
      <c r="H11" s="11">
        <v>1.34</v>
      </c>
      <c r="I11" s="34" t="s">
        <v>683</v>
      </c>
      <c r="J11" s="34" t="s">
        <v>540</v>
      </c>
      <c r="K11" s="34" t="s">
        <v>55</v>
      </c>
      <c r="L11" s="143">
        <v>2</v>
      </c>
      <c r="M11" s="1">
        <f>'State of the System - Sumter Co'!K11</f>
        <v>2</v>
      </c>
      <c r="N11" s="1" t="str">
        <f>IF('State of the System - Sumter Co'!L11="URBAN","U","R")</f>
        <v>U</v>
      </c>
      <c r="O11" s="1" t="str">
        <f>IF('State of the System - Sumter Co'!M11="UNDIVIDED","U",IF('State of the System - Sumter Co'!M11="DIVIDED","D","F"))</f>
        <v>U</v>
      </c>
      <c r="P11" s="1" t="str">
        <f>'State of the System - Sumter Co'!N11</f>
        <v>INTERRUPTED</v>
      </c>
      <c r="Q11" s="1" t="str">
        <f t="shared" si="0"/>
        <v/>
      </c>
      <c r="R11" s="1" t="str">
        <f>'State of the System - Sumter Co'!O11</f>
        <v/>
      </c>
      <c r="S11" s="1" t="str">
        <f t="shared" si="1"/>
        <v>-1</v>
      </c>
      <c r="T11" s="1" t="str">
        <f t="shared" si="2"/>
        <v>U-2U-1</v>
      </c>
      <c r="U11" s="1" t="str">
        <f t="shared" si="3"/>
        <v>U-2U-1</v>
      </c>
      <c r="V11" s="2" t="s">
        <v>10</v>
      </c>
      <c r="W11" s="1" t="s">
        <v>11</v>
      </c>
      <c r="X11" s="1" t="s">
        <v>21</v>
      </c>
      <c r="Y11" s="1" t="str">
        <f>'State of the System - Sumter Co'!R11</f>
        <v>D</v>
      </c>
      <c r="Z11" s="143" t="str">
        <f t="shared" si="4"/>
        <v>Other CMP Network Roadways</v>
      </c>
      <c r="AA11" s="15">
        <f>VLOOKUP($T11,'2020_CapacityTable'!$B$49:$F$71,2)</f>
        <v>0</v>
      </c>
      <c r="AB11" s="15">
        <f>VLOOKUP($T11,'2020_CapacityTable'!$B$49:$F$71,3)</f>
        <v>16800</v>
      </c>
      <c r="AC11" s="15">
        <f>VLOOKUP($T11,'2020_CapacityTable'!$B$49:$F$71,4)</f>
        <v>17700</v>
      </c>
      <c r="AD11" s="15">
        <f>VLOOKUP($T11,'2020_CapacityTable'!$B$49:$F$71,5)</f>
        <v>17700</v>
      </c>
      <c r="AE11" s="35">
        <f t="shared" si="5"/>
        <v>-0.1</v>
      </c>
      <c r="AF11" s="36" t="str">
        <f t="shared" si="6"/>
        <v/>
      </c>
      <c r="AG11" s="2"/>
      <c r="AH11" s="2"/>
      <c r="AI11" s="2"/>
      <c r="AJ11" s="36"/>
      <c r="AK11" s="15">
        <f t="shared" si="8"/>
        <v>0</v>
      </c>
      <c r="AL11" s="15">
        <f t="shared" si="9"/>
        <v>15120</v>
      </c>
      <c r="AM11" s="15">
        <f t="shared" si="10"/>
        <v>15930</v>
      </c>
      <c r="AN11" s="15">
        <f t="shared" si="11"/>
        <v>15930</v>
      </c>
      <c r="AO11" s="3">
        <f t="shared" si="49"/>
        <v>15930</v>
      </c>
      <c r="AP11" s="138">
        <f>VLOOKUP($B11,'2022 counts'!$B$6:$R$304,17,FALSE)</f>
        <v>7338</v>
      </c>
      <c r="AQ11" s="11">
        <f t="shared" si="12"/>
        <v>0.46</v>
      </c>
      <c r="AR11" s="2" t="str">
        <f t="shared" si="13"/>
        <v>C</v>
      </c>
      <c r="AS11" s="26">
        <f t="shared" si="50"/>
        <v>3.59</v>
      </c>
      <c r="AT11" s="15">
        <f>VLOOKUP($T11,'2020_CapacityTable'!$B$23:$F$45,2)</f>
        <v>0</v>
      </c>
      <c r="AU11" s="15">
        <f>VLOOKUP($T11,'2020_CapacityTable'!$B$23:$F$45,3)</f>
        <v>830</v>
      </c>
      <c r="AV11" s="15">
        <f>VLOOKUP($T11,'2020_CapacityTable'!$B$23:$F$45,4)</f>
        <v>880</v>
      </c>
      <c r="AW11" s="15">
        <f>VLOOKUP($T11,'2020_CapacityTable'!$B$23:$F$45,5)</f>
        <v>880</v>
      </c>
      <c r="AX11" s="15">
        <f t="shared" si="14"/>
        <v>0</v>
      </c>
      <c r="AY11" s="15">
        <f t="shared" si="15"/>
        <v>747</v>
      </c>
      <c r="AZ11" s="15">
        <f t="shared" si="16"/>
        <v>792</v>
      </c>
      <c r="BA11" s="15">
        <f t="shared" si="17"/>
        <v>792</v>
      </c>
      <c r="BB11" s="3">
        <f t="shared" si="18"/>
        <v>792</v>
      </c>
      <c r="BC11" s="138">
        <f>VLOOKUP($B11,'2022 counts'!$B$6:$AD$304,28,FALSE)</f>
        <v>415</v>
      </c>
      <c r="BD11" s="138">
        <f>VLOOKUP($B11,'2022 counts'!$B$6:$AD$304,29,FALSE)</f>
        <v>341</v>
      </c>
      <c r="BE11" s="11">
        <f t="shared" si="19"/>
        <v>0.52</v>
      </c>
      <c r="BF11" s="2" t="str">
        <f t="shared" si="20"/>
        <v>C</v>
      </c>
      <c r="BG11" s="135">
        <v>2.5000000000000001E-3</v>
      </c>
      <c r="BH11" s="135">
        <f>IF($AQ11="","",VLOOKUP($B11, '2022 counts'!$B$6:$T$304,19,FALSE))</f>
        <v>2.5000000000000001E-3</v>
      </c>
      <c r="BI11" s="38">
        <f t="shared" si="21"/>
        <v>0.01</v>
      </c>
      <c r="BJ11" s="39" t="str">
        <f t="shared" si="22"/>
        <v>minimum</v>
      </c>
      <c r="BK11" s="15">
        <f>VLOOKUP($U11,'2020_CapacityTable'!$B$49:$F$71,2)</f>
        <v>0</v>
      </c>
      <c r="BL11" s="15">
        <f>VLOOKUP($U11,'2020_CapacityTable'!$B$49:$F$71,3)</f>
        <v>16800</v>
      </c>
      <c r="BM11" s="15">
        <f>VLOOKUP($T11,'2020_CapacityTable'!$B$49:$F$71,4)</f>
        <v>17700</v>
      </c>
      <c r="BN11" s="15">
        <f>VLOOKUP($T11,'2020_CapacityTable'!$B$49:$F$71,5)</f>
        <v>17700</v>
      </c>
      <c r="BO11" s="15">
        <f t="shared" si="23"/>
        <v>0</v>
      </c>
      <c r="BP11" s="15">
        <f t="shared" si="24"/>
        <v>15120</v>
      </c>
      <c r="BQ11" s="15">
        <f t="shared" si="25"/>
        <v>15930</v>
      </c>
      <c r="BR11" s="15">
        <f t="shared" si="26"/>
        <v>15930</v>
      </c>
      <c r="BS11" s="3">
        <f t="shared" si="27"/>
        <v>15930</v>
      </c>
      <c r="BT11" s="40">
        <f>'State of the System - Sumter Co'!AD11</f>
        <v>7712</v>
      </c>
      <c r="BU11" s="41">
        <f t="shared" si="28"/>
        <v>0.48</v>
      </c>
      <c r="BV11" s="2" t="str">
        <f t="shared" si="29"/>
        <v>C</v>
      </c>
      <c r="BW11" s="2">
        <f t="shared" si="30"/>
        <v>3.77</v>
      </c>
      <c r="BX11" s="15">
        <f>VLOOKUP($U11,'2020_CapacityTable'!$B$23:$F$45,2)</f>
        <v>0</v>
      </c>
      <c r="BY11" s="15">
        <f>VLOOKUP($U11,'2020_CapacityTable'!$B$23:$F$45,3)</f>
        <v>830</v>
      </c>
      <c r="BZ11" s="15">
        <f>VLOOKUP($U11,'2020_CapacityTable'!$B$23:$F$45,4)</f>
        <v>880</v>
      </c>
      <c r="CA11" s="15">
        <f>VLOOKUP($U11,'2020_CapacityTable'!$B$23:$F$45,5)</f>
        <v>880</v>
      </c>
      <c r="CB11" s="15">
        <f t="shared" si="31"/>
        <v>0</v>
      </c>
      <c r="CC11" s="15">
        <f t="shared" si="32"/>
        <v>747</v>
      </c>
      <c r="CD11" s="15">
        <f t="shared" si="33"/>
        <v>792</v>
      </c>
      <c r="CE11" s="15">
        <f t="shared" si="34"/>
        <v>792</v>
      </c>
      <c r="CF11" s="3">
        <f t="shared" si="35"/>
        <v>792</v>
      </c>
      <c r="CG11" s="2">
        <f>'State of the System - Sumter Co'!AH11</f>
        <v>436</v>
      </c>
      <c r="CH11" s="2">
        <f>'State of the System - Sumter Co'!AI11</f>
        <v>358</v>
      </c>
      <c r="CI11" s="11">
        <f t="shared" si="36"/>
        <v>0.55000000000000004</v>
      </c>
      <c r="CJ11" s="2" t="str">
        <f t="shared" si="37"/>
        <v>C</v>
      </c>
      <c r="CK11" s="3">
        <f t="shared" si="51"/>
        <v>17204</v>
      </c>
      <c r="CL11" s="11">
        <f t="shared" si="38"/>
        <v>0.45</v>
      </c>
      <c r="CM11" s="140" t="str">
        <f t="shared" si="39"/>
        <v>NOT CONGESTED</v>
      </c>
      <c r="CN11" s="3">
        <f t="shared" si="40"/>
        <v>855</v>
      </c>
      <c r="CO11" s="11">
        <f t="shared" si="41"/>
        <v>0.51</v>
      </c>
      <c r="CP11" s="141" t="str">
        <f t="shared" si="42"/>
        <v>NOT CONGESTED</v>
      </c>
      <c r="CQ11" s="2"/>
      <c r="CR11" s="42"/>
      <c r="CS11" s="140" t="str">
        <f t="shared" si="43"/>
        <v/>
      </c>
      <c r="CT11" s="11" t="str">
        <f t="shared" si="44"/>
        <v/>
      </c>
      <c r="CU11" s="140" t="str">
        <f t="shared" si="52"/>
        <v/>
      </c>
      <c r="CV11" s="11" t="str">
        <f t="shared" si="45"/>
        <v/>
      </c>
      <c r="CW11" s="2"/>
      <c r="CX11" s="1"/>
      <c r="CY11" s="142" t="str">
        <f t="shared" si="46"/>
        <v/>
      </c>
      <c r="CZ11" s="32" t="str">
        <f t="shared" si="47"/>
        <v/>
      </c>
    </row>
    <row r="12" spans="1:104" ht="12.75" customHeight="1">
      <c r="A12" s="2">
        <v>4860</v>
      </c>
      <c r="B12" s="1">
        <f t="shared" si="48"/>
        <v>1</v>
      </c>
      <c r="C12" s="33">
        <v>486</v>
      </c>
      <c r="D12" s="1">
        <f>VLOOKUP(C12,'2022 counts'!$A$6:$B$304,2,FALSE)</f>
        <v>1</v>
      </c>
      <c r="E12" s="2"/>
      <c r="F12" s="2" t="s">
        <v>6</v>
      </c>
      <c r="G12" s="141">
        <v>35</v>
      </c>
      <c r="H12" s="11">
        <v>0.6</v>
      </c>
      <c r="I12" s="34" t="s">
        <v>540</v>
      </c>
      <c r="J12" s="34" t="s">
        <v>683</v>
      </c>
      <c r="K12" s="34" t="s">
        <v>684</v>
      </c>
      <c r="L12" s="143">
        <v>2</v>
      </c>
      <c r="M12" s="1">
        <f>'State of the System - Sumter Co'!K12</f>
        <v>2</v>
      </c>
      <c r="N12" s="1" t="str">
        <f>IF('State of the System - Sumter Co'!L12="URBAN","U","R")</f>
        <v>U</v>
      </c>
      <c r="O12" s="1" t="str">
        <f>IF('State of the System - Sumter Co'!M12="UNDIVIDED","U",IF('State of the System - Sumter Co'!M12="DIVIDED","D","F"))</f>
        <v>U</v>
      </c>
      <c r="P12" s="1" t="str">
        <f>'State of the System - Sumter Co'!N12</f>
        <v>INTERRUPTED</v>
      </c>
      <c r="Q12" s="1" t="str">
        <f t="shared" si="0"/>
        <v/>
      </c>
      <c r="R12" s="1" t="str">
        <f>'State of the System - Sumter Co'!O12</f>
        <v/>
      </c>
      <c r="S12" s="1" t="str">
        <f t="shared" si="1"/>
        <v>-2</v>
      </c>
      <c r="T12" s="1" t="str">
        <f t="shared" si="2"/>
        <v>U-2U-2</v>
      </c>
      <c r="U12" s="1" t="str">
        <f t="shared" si="3"/>
        <v>U-2U-2</v>
      </c>
      <c r="V12" s="2" t="s">
        <v>10</v>
      </c>
      <c r="W12" s="1" t="s">
        <v>11</v>
      </c>
      <c r="X12" s="1" t="s">
        <v>544</v>
      </c>
      <c r="Y12" s="1" t="str">
        <f>'State of the System - Sumter Co'!R12</f>
        <v>D</v>
      </c>
      <c r="Z12" s="143" t="str">
        <f t="shared" si="4"/>
        <v>Other CMP Network Roadways</v>
      </c>
      <c r="AA12" s="15">
        <f>VLOOKUP($T12,'2020_CapacityTable'!$B$49:$F$71,2)</f>
        <v>0</v>
      </c>
      <c r="AB12" s="15">
        <f>VLOOKUP($T12,'2020_CapacityTable'!$B$49:$F$71,3)</f>
        <v>7300</v>
      </c>
      <c r="AC12" s="15">
        <f>VLOOKUP($T12,'2020_CapacityTable'!$B$49:$F$71,4)</f>
        <v>14800</v>
      </c>
      <c r="AD12" s="15">
        <f>VLOOKUP($T12,'2020_CapacityTable'!$B$49:$F$71,5)</f>
        <v>15600</v>
      </c>
      <c r="AE12" s="35">
        <f t="shared" si="5"/>
        <v>-0.1</v>
      </c>
      <c r="AF12" s="36" t="str">
        <f t="shared" si="6"/>
        <v/>
      </c>
      <c r="AG12" s="35">
        <v>-0.2</v>
      </c>
      <c r="AH12" s="2"/>
      <c r="AI12" s="2"/>
      <c r="AJ12" s="36"/>
      <c r="AK12" s="15">
        <f t="shared" si="8"/>
        <v>0</v>
      </c>
      <c r="AL12" s="15">
        <f t="shared" si="9"/>
        <v>5110</v>
      </c>
      <c r="AM12" s="15">
        <f t="shared" si="10"/>
        <v>10360</v>
      </c>
      <c r="AN12" s="15">
        <f t="shared" si="11"/>
        <v>10920</v>
      </c>
      <c r="AO12" s="3">
        <f t="shared" si="49"/>
        <v>10360</v>
      </c>
      <c r="AP12" s="138">
        <f>VLOOKUP($B12,'2022 counts'!$B$6:$R$304,17,FALSE)</f>
        <v>3976</v>
      </c>
      <c r="AQ12" s="11">
        <f t="shared" si="12"/>
        <v>0.38</v>
      </c>
      <c r="AR12" s="2" t="str">
        <f t="shared" si="13"/>
        <v>C</v>
      </c>
      <c r="AS12" s="26">
        <f t="shared" si="50"/>
        <v>0.87</v>
      </c>
      <c r="AT12" s="15">
        <f>VLOOKUP($T12,'2020_CapacityTable'!$B$23:$F$45,2)</f>
        <v>0</v>
      </c>
      <c r="AU12" s="15">
        <f>VLOOKUP($T12,'2020_CapacityTable'!$B$23:$F$45,3)</f>
        <v>370</v>
      </c>
      <c r="AV12" s="15">
        <f>VLOOKUP($T12,'2020_CapacityTable'!$B$23:$F$45,4)</f>
        <v>750</v>
      </c>
      <c r="AW12" s="15">
        <f>VLOOKUP($T12,'2020_CapacityTable'!$B$23:$F$45,5)</f>
        <v>800</v>
      </c>
      <c r="AX12" s="15">
        <f t="shared" si="14"/>
        <v>0</v>
      </c>
      <c r="AY12" s="15">
        <f t="shared" si="15"/>
        <v>259</v>
      </c>
      <c r="AZ12" s="15">
        <f t="shared" si="16"/>
        <v>525</v>
      </c>
      <c r="BA12" s="15">
        <f t="shared" si="17"/>
        <v>560</v>
      </c>
      <c r="BB12" s="3">
        <f t="shared" si="18"/>
        <v>525</v>
      </c>
      <c r="BC12" s="138">
        <f>VLOOKUP($B12,'2022 counts'!$B$6:$AD$304,28,FALSE)</f>
        <v>199</v>
      </c>
      <c r="BD12" s="138">
        <f>VLOOKUP($B12,'2022 counts'!$B$6:$AD$304,29,FALSE)</f>
        <v>197</v>
      </c>
      <c r="BE12" s="11">
        <f t="shared" si="19"/>
        <v>0.38</v>
      </c>
      <c r="BF12" s="2" t="str">
        <f t="shared" si="20"/>
        <v>C</v>
      </c>
      <c r="BG12" s="135">
        <v>0</v>
      </c>
      <c r="BH12" s="135">
        <f>IF($AQ12="","",VLOOKUP($B12, '2022 counts'!$B$6:$T$304,19,FALSE))</f>
        <v>0</v>
      </c>
      <c r="BI12" s="38">
        <f t="shared" si="21"/>
        <v>0.01</v>
      </c>
      <c r="BJ12" s="39" t="str">
        <f t="shared" si="22"/>
        <v>minimum</v>
      </c>
      <c r="BK12" s="15">
        <f>VLOOKUP($U12,'2020_CapacityTable'!$B$49:$F$71,2)</f>
        <v>0</v>
      </c>
      <c r="BL12" s="15">
        <f>VLOOKUP($U12,'2020_CapacityTable'!$B$49:$F$71,3)</f>
        <v>7300</v>
      </c>
      <c r="BM12" s="15">
        <f>VLOOKUP($T12,'2020_CapacityTable'!$B$49:$F$71,4)</f>
        <v>14800</v>
      </c>
      <c r="BN12" s="15">
        <f>VLOOKUP($T12,'2020_CapacityTable'!$B$49:$F$71,5)</f>
        <v>15600</v>
      </c>
      <c r="BO12" s="15">
        <f t="shared" si="23"/>
        <v>0</v>
      </c>
      <c r="BP12" s="15">
        <f t="shared" si="24"/>
        <v>5110</v>
      </c>
      <c r="BQ12" s="15">
        <f t="shared" si="25"/>
        <v>10360</v>
      </c>
      <c r="BR12" s="15">
        <f t="shared" si="26"/>
        <v>10920</v>
      </c>
      <c r="BS12" s="3">
        <f t="shared" si="27"/>
        <v>10360</v>
      </c>
      <c r="BT12" s="40">
        <f>'State of the System - Sumter Co'!AD12</f>
        <v>4179</v>
      </c>
      <c r="BU12" s="41">
        <f t="shared" si="28"/>
        <v>0.4</v>
      </c>
      <c r="BV12" s="2" t="str">
        <f t="shared" si="29"/>
        <v>C</v>
      </c>
      <c r="BW12" s="2">
        <f t="shared" si="30"/>
        <v>0.92</v>
      </c>
      <c r="BX12" s="15">
        <f>VLOOKUP($U12,'2020_CapacityTable'!$B$23:$F$45,2)</f>
        <v>0</v>
      </c>
      <c r="BY12" s="15">
        <f>VLOOKUP($U12,'2020_CapacityTable'!$B$23:$F$45,3)</f>
        <v>370</v>
      </c>
      <c r="BZ12" s="15">
        <f>VLOOKUP($U12,'2020_CapacityTable'!$B$23:$F$45,4)</f>
        <v>750</v>
      </c>
      <c r="CA12" s="15">
        <f>VLOOKUP($U12,'2020_CapacityTable'!$B$23:$F$45,5)</f>
        <v>800</v>
      </c>
      <c r="CB12" s="15">
        <f t="shared" si="31"/>
        <v>0</v>
      </c>
      <c r="CC12" s="15">
        <f t="shared" si="32"/>
        <v>259</v>
      </c>
      <c r="CD12" s="15">
        <f t="shared" si="33"/>
        <v>525</v>
      </c>
      <c r="CE12" s="15">
        <f t="shared" si="34"/>
        <v>560</v>
      </c>
      <c r="CF12" s="3">
        <f t="shared" si="35"/>
        <v>525</v>
      </c>
      <c r="CG12" s="2">
        <f>'State of the System - Sumter Co'!AH12</f>
        <v>209</v>
      </c>
      <c r="CH12" s="2">
        <f>'State of the System - Sumter Co'!AI12</f>
        <v>207</v>
      </c>
      <c r="CI12" s="11">
        <f t="shared" si="36"/>
        <v>0.4</v>
      </c>
      <c r="CJ12" s="2" t="str">
        <f t="shared" si="37"/>
        <v>C</v>
      </c>
      <c r="CK12" s="3">
        <f t="shared" si="51"/>
        <v>11794</v>
      </c>
      <c r="CL12" s="11">
        <f t="shared" si="38"/>
        <v>0.35</v>
      </c>
      <c r="CM12" s="140" t="str">
        <f t="shared" si="39"/>
        <v>NOT CONGESTED</v>
      </c>
      <c r="CN12" s="3">
        <f t="shared" si="40"/>
        <v>605</v>
      </c>
      <c r="CO12" s="11">
        <f t="shared" si="41"/>
        <v>0.35</v>
      </c>
      <c r="CP12" s="141" t="str">
        <f t="shared" si="42"/>
        <v>NOT CONGESTED</v>
      </c>
      <c r="CQ12" s="2"/>
      <c r="CR12" s="42"/>
      <c r="CS12" s="140" t="str">
        <f t="shared" si="43"/>
        <v/>
      </c>
      <c r="CT12" s="11" t="str">
        <f t="shared" si="44"/>
        <v/>
      </c>
      <c r="CU12" s="140" t="str">
        <f t="shared" si="52"/>
        <v/>
      </c>
      <c r="CV12" s="11" t="str">
        <f t="shared" si="45"/>
        <v/>
      </c>
      <c r="CW12" s="2"/>
      <c r="CX12" s="1"/>
      <c r="CY12" s="142" t="str">
        <f t="shared" si="46"/>
        <v/>
      </c>
      <c r="CZ12" s="32" t="str">
        <f t="shared" si="47"/>
        <v/>
      </c>
    </row>
    <row r="13" spans="1:104" ht="12.75" customHeight="1">
      <c r="A13" s="2">
        <v>4870</v>
      </c>
      <c r="B13" s="1">
        <f t="shared" si="48"/>
        <v>88</v>
      </c>
      <c r="C13" s="33">
        <v>487</v>
      </c>
      <c r="D13" s="1">
        <f>VLOOKUP(C13,'2022 counts'!$A$6:$B$304,2,FALSE)</f>
        <v>88</v>
      </c>
      <c r="E13" s="2"/>
      <c r="F13" s="2" t="s">
        <v>6</v>
      </c>
      <c r="G13" s="141">
        <v>35</v>
      </c>
      <c r="H13" s="11">
        <v>0.85</v>
      </c>
      <c r="I13" s="34" t="s">
        <v>685</v>
      </c>
      <c r="J13" s="34" t="s">
        <v>683</v>
      </c>
      <c r="K13" s="34" t="s">
        <v>684</v>
      </c>
      <c r="L13" s="143">
        <v>2</v>
      </c>
      <c r="M13" s="1">
        <f>'State of the System - Sumter Co'!K13</f>
        <v>2</v>
      </c>
      <c r="N13" s="1" t="str">
        <f>IF('State of the System - Sumter Co'!L13="URBAN","U","R")</f>
        <v>U</v>
      </c>
      <c r="O13" s="1" t="str">
        <f>IF('State of the System - Sumter Co'!M13="UNDIVIDED","U",IF('State of the System - Sumter Co'!M13="DIVIDED","D","F"))</f>
        <v>U</v>
      </c>
      <c r="P13" s="1" t="str">
        <f>'State of the System - Sumter Co'!N13</f>
        <v>INTERRUPTED</v>
      </c>
      <c r="Q13" s="1" t="str">
        <f t="shared" si="0"/>
        <v/>
      </c>
      <c r="R13" s="1" t="str">
        <f>'State of the System - Sumter Co'!O13</f>
        <v/>
      </c>
      <c r="S13" s="1" t="str">
        <f t="shared" si="1"/>
        <v>-2</v>
      </c>
      <c r="T13" s="1" t="str">
        <f t="shared" si="2"/>
        <v>U-2U-2</v>
      </c>
      <c r="U13" s="1" t="str">
        <f t="shared" si="3"/>
        <v>U-2U-2</v>
      </c>
      <c r="V13" s="2" t="s">
        <v>10</v>
      </c>
      <c r="W13" s="1" t="s">
        <v>11</v>
      </c>
      <c r="X13" s="1" t="s">
        <v>544</v>
      </c>
      <c r="Y13" s="1" t="str">
        <f>'State of the System - Sumter Co'!R13</f>
        <v>D</v>
      </c>
      <c r="Z13" s="143" t="str">
        <f t="shared" si="4"/>
        <v>Other CMP Network Roadways</v>
      </c>
      <c r="AA13" s="15">
        <f>VLOOKUP($T13,'2020_CapacityTable'!$B$49:$F$71,2)</f>
        <v>0</v>
      </c>
      <c r="AB13" s="15">
        <f>VLOOKUP($T13,'2020_CapacityTable'!$B$49:$F$71,3)</f>
        <v>7300</v>
      </c>
      <c r="AC13" s="15">
        <f>VLOOKUP($T13,'2020_CapacityTable'!$B$49:$F$71,4)</f>
        <v>14800</v>
      </c>
      <c r="AD13" s="15">
        <f>VLOOKUP($T13,'2020_CapacityTable'!$B$49:$F$71,5)</f>
        <v>15600</v>
      </c>
      <c r="AE13" s="35">
        <f t="shared" si="5"/>
        <v>-0.1</v>
      </c>
      <c r="AF13" s="36" t="str">
        <f t="shared" si="6"/>
        <v/>
      </c>
      <c r="AG13" s="35">
        <v>-0.2</v>
      </c>
      <c r="AH13" s="2"/>
      <c r="AI13" s="2"/>
      <c r="AJ13" s="36"/>
      <c r="AK13" s="15">
        <f t="shared" si="8"/>
        <v>0</v>
      </c>
      <c r="AL13" s="15">
        <f t="shared" si="9"/>
        <v>5110</v>
      </c>
      <c r="AM13" s="15">
        <f t="shared" si="10"/>
        <v>10360</v>
      </c>
      <c r="AN13" s="15">
        <f t="shared" si="11"/>
        <v>10920</v>
      </c>
      <c r="AO13" s="3">
        <f t="shared" si="49"/>
        <v>10360</v>
      </c>
      <c r="AP13" s="138">
        <f>VLOOKUP($B13,'2022 counts'!$B$6:$R$304,17,FALSE)</f>
        <v>3349</v>
      </c>
      <c r="AQ13" s="11">
        <f t="shared" si="12"/>
        <v>0.32</v>
      </c>
      <c r="AR13" s="2" t="str">
        <f t="shared" si="13"/>
        <v>C</v>
      </c>
      <c r="AS13" s="26">
        <f t="shared" si="50"/>
        <v>1.04</v>
      </c>
      <c r="AT13" s="15">
        <f>VLOOKUP($T13,'2020_CapacityTable'!$B$23:$F$45,2)</f>
        <v>0</v>
      </c>
      <c r="AU13" s="15">
        <f>VLOOKUP($T13,'2020_CapacityTable'!$B$23:$F$45,3)</f>
        <v>370</v>
      </c>
      <c r="AV13" s="15">
        <f>VLOOKUP($T13,'2020_CapacityTable'!$B$23:$F$45,4)</f>
        <v>750</v>
      </c>
      <c r="AW13" s="15">
        <f>VLOOKUP($T13,'2020_CapacityTable'!$B$23:$F$45,5)</f>
        <v>800</v>
      </c>
      <c r="AX13" s="15">
        <f t="shared" si="14"/>
        <v>0</v>
      </c>
      <c r="AY13" s="15">
        <f t="shared" si="15"/>
        <v>259</v>
      </c>
      <c r="AZ13" s="15">
        <f t="shared" si="16"/>
        <v>525</v>
      </c>
      <c r="BA13" s="15">
        <f t="shared" si="17"/>
        <v>560</v>
      </c>
      <c r="BB13" s="3">
        <f t="shared" si="18"/>
        <v>525</v>
      </c>
      <c r="BC13" s="138">
        <f>VLOOKUP($B13,'2022 counts'!$B$6:$AD$304,28,FALSE)</f>
        <v>153</v>
      </c>
      <c r="BD13" s="138">
        <f>VLOOKUP($B13,'2022 counts'!$B$6:$AD$304,29,FALSE)</f>
        <v>181</v>
      </c>
      <c r="BE13" s="11">
        <f t="shared" si="19"/>
        <v>0.34</v>
      </c>
      <c r="BF13" s="2" t="str">
        <f t="shared" si="20"/>
        <v>C</v>
      </c>
      <c r="BG13" s="135">
        <v>0.04</v>
      </c>
      <c r="BH13" s="135">
        <f>IF($AQ13="","",VLOOKUP($B13, '2022 counts'!$B$6:$T$304,19,FALSE))</f>
        <v>0.04</v>
      </c>
      <c r="BI13" s="38">
        <f t="shared" si="21"/>
        <v>0.04</v>
      </c>
      <c r="BJ13" s="39" t="str">
        <f t="shared" si="22"/>
        <v/>
      </c>
      <c r="BK13" s="15">
        <f>VLOOKUP($U13,'2020_CapacityTable'!$B$49:$F$71,2)</f>
        <v>0</v>
      </c>
      <c r="BL13" s="15">
        <f>VLOOKUP($U13,'2020_CapacityTable'!$B$49:$F$71,3)</f>
        <v>7300</v>
      </c>
      <c r="BM13" s="15">
        <f>VLOOKUP($T13,'2020_CapacityTable'!$B$49:$F$71,4)</f>
        <v>14800</v>
      </c>
      <c r="BN13" s="15">
        <f>VLOOKUP($T13,'2020_CapacityTable'!$B$49:$F$71,5)</f>
        <v>15600</v>
      </c>
      <c r="BO13" s="15">
        <f t="shared" si="23"/>
        <v>0</v>
      </c>
      <c r="BP13" s="15">
        <f t="shared" si="24"/>
        <v>5110</v>
      </c>
      <c r="BQ13" s="15">
        <f t="shared" si="25"/>
        <v>10360</v>
      </c>
      <c r="BR13" s="15">
        <f t="shared" si="26"/>
        <v>10920</v>
      </c>
      <c r="BS13" s="3">
        <f t="shared" si="27"/>
        <v>10360</v>
      </c>
      <c r="BT13" s="40">
        <f>'State of the System - Sumter Co'!AD13</f>
        <v>4075</v>
      </c>
      <c r="BU13" s="41">
        <f t="shared" si="28"/>
        <v>0.39</v>
      </c>
      <c r="BV13" s="2" t="str">
        <f t="shared" si="29"/>
        <v>C</v>
      </c>
      <c r="BW13" s="2">
        <f t="shared" si="30"/>
        <v>1.26</v>
      </c>
      <c r="BX13" s="15">
        <f>VLOOKUP($U13,'2020_CapacityTable'!$B$23:$F$45,2)</f>
        <v>0</v>
      </c>
      <c r="BY13" s="15">
        <f>VLOOKUP($U13,'2020_CapacityTable'!$B$23:$F$45,3)</f>
        <v>370</v>
      </c>
      <c r="BZ13" s="15">
        <f>VLOOKUP($U13,'2020_CapacityTable'!$B$23:$F$45,4)</f>
        <v>750</v>
      </c>
      <c r="CA13" s="15">
        <f>VLOOKUP($U13,'2020_CapacityTable'!$B$23:$F$45,5)</f>
        <v>800</v>
      </c>
      <c r="CB13" s="15">
        <f t="shared" si="31"/>
        <v>0</v>
      </c>
      <c r="CC13" s="15">
        <f t="shared" si="32"/>
        <v>259</v>
      </c>
      <c r="CD13" s="15">
        <f t="shared" si="33"/>
        <v>525</v>
      </c>
      <c r="CE13" s="15">
        <f t="shared" si="34"/>
        <v>560</v>
      </c>
      <c r="CF13" s="3">
        <f t="shared" si="35"/>
        <v>525</v>
      </c>
      <c r="CG13" s="2">
        <f>'State of the System - Sumter Co'!AH13</f>
        <v>186</v>
      </c>
      <c r="CH13" s="2">
        <f>'State of the System - Sumter Co'!AI13</f>
        <v>220</v>
      </c>
      <c r="CI13" s="11">
        <f t="shared" si="36"/>
        <v>0.42</v>
      </c>
      <c r="CJ13" s="2" t="str">
        <f t="shared" si="37"/>
        <v>C</v>
      </c>
      <c r="CK13" s="3">
        <f t="shared" si="51"/>
        <v>11794</v>
      </c>
      <c r="CL13" s="11">
        <f t="shared" si="38"/>
        <v>0.35</v>
      </c>
      <c r="CM13" s="140" t="str">
        <f t="shared" si="39"/>
        <v>NOT CONGESTED</v>
      </c>
      <c r="CN13" s="3">
        <f t="shared" si="40"/>
        <v>605</v>
      </c>
      <c r="CO13" s="11">
        <f t="shared" si="41"/>
        <v>0.36</v>
      </c>
      <c r="CP13" s="141" t="str">
        <f t="shared" si="42"/>
        <v>NOT CONGESTED</v>
      </c>
      <c r="CQ13" s="2"/>
      <c r="CR13" s="42"/>
      <c r="CS13" s="140" t="str">
        <f t="shared" si="43"/>
        <v/>
      </c>
      <c r="CT13" s="11" t="str">
        <f t="shared" si="44"/>
        <v/>
      </c>
      <c r="CU13" s="140" t="str">
        <f t="shared" si="52"/>
        <v/>
      </c>
      <c r="CV13" s="11" t="str">
        <f t="shared" si="45"/>
        <v/>
      </c>
      <c r="CW13" s="2"/>
      <c r="CX13" s="1"/>
      <c r="CY13" s="142" t="str">
        <f t="shared" si="46"/>
        <v/>
      </c>
      <c r="CZ13" s="32" t="str">
        <f t="shared" si="47"/>
        <v/>
      </c>
    </row>
    <row r="14" spans="1:104" ht="12.75" customHeight="1">
      <c r="A14" s="2">
        <v>4880</v>
      </c>
      <c r="B14" s="1">
        <f t="shared" si="48"/>
        <v>149</v>
      </c>
      <c r="C14" s="33">
        <v>488</v>
      </c>
      <c r="D14" s="1">
        <f>VLOOKUP(C14,'2022 counts'!$A$6:$B$304,2,FALSE)</f>
        <v>149</v>
      </c>
      <c r="E14" s="2"/>
      <c r="F14" s="2" t="s">
        <v>6</v>
      </c>
      <c r="G14" s="141">
        <v>35</v>
      </c>
      <c r="H14" s="11">
        <v>0.9</v>
      </c>
      <c r="I14" s="34" t="s">
        <v>684</v>
      </c>
      <c r="J14" s="34" t="s">
        <v>18</v>
      </c>
      <c r="K14" s="34" t="s">
        <v>540</v>
      </c>
      <c r="L14" s="143">
        <v>2</v>
      </c>
      <c r="M14" s="1">
        <f>'State of the System - Sumter Co'!K14</f>
        <v>2</v>
      </c>
      <c r="N14" s="1" t="str">
        <f>IF('State of the System - Sumter Co'!L14="URBAN","U","R")</f>
        <v>U</v>
      </c>
      <c r="O14" s="1" t="str">
        <f>IF('State of the System - Sumter Co'!M14="UNDIVIDED","U",IF('State of the System - Sumter Co'!M14="DIVIDED","D","F"))</f>
        <v>U</v>
      </c>
      <c r="P14" s="1" t="str">
        <f>'State of the System - Sumter Co'!N14</f>
        <v>INTERRUPTED</v>
      </c>
      <c r="Q14" s="1" t="str">
        <f t="shared" si="0"/>
        <v/>
      </c>
      <c r="R14" s="1" t="str">
        <f>'State of the System - Sumter Co'!O14</f>
        <v/>
      </c>
      <c r="S14" s="1" t="str">
        <f t="shared" si="1"/>
        <v>-2</v>
      </c>
      <c r="T14" s="1" t="str">
        <f t="shared" si="2"/>
        <v>U-2U-2</v>
      </c>
      <c r="U14" s="1" t="str">
        <f t="shared" si="3"/>
        <v>U-2U-2</v>
      </c>
      <c r="V14" s="2" t="s">
        <v>10</v>
      </c>
      <c r="W14" s="1" t="s">
        <v>11</v>
      </c>
      <c r="X14" s="1" t="s">
        <v>21</v>
      </c>
      <c r="Y14" s="1" t="str">
        <f>'State of the System - Sumter Co'!R14</f>
        <v>D</v>
      </c>
      <c r="Z14" s="143" t="str">
        <f t="shared" si="4"/>
        <v>Other CMP Network Roadways</v>
      </c>
      <c r="AA14" s="15">
        <f>VLOOKUP($T14,'2020_CapacityTable'!$B$49:$F$71,2)</f>
        <v>0</v>
      </c>
      <c r="AB14" s="15">
        <f>VLOOKUP($T14,'2020_CapacityTable'!$B$49:$F$71,3)</f>
        <v>7300</v>
      </c>
      <c r="AC14" s="15">
        <f>VLOOKUP($T14,'2020_CapacityTable'!$B$49:$F$71,4)</f>
        <v>14800</v>
      </c>
      <c r="AD14" s="15">
        <f>VLOOKUP($T14,'2020_CapacityTable'!$B$49:$F$71,5)</f>
        <v>15600</v>
      </c>
      <c r="AE14" s="35">
        <f t="shared" si="5"/>
        <v>-0.1</v>
      </c>
      <c r="AF14" s="36" t="str">
        <f t="shared" si="6"/>
        <v/>
      </c>
      <c r="AG14" s="2"/>
      <c r="AH14" s="2"/>
      <c r="AI14" s="2"/>
      <c r="AJ14" s="2"/>
      <c r="AK14" s="15">
        <f t="shared" si="8"/>
        <v>0</v>
      </c>
      <c r="AL14" s="15">
        <f t="shared" si="9"/>
        <v>6570</v>
      </c>
      <c r="AM14" s="15">
        <f t="shared" si="10"/>
        <v>13320</v>
      </c>
      <c r="AN14" s="15">
        <f t="shared" si="11"/>
        <v>14040</v>
      </c>
      <c r="AO14" s="3">
        <f t="shared" si="49"/>
        <v>13320</v>
      </c>
      <c r="AP14" s="138">
        <f>VLOOKUP($B14,'2022 counts'!$B$6:$R$304,17,FALSE)</f>
        <v>9148</v>
      </c>
      <c r="AQ14" s="11">
        <f t="shared" si="12"/>
        <v>0.69</v>
      </c>
      <c r="AR14" s="2" t="str">
        <f t="shared" si="13"/>
        <v>D</v>
      </c>
      <c r="AS14" s="26">
        <f t="shared" si="50"/>
        <v>3.01</v>
      </c>
      <c r="AT14" s="15">
        <f>VLOOKUP($T14,'2020_CapacityTable'!$B$23:$F$45,2)</f>
        <v>0</v>
      </c>
      <c r="AU14" s="15">
        <f>VLOOKUP($T14,'2020_CapacityTable'!$B$23:$F$45,3)</f>
        <v>370</v>
      </c>
      <c r="AV14" s="15">
        <f>VLOOKUP($T14,'2020_CapacityTable'!$B$23:$F$45,4)</f>
        <v>750</v>
      </c>
      <c r="AW14" s="15">
        <f>VLOOKUP($T14,'2020_CapacityTable'!$B$23:$F$45,5)</f>
        <v>800</v>
      </c>
      <c r="AX14" s="15">
        <f t="shared" si="14"/>
        <v>0</v>
      </c>
      <c r="AY14" s="15">
        <f t="shared" si="15"/>
        <v>333</v>
      </c>
      <c r="AZ14" s="15">
        <f t="shared" si="16"/>
        <v>675</v>
      </c>
      <c r="BA14" s="15">
        <f t="shared" si="17"/>
        <v>720</v>
      </c>
      <c r="BB14" s="3">
        <f t="shared" si="18"/>
        <v>675</v>
      </c>
      <c r="BC14" s="138">
        <f>VLOOKUP($B14,'2022 counts'!$B$6:$AD$304,28,FALSE)</f>
        <v>432</v>
      </c>
      <c r="BD14" s="138">
        <f>VLOOKUP($B14,'2022 counts'!$B$6:$AD$304,29,FALSE)</f>
        <v>494</v>
      </c>
      <c r="BE14" s="11">
        <f t="shared" si="19"/>
        <v>0.73</v>
      </c>
      <c r="BF14" s="2" t="str">
        <f t="shared" si="20"/>
        <v>D</v>
      </c>
      <c r="BG14" s="135">
        <v>5.0000000000000001E-3</v>
      </c>
      <c r="BH14" s="135">
        <f>IF($AQ14="","",VLOOKUP($B14, '2022 counts'!$B$6:$T$304,19,FALSE))</f>
        <v>5.0000000000000001E-3</v>
      </c>
      <c r="BI14" s="38">
        <f t="shared" si="21"/>
        <v>0.01</v>
      </c>
      <c r="BJ14" s="39" t="str">
        <f t="shared" si="22"/>
        <v>minimum</v>
      </c>
      <c r="BK14" s="15">
        <f>VLOOKUP($U14,'2020_CapacityTable'!$B$49:$F$71,2)</f>
        <v>0</v>
      </c>
      <c r="BL14" s="15">
        <f>VLOOKUP($U14,'2020_CapacityTable'!$B$49:$F$71,3)</f>
        <v>7300</v>
      </c>
      <c r="BM14" s="15">
        <f>VLOOKUP($T14,'2020_CapacityTable'!$B$49:$F$71,4)</f>
        <v>14800</v>
      </c>
      <c r="BN14" s="15">
        <f>VLOOKUP($T14,'2020_CapacityTable'!$B$49:$F$71,5)</f>
        <v>15600</v>
      </c>
      <c r="BO14" s="15">
        <f t="shared" si="23"/>
        <v>0</v>
      </c>
      <c r="BP14" s="15">
        <f t="shared" si="24"/>
        <v>6570</v>
      </c>
      <c r="BQ14" s="15">
        <f t="shared" si="25"/>
        <v>13320</v>
      </c>
      <c r="BR14" s="15">
        <f t="shared" si="26"/>
        <v>14040</v>
      </c>
      <c r="BS14" s="3">
        <f t="shared" si="27"/>
        <v>13320</v>
      </c>
      <c r="BT14" s="40">
        <f>'State of the System - Sumter Co'!AD14</f>
        <v>9615</v>
      </c>
      <c r="BU14" s="41">
        <f t="shared" si="28"/>
        <v>0.72</v>
      </c>
      <c r="BV14" s="2" t="str">
        <f t="shared" si="29"/>
        <v>D</v>
      </c>
      <c r="BW14" s="2">
        <f t="shared" si="30"/>
        <v>3.16</v>
      </c>
      <c r="BX14" s="15">
        <f>VLOOKUP($U14,'2020_CapacityTable'!$B$23:$F$45,2)</f>
        <v>0</v>
      </c>
      <c r="BY14" s="15">
        <f>VLOOKUP($U14,'2020_CapacityTable'!$B$23:$F$45,3)</f>
        <v>370</v>
      </c>
      <c r="BZ14" s="15">
        <f>VLOOKUP($U14,'2020_CapacityTable'!$B$23:$F$45,4)</f>
        <v>750</v>
      </c>
      <c r="CA14" s="15">
        <f>VLOOKUP($U14,'2020_CapacityTable'!$B$23:$F$45,5)</f>
        <v>800</v>
      </c>
      <c r="CB14" s="15">
        <f t="shared" si="31"/>
        <v>0</v>
      </c>
      <c r="CC14" s="15">
        <f t="shared" si="32"/>
        <v>333</v>
      </c>
      <c r="CD14" s="15">
        <f t="shared" si="33"/>
        <v>675</v>
      </c>
      <c r="CE14" s="15">
        <f t="shared" si="34"/>
        <v>720</v>
      </c>
      <c r="CF14" s="3">
        <f t="shared" si="35"/>
        <v>675</v>
      </c>
      <c r="CG14" s="2">
        <f>'State of the System - Sumter Co'!AH14</f>
        <v>454</v>
      </c>
      <c r="CH14" s="2">
        <f>'State of the System - Sumter Co'!AI14</f>
        <v>519</v>
      </c>
      <c r="CI14" s="11">
        <f t="shared" si="36"/>
        <v>0.77</v>
      </c>
      <c r="CJ14" s="2" t="str">
        <f t="shared" si="37"/>
        <v>D</v>
      </c>
      <c r="CK14" s="3">
        <f t="shared" si="51"/>
        <v>15163</v>
      </c>
      <c r="CL14" s="11">
        <f t="shared" si="38"/>
        <v>0.63</v>
      </c>
      <c r="CM14" s="140" t="str">
        <f t="shared" si="39"/>
        <v>NOT CONGESTED</v>
      </c>
      <c r="CN14" s="3">
        <f t="shared" si="40"/>
        <v>778</v>
      </c>
      <c r="CO14" s="11">
        <f t="shared" si="41"/>
        <v>0.67</v>
      </c>
      <c r="CP14" s="141" t="str">
        <f t="shared" si="42"/>
        <v>NOT CONGESTED</v>
      </c>
      <c r="CQ14" s="3"/>
      <c r="CR14" s="3"/>
      <c r="CS14" s="140" t="str">
        <f t="shared" si="43"/>
        <v/>
      </c>
      <c r="CT14" s="11" t="str">
        <f t="shared" si="44"/>
        <v/>
      </c>
      <c r="CU14" s="140" t="str">
        <f t="shared" si="52"/>
        <v/>
      </c>
      <c r="CV14" s="11" t="str">
        <f t="shared" si="45"/>
        <v/>
      </c>
      <c r="CW14" s="2"/>
      <c r="CX14" s="1"/>
      <c r="CY14" s="142" t="str">
        <f t="shared" si="46"/>
        <v/>
      </c>
      <c r="CZ14" s="32" t="str">
        <f t="shared" si="47"/>
        <v/>
      </c>
    </row>
    <row r="15" spans="1:104" s="390" customFormat="1" ht="12.75" customHeight="1">
      <c r="A15" s="375">
        <v>4885</v>
      </c>
      <c r="B15" s="242">
        <f t="shared" si="48"/>
        <v>150</v>
      </c>
      <c r="C15" s="376"/>
      <c r="D15" s="242">
        <v>150</v>
      </c>
      <c r="E15" s="375"/>
      <c r="F15" s="375" t="s">
        <v>6</v>
      </c>
      <c r="G15" s="377">
        <v>35</v>
      </c>
      <c r="H15" s="378">
        <v>1.52</v>
      </c>
      <c r="I15" s="379" t="s">
        <v>684</v>
      </c>
      <c r="J15" s="379" t="s">
        <v>540</v>
      </c>
      <c r="K15" s="379" t="s">
        <v>55</v>
      </c>
      <c r="L15" s="243">
        <v>2</v>
      </c>
      <c r="M15" s="242">
        <v>2</v>
      </c>
      <c r="N15" s="242" t="s">
        <v>858</v>
      </c>
      <c r="O15" s="242" t="s">
        <v>858</v>
      </c>
      <c r="P15" s="242" t="s">
        <v>651</v>
      </c>
      <c r="Q15" s="242"/>
      <c r="R15" s="242"/>
      <c r="S15" s="242" t="str">
        <f t="shared" si="1"/>
        <v>-2</v>
      </c>
      <c r="T15" s="242" t="str">
        <f t="shared" ref="T15" si="53">CONCATENATE(N15,"-",L15,O15,S15,Q15)</f>
        <v>U-2U-2</v>
      </c>
      <c r="U15" s="242" t="str">
        <f t="shared" ref="U15" si="54">CONCATENATE(N15,"-",M15,O15,S15,Q15)</f>
        <v>U-2U-2</v>
      </c>
      <c r="V15" s="375" t="s">
        <v>10</v>
      </c>
      <c r="W15" s="242" t="s">
        <v>11</v>
      </c>
      <c r="X15" s="242" t="s">
        <v>21</v>
      </c>
      <c r="Y15" s="242" t="str">
        <f>'State of the System - Sumter Co'!R16</f>
        <v>D</v>
      </c>
      <c r="Z15" s="243" t="str">
        <f t="shared" si="4"/>
        <v>Other CMP Network Roadways</v>
      </c>
      <c r="AA15" s="380">
        <f>VLOOKUP($T15,'2020_CapacityTable'!$B$49:$F$71,2)</f>
        <v>0</v>
      </c>
      <c r="AB15" s="380">
        <f>VLOOKUP($T15,'2020_CapacityTable'!$B$49:$F$71,3)</f>
        <v>7300</v>
      </c>
      <c r="AC15" s="380">
        <f>VLOOKUP($T15,'2020_CapacityTable'!$B$49:$F$71,4)</f>
        <v>14800</v>
      </c>
      <c r="AD15" s="380">
        <f>VLOOKUP($T15,'2020_CapacityTable'!$B$49:$F$71,5)</f>
        <v>15600</v>
      </c>
      <c r="AE15" s="381">
        <f t="shared" ref="AE15" si="55">IF(V15&lt;&gt;"STATE",-10%,"")</f>
        <v>-0.1</v>
      </c>
      <c r="AF15" s="382" t="str">
        <f t="shared" si="6"/>
        <v/>
      </c>
      <c r="AG15" s="375"/>
      <c r="AH15" s="375"/>
      <c r="AI15" s="375"/>
      <c r="AJ15" s="375"/>
      <c r="AK15" s="380">
        <f t="shared" ref="AK15" si="56">ROUND(AA15*(1+SUM($AE15:$AJ15)),0)</f>
        <v>0</v>
      </c>
      <c r="AL15" s="380">
        <f t="shared" ref="AL15" si="57">ROUND(AB15*(1+SUM($AE15:$AJ15)),0)</f>
        <v>6570</v>
      </c>
      <c r="AM15" s="380">
        <f t="shared" ref="AM15" si="58">ROUND(AC15*(1+SUM($AE15:$AJ15)),0)</f>
        <v>13320</v>
      </c>
      <c r="AN15" s="380">
        <f t="shared" ref="AN15" si="59">ROUND(AD15*(1+SUM($AE15:$AJ15)),0)</f>
        <v>14040</v>
      </c>
      <c r="AO15" s="383">
        <f t="shared" ref="AO15" si="60">IF(Y15="","",IF(Y15="B",AK15,IF(Y15="C",AL15,IF(Y15="D",AM15,AN15))))</f>
        <v>13320</v>
      </c>
      <c r="AP15" s="138">
        <f>VLOOKUP($B15,'2022 counts'!$B$6:$R$304,17,FALSE)</f>
        <v>12534</v>
      </c>
      <c r="AQ15" s="378">
        <f t="shared" ref="AQ15" si="61">IF(AND(AP15="-"),"",ROUND(AP15/AO15,2))</f>
        <v>0.94</v>
      </c>
      <c r="AR15" s="375" t="str">
        <f t="shared" ref="AR15" si="62">IF(AQ15="","",IF(AP15&lt;=$AK15,"B",IF(AP15&lt;=$AL15,"C",IF(AP15&lt;=$AM15,"D",IF(AP15&lt;=$AN15,"E","F")))))</f>
        <v>D</v>
      </c>
      <c r="AS15" s="384">
        <f t="shared" ref="AS15" si="63">IF(AP15="-","",ROUND(AP15*H15*365/1000000,2))</f>
        <v>6.95</v>
      </c>
      <c r="AT15" s="380">
        <f>VLOOKUP($T15,'2020_CapacityTable'!$B$23:$F$45,2)</f>
        <v>0</v>
      </c>
      <c r="AU15" s="380">
        <f>VLOOKUP($T15,'2020_CapacityTable'!$B$23:$F$45,3)</f>
        <v>370</v>
      </c>
      <c r="AV15" s="380">
        <f>VLOOKUP($T15,'2020_CapacityTable'!$B$23:$F$45,4)</f>
        <v>750</v>
      </c>
      <c r="AW15" s="380">
        <f>VLOOKUP($T15,'2020_CapacityTable'!$B$23:$F$45,5)</f>
        <v>800</v>
      </c>
      <c r="AX15" s="380">
        <f t="shared" ref="AX15" si="64">ROUND(AT15*(1+SUM($AE15:$AJ15)),0)</f>
        <v>0</v>
      </c>
      <c r="AY15" s="380">
        <f t="shared" ref="AY15" si="65">ROUND(AU15*(1+SUM($AE15:$AJ15)),0)</f>
        <v>333</v>
      </c>
      <c r="AZ15" s="380">
        <f t="shared" ref="AZ15" si="66">ROUND(AV15*(1+SUM($AE15:$AJ15)),0)</f>
        <v>675</v>
      </c>
      <c r="BA15" s="380">
        <f t="shared" ref="BA15" si="67">ROUND(AW15*(1+SUM($AE15:$AJ15)),0)</f>
        <v>720</v>
      </c>
      <c r="BB15" s="383">
        <f t="shared" ref="BB15" si="68">IF(Y15="","",IF(Y15="B",AX15,IF(Y15="C",AY15,IF(Y15="D",AZ15,BA15))))</f>
        <v>675</v>
      </c>
      <c r="BC15" s="138">
        <f>VLOOKUP($B15,'2022 counts'!$B$6:$AD$304,28,FALSE)</f>
        <v>609</v>
      </c>
      <c r="BD15" s="138">
        <f>VLOOKUP($B15,'2022 counts'!$B$6:$AD$304,29,FALSE)</f>
        <v>594</v>
      </c>
      <c r="BE15" s="11">
        <f t="shared" si="19"/>
        <v>0.9</v>
      </c>
      <c r="BF15" s="375" t="str">
        <f t="shared" ref="BF15" si="69">IF(BE15="","",IF(MAX(BC15,BD15)&lt;=$AX15,"B",IF(MAX(BC15,BD15)&lt;=$AY15,"C",IF(MAX(BC15,BD15)&lt;=$AZ15,"D",IF(MAX(BC15,BD15)&lt;=$BA15,"E","F")))))</f>
        <v>D</v>
      </c>
      <c r="BG15" s="135">
        <v>0.16750000000000001</v>
      </c>
      <c r="BH15" s="135">
        <v>0.05</v>
      </c>
      <c r="BI15" s="385">
        <f t="shared" ref="BI15" si="70">IF(BG15=BH15,IF(BG15&gt;0.01,BG15,0.01),IF(BH15&gt;0.01,BH15,0.01))</f>
        <v>0.05</v>
      </c>
      <c r="BJ15" s="386">
        <v>-2</v>
      </c>
      <c r="BK15" s="380">
        <f>VLOOKUP($U15,'2020_CapacityTable'!$B$49:$F$71,2)</f>
        <v>0</v>
      </c>
      <c r="BL15" s="380">
        <f>VLOOKUP($U15,'2020_CapacityTable'!$B$49:$F$71,3)</f>
        <v>7300</v>
      </c>
      <c r="BM15" s="380">
        <f>VLOOKUP($T15,'2020_CapacityTable'!$B$49:$F$71,4)</f>
        <v>14800</v>
      </c>
      <c r="BN15" s="380">
        <f>VLOOKUP($T15,'2020_CapacityTable'!$B$49:$F$71,5)</f>
        <v>15600</v>
      </c>
      <c r="BO15" s="380">
        <f t="shared" ref="BO15" si="71">ROUND(BK15*(1+SUM($AE15:$AJ15)),0)</f>
        <v>0</v>
      </c>
      <c r="BP15" s="380">
        <f t="shared" ref="BP15" si="72">ROUND(BL15*(1+SUM($AE15:$AJ15)),0)</f>
        <v>6570</v>
      </c>
      <c r="BQ15" s="380">
        <f t="shared" ref="BQ15" si="73">ROUND(BM15*(1+SUM($AE15:$AJ15)),0)</f>
        <v>13320</v>
      </c>
      <c r="BR15" s="380">
        <f t="shared" ref="BR15" si="74">ROUND(BN15*(1+SUM($AE15:$AJ15)),0)</f>
        <v>14040</v>
      </c>
      <c r="BS15" s="383">
        <f t="shared" ref="BS15" si="75">IF($Y15="","",IF($Y15="B",BO15,IF($Y15="C",BP15,IF($Y15="D",BQ15,BR15))))</f>
        <v>13320</v>
      </c>
      <c r="BT15" s="40">
        <f>'State of the System - Sumter Co'!AD15</f>
        <v>15997</v>
      </c>
      <c r="BU15" s="387">
        <f t="shared" ref="BU15" si="76">IF(BT15="-","",ROUND(BT15/BS15,2))</f>
        <v>1.2</v>
      </c>
      <c r="BV15" s="375" t="str">
        <f t="shared" ref="BV15" si="77">IF(BU15="","",IF(BT15&lt;=$BO15,"B",IF(BT15&lt;=$BP15,"C",IF(BT15&lt;=$BQ15,"D",IF(BT15&lt;=$BR15,"E","F")))))</f>
        <v>F</v>
      </c>
      <c r="BW15" s="375">
        <f>IF(BT15="-","",ROUND(BT15*H15*365/1000000,2))</f>
        <v>8.8800000000000008</v>
      </c>
      <c r="BX15" s="380">
        <f>VLOOKUP($U15,'2020_CapacityTable'!$B$23:$F$45,2)</f>
        <v>0</v>
      </c>
      <c r="BY15" s="380">
        <f>VLOOKUP($U15,'2020_CapacityTable'!$B$23:$F$45,3)</f>
        <v>370</v>
      </c>
      <c r="BZ15" s="380">
        <f>VLOOKUP($U15,'2020_CapacityTable'!$B$23:$F$45,4)</f>
        <v>750</v>
      </c>
      <c r="CA15" s="380">
        <f>VLOOKUP($U15,'2020_CapacityTable'!$B$23:$F$45,5)</f>
        <v>800</v>
      </c>
      <c r="CB15" s="380">
        <f t="shared" ref="CB15" si="78">ROUND(BX15*(1+SUM($AE15:$AJ15)),0)</f>
        <v>0</v>
      </c>
      <c r="CC15" s="380">
        <f t="shared" ref="CC15" si="79">ROUND(BY15*(1+SUM($AE15:$AJ15)),0)</f>
        <v>333</v>
      </c>
      <c r="CD15" s="380">
        <f t="shared" ref="CD15" si="80">ROUND(BZ15*(1+SUM($AE15:$AJ15)),0)</f>
        <v>675</v>
      </c>
      <c r="CE15" s="380">
        <f t="shared" ref="CE15" si="81">ROUND(CA15*(1+SUM($AE15:$AJ15)),0)</f>
        <v>720</v>
      </c>
      <c r="CF15" s="383">
        <f t="shared" ref="CF15" si="82">IF($Y15="","",IF($Y15="B",CB15,IF($Y15="C",CC15,IF($Y15="D",CD15,CE15))))</f>
        <v>675</v>
      </c>
      <c r="CG15" s="2">
        <f>'State of the System - Sumter Co'!AH15</f>
        <v>777</v>
      </c>
      <c r="CH15" s="2">
        <f>'State of the System - Sumter Co'!AI15</f>
        <v>758</v>
      </c>
      <c r="CI15" s="11">
        <f t="shared" si="36"/>
        <v>1.1499999999999999</v>
      </c>
      <c r="CJ15" s="375" t="str">
        <f t="shared" ref="CJ15" si="83">IF(OR(CI15="",CI15="-",CI15=0),"",IF(MAX(CG15,CH15)&lt;=$AX15,"B",IF(MAX(CG15,CH15)&lt;=$AY15,"C",IF(MAX(CG15,CH15)&lt;=$AZ15,"D",IF(MAX(CG15,CH15)&lt;=$BA15,"E","F")))))</f>
        <v>F</v>
      </c>
      <c r="CK15" s="383">
        <f t="shared" ref="CK15" si="84">ROUND(1.08*AN15,0)</f>
        <v>15163</v>
      </c>
      <c r="CL15" s="378">
        <f t="shared" ref="CL15" si="85">IF(BT15="-","",ROUND(BT15/CK15,2))</f>
        <v>1.06</v>
      </c>
      <c r="CM15" s="378" t="str">
        <f t="shared" ref="CM15" si="86">IF(CL15="","",IF(AP15&gt;CK15,"EXTREMELY (2020)",IF(CL15&gt;1,"EXTREMELY (2025)",IF(AQ15&gt;1,"CONGESTED (2020)",IF(BU15&gt;1,"CONGESTED (2025)",IF(OR(AQ15&gt;=0.9,BU15&gt;=0.9),"APPROACHING CONGESTION","NOT CONGESTED"))))))</f>
        <v>EXTREMELY (2025)</v>
      </c>
      <c r="CN15" s="383">
        <f t="shared" ref="CN15" si="87">ROUND(1.08*BA15,0)</f>
        <v>778</v>
      </c>
      <c r="CO15" s="378">
        <f t="shared" ref="CO15" si="88">IF(OR(AND(CG15="-",CH15="-"),AND(CG15="",CH15="")),"",ROUND(MAX(CG15,CH15)/CN15,2))</f>
        <v>1</v>
      </c>
      <c r="CP15" s="377" t="str">
        <f>IF(OR(CO15="",CO15=0),"",IF(OR(BC15&gt;CN15,BD15&gt;CN15),"EXTREMELY (2020)",IF(CO15&gt;1,"EXTREMELY (2025)",IF(BE15&gt;1,"CONGESTED (2020)",IF(CI15&gt;1,"CONGESTED (2025)",IF(OR(BE15&gt;=0.9,CI15&gt;=0.9),"APPROACHING CONGESTION","NOT CONGESTED"))))))</f>
        <v>CONGESTED (2025)</v>
      </c>
      <c r="CQ15" s="383"/>
      <c r="CR15" s="383"/>
      <c r="CS15" s="378" t="str">
        <f t="shared" ref="CS15" si="89">IF(OR(AP15="",AR15="",AQ15&lt;1),"",ROUND(H15,2))</f>
        <v/>
      </c>
      <c r="CT15" s="378">
        <f t="shared" ref="CT15" si="90">IF(OR(BT15="",BV15="",BU15&lt;1),"",ROUND(H15,2))</f>
        <v>1.52</v>
      </c>
      <c r="CU15" s="378" t="str">
        <f t="shared" ref="CU15" si="91">IF(OR(AP15="",AR15="",AP15&lt;$CK15),"",ROUND($H15,2))</f>
        <v/>
      </c>
      <c r="CV15" s="378">
        <f t="shared" ref="CV15" si="92">IF(OR(AQ15="",AS15="",BT15&lt;$CK15),"",ROUND($H15,2))</f>
        <v>1.52</v>
      </c>
      <c r="CW15" s="375"/>
      <c r="CX15" s="242"/>
      <c r="CY15" s="388" t="str">
        <f t="shared" ref="CY15" si="93">IF(OR(AP15="",AR15="",AQ15&lt;1),"",ROUND($H15*AP15*365/1000000,2))</f>
        <v/>
      </c>
      <c r="CZ15" s="389">
        <f t="shared" ref="CZ15" si="94">IF(OR(BT15="",BV15="",BU15&lt;1),"",ROUND(BT15*$H15*365/1000000,2))</f>
        <v>8.8800000000000008</v>
      </c>
    </row>
    <row r="16" spans="1:104" ht="12.75" customHeight="1">
      <c r="A16" s="2">
        <v>4890</v>
      </c>
      <c r="B16" s="1">
        <f t="shared" si="48"/>
        <v>182</v>
      </c>
      <c r="C16" s="33">
        <v>489</v>
      </c>
      <c r="D16" s="1">
        <f>VLOOKUP(C16,'2022 counts'!$A$6:$B$304,2,FALSE)</f>
        <v>182</v>
      </c>
      <c r="E16" s="2"/>
      <c r="F16" s="2" t="s">
        <v>6</v>
      </c>
      <c r="G16" s="141">
        <v>35</v>
      </c>
      <c r="H16" s="11">
        <v>1.84</v>
      </c>
      <c r="I16" s="34" t="s">
        <v>686</v>
      </c>
      <c r="J16" s="34" t="s">
        <v>18</v>
      </c>
      <c r="K16" s="34" t="s">
        <v>18</v>
      </c>
      <c r="L16" s="143">
        <v>2</v>
      </c>
      <c r="M16" s="1">
        <f>'State of the System - Sumter Co'!K16</f>
        <v>2</v>
      </c>
      <c r="N16" s="1" t="str">
        <f>IF('State of the System - Sumter Co'!L16="URBAN","U","R")</f>
        <v>U</v>
      </c>
      <c r="O16" s="1" t="str">
        <f>IF('State of the System - Sumter Co'!M16="UNDIVIDED","U",IF('State of the System - Sumter Co'!M16="DIVIDED","D","F"))</f>
        <v>U</v>
      </c>
      <c r="P16" s="1" t="str">
        <f>'State of the System - Sumter Co'!N16</f>
        <v>INTERRUPTED</v>
      </c>
      <c r="Q16" s="1" t="str">
        <f t="shared" si="0"/>
        <v/>
      </c>
      <c r="R16" s="1" t="str">
        <f>'State of the System - Sumter Co'!O16</f>
        <v/>
      </c>
      <c r="S16" s="1" t="str">
        <f t="shared" si="1"/>
        <v>-2</v>
      </c>
      <c r="T16" s="1" t="str">
        <f t="shared" si="2"/>
        <v>U-2U-2</v>
      </c>
      <c r="U16" s="1" t="str">
        <f t="shared" si="3"/>
        <v>U-2U-2</v>
      </c>
      <c r="V16" s="2" t="s">
        <v>10</v>
      </c>
      <c r="W16" s="1" t="s">
        <v>11</v>
      </c>
      <c r="X16" s="1" t="s">
        <v>544</v>
      </c>
      <c r="Y16" s="1" t="str">
        <f>'State of the System - Sumter Co'!R16</f>
        <v>D</v>
      </c>
      <c r="Z16" s="143" t="str">
        <f t="shared" si="4"/>
        <v>Other CMP Network Roadways</v>
      </c>
      <c r="AA16" s="15">
        <f>VLOOKUP($T16,'2020_CapacityTable'!$B$49:$F$71,2)</f>
        <v>0</v>
      </c>
      <c r="AB16" s="15">
        <f>VLOOKUP($T16,'2020_CapacityTable'!$B$49:$F$71,3)</f>
        <v>7300</v>
      </c>
      <c r="AC16" s="15">
        <f>VLOOKUP($T16,'2020_CapacityTable'!$B$49:$F$71,4)</f>
        <v>14800</v>
      </c>
      <c r="AD16" s="15">
        <f>VLOOKUP($T16,'2020_CapacityTable'!$B$49:$F$71,5)</f>
        <v>15600</v>
      </c>
      <c r="AE16" s="35">
        <f t="shared" si="5"/>
        <v>-0.1</v>
      </c>
      <c r="AF16" s="36" t="str">
        <f t="shared" si="6"/>
        <v/>
      </c>
      <c r="AG16" s="35">
        <v>-0.2</v>
      </c>
      <c r="AH16" s="2" t="str">
        <f>IF($O16="U",IF($L16&gt;2,"LOOK",""),"")</f>
        <v/>
      </c>
      <c r="AI16" s="2"/>
      <c r="AJ16" s="36"/>
      <c r="AK16" s="15">
        <f t="shared" si="8"/>
        <v>0</v>
      </c>
      <c r="AL16" s="15">
        <f t="shared" si="9"/>
        <v>5110</v>
      </c>
      <c r="AM16" s="15">
        <f t="shared" si="10"/>
        <v>10360</v>
      </c>
      <c r="AN16" s="15">
        <f t="shared" si="11"/>
        <v>10920</v>
      </c>
      <c r="AO16" s="3">
        <f t="shared" si="49"/>
        <v>10360</v>
      </c>
      <c r="AP16" s="138">
        <f>VLOOKUP($B16,'2022 counts'!$B$6:$R$304,17,FALSE)</f>
        <v>3958</v>
      </c>
      <c r="AQ16" s="11">
        <f t="shared" si="12"/>
        <v>0.38</v>
      </c>
      <c r="AR16" s="2" t="str">
        <f t="shared" si="13"/>
        <v>C</v>
      </c>
      <c r="AS16" s="26">
        <f t="shared" si="50"/>
        <v>2.66</v>
      </c>
      <c r="AT16" s="15">
        <f>VLOOKUP($T16,'2020_CapacityTable'!$B$23:$F$45,2)</f>
        <v>0</v>
      </c>
      <c r="AU16" s="15">
        <f>VLOOKUP($T16,'2020_CapacityTable'!$B$23:$F$45,3)</f>
        <v>370</v>
      </c>
      <c r="AV16" s="15">
        <f>VLOOKUP($T16,'2020_CapacityTable'!$B$23:$F$45,4)</f>
        <v>750</v>
      </c>
      <c r="AW16" s="15">
        <f>VLOOKUP($T16,'2020_CapacityTable'!$B$23:$F$45,5)</f>
        <v>800</v>
      </c>
      <c r="AX16" s="15">
        <f t="shared" si="14"/>
        <v>0</v>
      </c>
      <c r="AY16" s="15">
        <f t="shared" si="15"/>
        <v>259</v>
      </c>
      <c r="AZ16" s="15">
        <f t="shared" si="16"/>
        <v>525</v>
      </c>
      <c r="BA16" s="15">
        <f t="shared" si="17"/>
        <v>560</v>
      </c>
      <c r="BB16" s="3">
        <f t="shared" si="18"/>
        <v>525</v>
      </c>
      <c r="BC16" s="138">
        <f>VLOOKUP($B16,'2022 counts'!$B$6:$AD$304,28,FALSE)</f>
        <v>242</v>
      </c>
      <c r="BD16" s="138">
        <f>VLOOKUP($B16,'2022 counts'!$B$6:$AD$304,29,FALSE)</f>
        <v>175</v>
      </c>
      <c r="BE16" s="11">
        <f t="shared" si="19"/>
        <v>0.46</v>
      </c>
      <c r="BF16" s="2" t="str">
        <f t="shared" si="20"/>
        <v>C</v>
      </c>
      <c r="BG16" s="135">
        <v>0</v>
      </c>
      <c r="BH16" s="135">
        <f>IF($AQ16="","",VLOOKUP($B16, '2022 counts'!$B$6:$T$304,19,FALSE))</f>
        <v>0</v>
      </c>
      <c r="BI16" s="38">
        <f t="shared" si="21"/>
        <v>0.01</v>
      </c>
      <c r="BJ16" s="39" t="str">
        <f t="shared" si="22"/>
        <v>minimum</v>
      </c>
      <c r="BK16" s="15">
        <f>VLOOKUP($U16,'2020_CapacityTable'!$B$49:$F$71,2)</f>
        <v>0</v>
      </c>
      <c r="BL16" s="15">
        <f>VLOOKUP($U16,'2020_CapacityTable'!$B$49:$F$71,3)</f>
        <v>7300</v>
      </c>
      <c r="BM16" s="15">
        <f>VLOOKUP($T16,'2020_CapacityTable'!$B$49:$F$71,4)</f>
        <v>14800</v>
      </c>
      <c r="BN16" s="15">
        <f>VLOOKUP($T16,'2020_CapacityTable'!$B$49:$F$71,5)</f>
        <v>15600</v>
      </c>
      <c r="BO16" s="15">
        <f t="shared" si="23"/>
        <v>0</v>
      </c>
      <c r="BP16" s="15">
        <f t="shared" si="24"/>
        <v>5110</v>
      </c>
      <c r="BQ16" s="15">
        <f t="shared" si="25"/>
        <v>10360</v>
      </c>
      <c r="BR16" s="15">
        <f t="shared" si="26"/>
        <v>10920</v>
      </c>
      <c r="BS16" s="3">
        <f t="shared" si="27"/>
        <v>10360</v>
      </c>
      <c r="BT16" s="40">
        <f>'State of the System - Sumter Co'!AD16</f>
        <v>4160</v>
      </c>
      <c r="BU16" s="41">
        <f t="shared" si="28"/>
        <v>0.4</v>
      </c>
      <c r="BV16" s="2" t="str">
        <f t="shared" si="29"/>
        <v>C</v>
      </c>
      <c r="BW16" s="2">
        <f t="shared" si="30"/>
        <v>2.79</v>
      </c>
      <c r="BX16" s="15">
        <f>VLOOKUP($U16,'2020_CapacityTable'!$B$23:$F$45,2)</f>
        <v>0</v>
      </c>
      <c r="BY16" s="15">
        <f>VLOOKUP($U16,'2020_CapacityTable'!$B$23:$F$45,3)</f>
        <v>370</v>
      </c>
      <c r="BZ16" s="15">
        <f>VLOOKUP($U16,'2020_CapacityTable'!$B$23:$F$45,4)</f>
        <v>750</v>
      </c>
      <c r="CA16" s="15">
        <f>VLOOKUP($U16,'2020_CapacityTable'!$B$23:$F$45,5)</f>
        <v>800</v>
      </c>
      <c r="CB16" s="15">
        <f t="shared" si="31"/>
        <v>0</v>
      </c>
      <c r="CC16" s="15">
        <f t="shared" si="32"/>
        <v>259</v>
      </c>
      <c r="CD16" s="15">
        <f t="shared" si="33"/>
        <v>525</v>
      </c>
      <c r="CE16" s="15">
        <f t="shared" si="34"/>
        <v>560</v>
      </c>
      <c r="CF16" s="3">
        <f t="shared" si="35"/>
        <v>525</v>
      </c>
      <c r="CG16" s="2">
        <f>'State of the System - Sumter Co'!AH16</f>
        <v>254</v>
      </c>
      <c r="CH16" s="2">
        <f>'State of the System - Sumter Co'!AI16</f>
        <v>184</v>
      </c>
      <c r="CI16" s="11">
        <f t="shared" si="36"/>
        <v>0.48</v>
      </c>
      <c r="CJ16" s="2" t="str">
        <f t="shared" si="37"/>
        <v>C</v>
      </c>
      <c r="CK16" s="3">
        <f t="shared" si="51"/>
        <v>11794</v>
      </c>
      <c r="CL16" s="11">
        <f t="shared" si="38"/>
        <v>0.35</v>
      </c>
      <c r="CM16" s="140" t="str">
        <f t="shared" si="39"/>
        <v>NOT CONGESTED</v>
      </c>
      <c r="CN16" s="3">
        <f t="shared" si="40"/>
        <v>605</v>
      </c>
      <c r="CO16" s="11">
        <f t="shared" si="41"/>
        <v>0.42</v>
      </c>
      <c r="CP16" s="141" t="str">
        <f t="shared" si="42"/>
        <v>NOT CONGESTED</v>
      </c>
      <c r="CQ16" s="2"/>
      <c r="CR16" s="42"/>
      <c r="CS16" s="140" t="str">
        <f t="shared" si="43"/>
        <v/>
      </c>
      <c r="CT16" s="11" t="str">
        <f t="shared" si="44"/>
        <v/>
      </c>
      <c r="CU16" s="140" t="str">
        <f t="shared" si="52"/>
        <v/>
      </c>
      <c r="CV16" s="11" t="str">
        <f t="shared" si="45"/>
        <v/>
      </c>
      <c r="CW16" s="2"/>
      <c r="CX16" s="1"/>
      <c r="CY16" s="142" t="str">
        <f t="shared" si="46"/>
        <v/>
      </c>
      <c r="CZ16" s="32" t="str">
        <f t="shared" si="47"/>
        <v/>
      </c>
    </row>
    <row r="17" spans="1:104" ht="12.75" customHeight="1">
      <c r="A17" s="2">
        <v>4910</v>
      </c>
      <c r="B17" s="1" t="str">
        <f t="shared" si="48"/>
        <v>2020-491</v>
      </c>
      <c r="C17" s="33">
        <v>491</v>
      </c>
      <c r="D17" s="1" t="str">
        <f>VLOOKUP(C17,'2022 counts'!$A$6:$B$304,2,FALSE)</f>
        <v>2020-491</v>
      </c>
      <c r="E17" s="2"/>
      <c r="F17" s="2" t="s">
        <v>588</v>
      </c>
      <c r="G17" s="141">
        <v>35</v>
      </c>
      <c r="H17" s="11">
        <v>0.82</v>
      </c>
      <c r="I17" s="34" t="s">
        <v>687</v>
      </c>
      <c r="J17" s="34" t="s">
        <v>542</v>
      </c>
      <c r="K17" s="34" t="s">
        <v>543</v>
      </c>
      <c r="L17" s="143">
        <v>2</v>
      </c>
      <c r="M17" s="1">
        <f>'State of the System - Sumter Co'!K17</f>
        <v>2</v>
      </c>
      <c r="N17" s="1" t="str">
        <f>IF('State of the System - Sumter Co'!L17="URBAN","U","R")</f>
        <v>U</v>
      </c>
      <c r="O17" s="1" t="str">
        <f>IF('State of the System - Sumter Co'!M17="UNDIVIDED","U",IF('State of the System - Sumter Co'!M17="DIVIDED","D","F"))</f>
        <v>U</v>
      </c>
      <c r="P17" s="1" t="str">
        <f>'State of the System - Sumter Co'!N17</f>
        <v>INTERRUPTED</v>
      </c>
      <c r="Q17" s="1" t="str">
        <f t="shared" si="0"/>
        <v/>
      </c>
      <c r="R17" s="1" t="str">
        <f>'State of the System - Sumter Co'!O17</f>
        <v/>
      </c>
      <c r="S17" s="1" t="str">
        <f t="shared" si="1"/>
        <v>-2</v>
      </c>
      <c r="T17" s="1" t="str">
        <f t="shared" si="2"/>
        <v>U-2U-2</v>
      </c>
      <c r="U17" s="1" t="str">
        <f t="shared" si="3"/>
        <v>U-2U-2</v>
      </c>
      <c r="V17" s="2" t="s">
        <v>10</v>
      </c>
      <c r="W17" s="1" t="s">
        <v>11</v>
      </c>
      <c r="X17" s="1" t="s">
        <v>544</v>
      </c>
      <c r="Y17" s="1" t="str">
        <f>'State of the System - Sumter Co'!R17</f>
        <v>D</v>
      </c>
      <c r="Z17" s="143" t="str">
        <f t="shared" si="4"/>
        <v>Other CMP Network Roadways</v>
      </c>
      <c r="AA17" s="15">
        <f>VLOOKUP($T17,'2020_CapacityTable'!$B$49:$F$71,2)</f>
        <v>0</v>
      </c>
      <c r="AB17" s="15">
        <f>VLOOKUP($T17,'2020_CapacityTable'!$B$49:$F$71,3)</f>
        <v>7300</v>
      </c>
      <c r="AC17" s="15">
        <f>VLOOKUP($T17,'2020_CapacityTable'!$B$49:$F$71,4)</f>
        <v>14800</v>
      </c>
      <c r="AD17" s="15">
        <f>VLOOKUP($T17,'2020_CapacityTable'!$B$49:$F$71,5)</f>
        <v>15600</v>
      </c>
      <c r="AE17" s="35">
        <f t="shared" si="5"/>
        <v>-0.1</v>
      </c>
      <c r="AF17" s="36" t="str">
        <f t="shared" si="6"/>
        <v/>
      </c>
      <c r="AG17" s="35">
        <v>-0.2</v>
      </c>
      <c r="AH17" s="2" t="str">
        <f>IF($O17="U",IF($L17&gt;2,"LOOK",""),"")</f>
        <v/>
      </c>
      <c r="AI17" s="35"/>
      <c r="AJ17" s="36"/>
      <c r="AK17" s="15">
        <f t="shared" si="8"/>
        <v>0</v>
      </c>
      <c r="AL17" s="15">
        <f t="shared" si="9"/>
        <v>5110</v>
      </c>
      <c r="AM17" s="15">
        <f t="shared" si="10"/>
        <v>10360</v>
      </c>
      <c r="AN17" s="15">
        <f t="shared" si="11"/>
        <v>10920</v>
      </c>
      <c r="AO17" s="3">
        <f t="shared" si="49"/>
        <v>10360</v>
      </c>
      <c r="AP17" s="138" t="str">
        <f>VLOOKUP($B17,'2022 counts'!$B$6:$R$304,17,FALSE)</f>
        <v>-</v>
      </c>
      <c r="AQ17" s="11"/>
      <c r="AR17" s="2"/>
      <c r="AS17" s="26"/>
      <c r="AT17" s="15">
        <f>VLOOKUP($T17,'2020_CapacityTable'!$B$23:$F$45,2)</f>
        <v>0</v>
      </c>
      <c r="AU17" s="15">
        <f>VLOOKUP($T17,'2020_CapacityTable'!$B$23:$F$45,3)</f>
        <v>370</v>
      </c>
      <c r="AV17" s="15">
        <f>VLOOKUP($T17,'2020_CapacityTable'!$B$23:$F$45,4)</f>
        <v>750</v>
      </c>
      <c r="AW17" s="15">
        <f>VLOOKUP($T17,'2020_CapacityTable'!$B$23:$F$45,5)</f>
        <v>800</v>
      </c>
      <c r="AX17" s="15">
        <f t="shared" si="14"/>
        <v>0</v>
      </c>
      <c r="AY17" s="15">
        <f t="shared" si="15"/>
        <v>259</v>
      </c>
      <c r="AZ17" s="15">
        <f t="shared" si="16"/>
        <v>525</v>
      </c>
      <c r="BA17" s="15">
        <f t="shared" si="17"/>
        <v>560</v>
      </c>
      <c r="BB17" s="3">
        <f t="shared" si="18"/>
        <v>525</v>
      </c>
      <c r="BC17" s="138" t="str">
        <f>VLOOKUP($B17,'2022 counts'!$B$6:$AD$304,28,FALSE)</f>
        <v>-</v>
      </c>
      <c r="BD17" s="138" t="str">
        <f>VLOOKUP($B17,'2022 counts'!$B$6:$AD$304,29,FALSE)</f>
        <v>-</v>
      </c>
      <c r="BE17" s="11"/>
      <c r="BF17" s="2" t="str">
        <f t="shared" si="20"/>
        <v/>
      </c>
      <c r="BG17" s="135" t="s">
        <v>547</v>
      </c>
      <c r="BH17" s="135" t="str">
        <f>IF($AQ17="","",VLOOKUP($B17, '2022 counts'!$B$6:$T$304,19,FALSE))</f>
        <v/>
      </c>
      <c r="BI17" s="38" t="str">
        <f t="shared" si="21"/>
        <v/>
      </c>
      <c r="BJ17" s="39" t="str">
        <f t="shared" si="22"/>
        <v/>
      </c>
      <c r="BK17" s="15">
        <f>VLOOKUP($U17,'2020_CapacityTable'!$B$49:$F$71,2)</f>
        <v>0</v>
      </c>
      <c r="BL17" s="15">
        <f>VLOOKUP($U17,'2020_CapacityTable'!$B$49:$F$71,3)</f>
        <v>7300</v>
      </c>
      <c r="BM17" s="15">
        <f>VLOOKUP($T17,'2020_CapacityTable'!$B$49:$F$71,4)</f>
        <v>14800</v>
      </c>
      <c r="BN17" s="15">
        <f>VLOOKUP($T17,'2020_CapacityTable'!$B$49:$F$71,5)</f>
        <v>15600</v>
      </c>
      <c r="BO17" s="15">
        <f t="shared" si="23"/>
        <v>0</v>
      </c>
      <c r="BP17" s="15">
        <f t="shared" si="24"/>
        <v>5110</v>
      </c>
      <c r="BQ17" s="15">
        <f t="shared" si="25"/>
        <v>10360</v>
      </c>
      <c r="BR17" s="15">
        <f t="shared" si="26"/>
        <v>10920</v>
      </c>
      <c r="BS17" s="3">
        <f t="shared" si="27"/>
        <v>10360</v>
      </c>
      <c r="BT17" s="40" t="str">
        <f>'State of the System - Sumter Co'!AD17</f>
        <v>-</v>
      </c>
      <c r="BU17" s="41" t="str">
        <f t="shared" si="28"/>
        <v/>
      </c>
      <c r="BV17" s="2" t="str">
        <f t="shared" si="29"/>
        <v/>
      </c>
      <c r="BW17" s="2" t="str">
        <f t="shared" si="30"/>
        <v/>
      </c>
      <c r="BX17" s="15">
        <f>VLOOKUP($U17,'2020_CapacityTable'!$B$23:$F$45,2)</f>
        <v>0</v>
      </c>
      <c r="BY17" s="15">
        <f>VLOOKUP($U17,'2020_CapacityTable'!$B$23:$F$45,3)</f>
        <v>370</v>
      </c>
      <c r="BZ17" s="15">
        <f>VLOOKUP($U17,'2020_CapacityTable'!$B$23:$F$45,4)</f>
        <v>750</v>
      </c>
      <c r="CA17" s="15">
        <f>VLOOKUP($U17,'2020_CapacityTable'!$B$23:$F$45,5)</f>
        <v>800</v>
      </c>
      <c r="CB17" s="15">
        <f t="shared" si="31"/>
        <v>0</v>
      </c>
      <c r="CC17" s="15">
        <f t="shared" si="32"/>
        <v>259</v>
      </c>
      <c r="CD17" s="15">
        <f t="shared" si="33"/>
        <v>525</v>
      </c>
      <c r="CE17" s="15">
        <f t="shared" si="34"/>
        <v>560</v>
      </c>
      <c r="CF17" s="3">
        <f t="shared" si="35"/>
        <v>525</v>
      </c>
      <c r="CG17" s="2"/>
      <c r="CH17" s="2"/>
      <c r="CI17" s="11" t="str">
        <f t="shared" si="36"/>
        <v/>
      </c>
      <c r="CJ17" s="2" t="str">
        <f t="shared" si="37"/>
        <v/>
      </c>
      <c r="CK17" s="3">
        <f t="shared" si="51"/>
        <v>11794</v>
      </c>
      <c r="CL17" s="11" t="str">
        <f t="shared" si="38"/>
        <v/>
      </c>
      <c r="CM17" s="140" t="str">
        <f t="shared" si="39"/>
        <v/>
      </c>
      <c r="CN17" s="3">
        <f t="shared" si="40"/>
        <v>605</v>
      </c>
      <c r="CO17" s="11" t="str">
        <f t="shared" si="41"/>
        <v/>
      </c>
      <c r="CP17" s="141" t="str">
        <f t="shared" si="42"/>
        <v/>
      </c>
      <c r="CQ17" s="2"/>
      <c r="CR17" s="42"/>
      <c r="CS17" s="140" t="str">
        <f t="shared" si="43"/>
        <v/>
      </c>
      <c r="CT17" s="11" t="str">
        <f t="shared" si="44"/>
        <v/>
      </c>
      <c r="CU17" s="140" t="str">
        <f t="shared" si="52"/>
        <v/>
      </c>
      <c r="CV17" s="11" t="str">
        <f t="shared" si="45"/>
        <v/>
      </c>
      <c r="CW17" s="2"/>
      <c r="CX17" s="1"/>
      <c r="CY17" s="142" t="str">
        <f t="shared" si="46"/>
        <v/>
      </c>
      <c r="CZ17" s="32" t="str">
        <f t="shared" si="47"/>
        <v/>
      </c>
    </row>
    <row r="18" spans="1:104" s="390" customFormat="1" ht="12.75" customHeight="1">
      <c r="A18" s="375">
        <v>4915</v>
      </c>
      <c r="B18" s="242">
        <f t="shared" si="48"/>
        <v>172</v>
      </c>
      <c r="C18" s="376"/>
      <c r="D18" s="242">
        <v>172</v>
      </c>
      <c r="E18" s="375"/>
      <c r="F18" s="375" t="s">
        <v>6</v>
      </c>
      <c r="G18" s="377">
        <v>35</v>
      </c>
      <c r="H18" s="378">
        <v>0.83</v>
      </c>
      <c r="I18" s="379" t="s">
        <v>542</v>
      </c>
      <c r="J18" s="379" t="s">
        <v>716</v>
      </c>
      <c r="K18" s="379" t="s">
        <v>18</v>
      </c>
      <c r="L18" s="243">
        <v>2</v>
      </c>
      <c r="M18" s="242">
        <v>2</v>
      </c>
      <c r="N18" s="242" t="s">
        <v>858</v>
      </c>
      <c r="O18" s="242" t="s">
        <v>858</v>
      </c>
      <c r="P18" s="242" t="s">
        <v>651</v>
      </c>
      <c r="Q18" s="242"/>
      <c r="R18" s="242"/>
      <c r="S18" s="242" t="str">
        <f t="shared" si="1"/>
        <v>-2</v>
      </c>
      <c r="T18" s="242" t="str">
        <f t="shared" ref="T18" si="95">CONCATENATE(N18,"-",L18,O18,S18,Q18)</f>
        <v>U-2U-2</v>
      </c>
      <c r="U18" s="242" t="str">
        <f t="shared" ref="U18" si="96">CONCATENATE(N18,"-",M18,O18,S18,Q18)</f>
        <v>U-2U-2</v>
      </c>
      <c r="V18" s="375" t="s">
        <v>10</v>
      </c>
      <c r="W18" s="242" t="s">
        <v>11</v>
      </c>
      <c r="X18" s="242" t="s">
        <v>544</v>
      </c>
      <c r="Y18" s="242" t="str">
        <f>'State of the System - Sumter Co'!R19</f>
        <v>D</v>
      </c>
      <c r="Z18" s="243" t="str">
        <f t="shared" ref="Z18" si="97">IF(AND(V18="STATE",X18="FREEWAY"),"NHS Interstate",IF(V18="STATE","NHS Non-Interstate","Other CMP Network Roadways"))</f>
        <v>Other CMP Network Roadways</v>
      </c>
      <c r="AA18" s="380">
        <f>VLOOKUP($T18,'2020_CapacityTable'!$B$49:$F$71,2)</f>
        <v>0</v>
      </c>
      <c r="AB18" s="380">
        <f>VLOOKUP($T18,'2020_CapacityTable'!$B$49:$F$71,3)</f>
        <v>7300</v>
      </c>
      <c r="AC18" s="380">
        <f>VLOOKUP($T18,'2020_CapacityTable'!$B$49:$F$71,4)</f>
        <v>14800</v>
      </c>
      <c r="AD18" s="380">
        <f>VLOOKUP($T18,'2020_CapacityTable'!$B$49:$F$71,5)</f>
        <v>15600</v>
      </c>
      <c r="AE18" s="381">
        <f t="shared" ref="AE18" si="98">IF(V18&lt;&gt;"STATE",-10%,"")</f>
        <v>-0.1</v>
      </c>
      <c r="AF18" s="382" t="str">
        <f t="shared" si="6"/>
        <v/>
      </c>
      <c r="AG18" s="381">
        <v>-0.2</v>
      </c>
      <c r="AH18" s="375" t="str">
        <f>IF($O18="U",IF($L18&gt;2,"LOOK",""),"")</f>
        <v/>
      </c>
      <c r="AI18" s="381"/>
      <c r="AJ18" s="382"/>
      <c r="AK18" s="380">
        <f t="shared" ref="AK18" si="99">ROUND(AA18*(1+SUM($AE18:$AJ18)),0)</f>
        <v>0</v>
      </c>
      <c r="AL18" s="380">
        <f t="shared" ref="AL18" si="100">ROUND(AB18*(1+SUM($AE18:$AJ18)),0)</f>
        <v>5110</v>
      </c>
      <c r="AM18" s="380">
        <f t="shared" ref="AM18" si="101">ROUND(AC18*(1+SUM($AE18:$AJ18)),0)</f>
        <v>10360</v>
      </c>
      <c r="AN18" s="380">
        <f t="shared" ref="AN18" si="102">ROUND(AD18*(1+SUM($AE18:$AJ18)),0)</f>
        <v>10920</v>
      </c>
      <c r="AO18" s="383">
        <f>IF(Y18="","",IF(Y18="B",AK18,IF(Y18="C",AL18,IF(Y18="D",AM18,AN18))))</f>
        <v>10360</v>
      </c>
      <c r="AP18" s="138">
        <f>VLOOKUP($B18,'2022 counts'!$B$6:$R$304,17,FALSE)</f>
        <v>5995</v>
      </c>
      <c r="AQ18" s="378">
        <f t="shared" ref="AQ18" si="103">IF(AND(AP18="-"),"",ROUND(AP18/AO18,2))</f>
        <v>0.57999999999999996</v>
      </c>
      <c r="AR18" s="375" t="str">
        <f t="shared" ref="AR18" si="104">IF(AQ18="","",IF(AP18&lt;=$AK18,"B",IF(AP18&lt;=$AL18,"C",IF(AP18&lt;=$AM18,"D",IF(AP18&lt;=$AN18,"E","F")))))</f>
        <v>D</v>
      </c>
      <c r="AS18" s="384">
        <f t="shared" ref="AS18" si="105">IF(AP18="-","",ROUND(AP18*H18*365/1000000,2))</f>
        <v>1.82</v>
      </c>
      <c r="AT18" s="380">
        <f>VLOOKUP($T18,'2020_CapacityTable'!$B$23:$F$45,2)</f>
        <v>0</v>
      </c>
      <c r="AU18" s="380">
        <f>VLOOKUP($T18,'2020_CapacityTable'!$B$23:$F$45,3)</f>
        <v>370</v>
      </c>
      <c r="AV18" s="380">
        <f>VLOOKUP($T18,'2020_CapacityTable'!$B$23:$F$45,4)</f>
        <v>750</v>
      </c>
      <c r="AW18" s="380">
        <f>VLOOKUP($T18,'2020_CapacityTable'!$B$23:$F$45,5)</f>
        <v>800</v>
      </c>
      <c r="AX18" s="380">
        <f t="shared" ref="AX18" si="106">ROUND(AT18*(1+SUM($AE18:$AJ18)),0)</f>
        <v>0</v>
      </c>
      <c r="AY18" s="380">
        <f t="shared" ref="AY18" si="107">ROUND(AU18*(1+SUM($AE18:$AJ18)),0)</f>
        <v>259</v>
      </c>
      <c r="AZ18" s="380">
        <f t="shared" ref="AZ18" si="108">ROUND(AV18*(1+SUM($AE18:$AJ18)),0)</f>
        <v>525</v>
      </c>
      <c r="BA18" s="380">
        <f t="shared" ref="BA18" si="109">ROUND(AW18*(1+SUM($AE18:$AJ18)),0)</f>
        <v>560</v>
      </c>
      <c r="BB18" s="383">
        <f t="shared" ref="BB18" si="110">IF(Y18="","",IF(Y18="B",AX18,IF(Y18="C",AY18,IF(Y18="D",AZ18,BA18))))</f>
        <v>525</v>
      </c>
      <c r="BC18" s="138">
        <f>VLOOKUP($B18,'2022 counts'!$B$6:$AD$304,28,FALSE)</f>
        <v>318</v>
      </c>
      <c r="BD18" s="138">
        <f>VLOOKUP($B18,'2022 counts'!$B$6:$AD$304,29,FALSE)</f>
        <v>303</v>
      </c>
      <c r="BE18" s="11">
        <f t="shared" si="19"/>
        <v>0.61</v>
      </c>
      <c r="BF18" s="375" t="str">
        <f t="shared" ref="BF18" si="111">IF(BE18="","",IF(MAX(BC18,BD18)&lt;=$AX18,"B",IF(MAX(BC18,BD18)&lt;=$AY18,"C",IF(MAX(BC18,BD18)&lt;=$AZ18,"D",IF(MAX(BC18,BD18)&lt;=$BA18,"E","F")))))</f>
        <v>D</v>
      </c>
      <c r="BG18" s="135">
        <v>0.14749999999999999</v>
      </c>
      <c r="BH18" s="135">
        <v>0.05</v>
      </c>
      <c r="BI18" s="385">
        <f t="shared" ref="BI18" si="112">IF(BG18=BH18,IF(BG18&gt;0.01,BG18,0.01),IF(BH18&gt;0.01,BH18,0.01))</f>
        <v>0.05</v>
      </c>
      <c r="BJ18" s="386">
        <v>-2</v>
      </c>
      <c r="BK18" s="380">
        <f>VLOOKUP($U18,'2020_CapacityTable'!$B$49:$F$71,2)</f>
        <v>0</v>
      </c>
      <c r="BL18" s="380">
        <f>VLOOKUP($U18,'2020_CapacityTable'!$B$49:$F$71,3)</f>
        <v>7300</v>
      </c>
      <c r="BM18" s="380">
        <f>VLOOKUP($T18,'2020_CapacityTable'!$B$49:$F$71,4)</f>
        <v>14800</v>
      </c>
      <c r="BN18" s="380">
        <f>VLOOKUP($T18,'2020_CapacityTable'!$B$49:$F$71,5)</f>
        <v>15600</v>
      </c>
      <c r="BO18" s="380">
        <f t="shared" ref="BO18" si="113">ROUND(BK18*(1+SUM($AE18:$AJ18)),0)</f>
        <v>0</v>
      </c>
      <c r="BP18" s="380">
        <f t="shared" ref="BP18" si="114">ROUND(BL18*(1+SUM($AE18:$AJ18)),0)</f>
        <v>5110</v>
      </c>
      <c r="BQ18" s="380">
        <f t="shared" ref="BQ18" si="115">ROUND(BM18*(1+SUM($AE18:$AJ18)),0)</f>
        <v>10360</v>
      </c>
      <c r="BR18" s="380">
        <f t="shared" ref="BR18" si="116">ROUND(BN18*(1+SUM($AE18:$AJ18)),0)</f>
        <v>10920</v>
      </c>
      <c r="BS18" s="383">
        <f t="shared" ref="BS18" si="117">IF($Y18="","",IF($Y18="B",BO18,IF($Y18="C",BP18,IF($Y18="D",BQ18,BR18))))</f>
        <v>10360</v>
      </c>
      <c r="BT18" s="40">
        <f>'State of the System - Sumter Co'!AD18</f>
        <v>7651</v>
      </c>
      <c r="BU18" s="387">
        <f t="shared" ref="BU18" si="118">IF(BT18="-","",ROUND(BT18/BS18,2))</f>
        <v>0.74</v>
      </c>
      <c r="BV18" s="375" t="str">
        <f t="shared" ref="BV18" si="119">IF(BU18="","",IF(BT18&lt;=$BO18,"B",IF(BT18&lt;=$BP18,"C",IF(BT18&lt;=$BQ18,"D",IF(BT18&lt;=$BR18,"E","F")))))</f>
        <v>D</v>
      </c>
      <c r="BW18" s="375">
        <f t="shared" ref="BW18" si="120">IF(BT18="-","",ROUND(BT18*H18*365/1000000,2))</f>
        <v>2.3199999999999998</v>
      </c>
      <c r="BX18" s="380">
        <f>VLOOKUP($U18,'2020_CapacityTable'!$B$23:$F$45,2)</f>
        <v>0</v>
      </c>
      <c r="BY18" s="380">
        <f>VLOOKUP($U18,'2020_CapacityTable'!$B$23:$F$45,3)</f>
        <v>370</v>
      </c>
      <c r="BZ18" s="380">
        <f>VLOOKUP($U18,'2020_CapacityTable'!$B$23:$F$45,4)</f>
        <v>750</v>
      </c>
      <c r="CA18" s="380">
        <f>VLOOKUP($U18,'2020_CapacityTable'!$B$23:$F$45,5)</f>
        <v>800</v>
      </c>
      <c r="CB18" s="380">
        <f t="shared" ref="CB18" si="121">ROUND(BX18*(1+SUM($AE18:$AJ18)),0)</f>
        <v>0</v>
      </c>
      <c r="CC18" s="380">
        <f t="shared" ref="CC18" si="122">ROUND(BY18*(1+SUM($AE18:$AJ18)),0)</f>
        <v>259</v>
      </c>
      <c r="CD18" s="380">
        <f t="shared" ref="CD18" si="123">ROUND(BZ18*(1+SUM($AE18:$AJ18)),0)</f>
        <v>525</v>
      </c>
      <c r="CE18" s="380">
        <f t="shared" ref="CE18" si="124">ROUND(CA18*(1+SUM($AE18:$AJ18)),0)</f>
        <v>560</v>
      </c>
      <c r="CF18" s="383">
        <f t="shared" ref="CF18" si="125">IF($Y18="","",IF($Y18="B",CB18,IF($Y18="C",CC18,IF($Y18="D",CD18,CE18))))</f>
        <v>525</v>
      </c>
      <c r="CG18" s="2">
        <f>'State of the System - Sumter Co'!AH18</f>
        <v>406</v>
      </c>
      <c r="CH18" s="2">
        <f>'State of the System - Sumter Co'!AI18</f>
        <v>387</v>
      </c>
      <c r="CI18" s="11">
        <f t="shared" si="36"/>
        <v>0.77</v>
      </c>
      <c r="CJ18" s="375" t="str">
        <f t="shared" ref="CJ18" si="126">IF(OR(CI18="",CI18="-",CI18=0),"",IF(MAX(CG18,CH18)&lt;=$AX18,"B",IF(MAX(CG18,CH18)&lt;=$AY18,"C",IF(MAX(CG18,CH18)&lt;=$AZ18,"D",IF(MAX(CG18,CH18)&lt;=$BA18,"E","F")))))</f>
        <v>D</v>
      </c>
      <c r="CK18" s="383">
        <f t="shared" ref="CK18" si="127">ROUND(1.08*AN18,0)</f>
        <v>11794</v>
      </c>
      <c r="CL18" s="378">
        <f t="shared" ref="CL18" si="128">IF(BT18="-","",ROUND(BT18/CK18,2))</f>
        <v>0.65</v>
      </c>
      <c r="CM18" s="378" t="str">
        <f t="shared" ref="CM18" si="129">IF(CL18="","",IF(AP18&gt;CK18,"EXTREMELY (2020)",IF(CL18&gt;1,"EXTREMELY (2025)",IF(AQ18&gt;1,"CONGESTED (2020)",IF(BU18&gt;1,"CONGESTED (2025)",IF(OR(AQ18&gt;=0.9,BU18&gt;=0.9),"APPROACHING CONGESTION","NOT CONGESTED"))))))</f>
        <v>NOT CONGESTED</v>
      </c>
      <c r="CN18" s="383">
        <f t="shared" ref="CN18" si="130">ROUND(1.08*BA18,0)</f>
        <v>605</v>
      </c>
      <c r="CO18" s="378">
        <f t="shared" ref="CO18" si="131">IF(OR(AND(CG18="-",CH18="-"),AND(CG18="",CH18="")),"",ROUND(MAX(CG18,CH18)/CN18,2))</f>
        <v>0.67</v>
      </c>
      <c r="CP18" s="377" t="str">
        <f t="shared" ref="CP18" si="132">IF(OR(CO18="",CO18=0),"",IF(OR(BC18&gt;CN18,BD18&gt;CN18),"EXTREMELY (2020)",IF(CO18&gt;1,"EXTREMELY (2025)",IF(BE18&gt;1,"CONGESTED (2020)",IF(CI18&gt;1,"CONGESTED (2025)",IF(OR(BE18&gt;=0.9,CI18&gt;=0.9),"APPROACHING CONGESTION","NOT CONGESTED"))))))</f>
        <v>NOT CONGESTED</v>
      </c>
      <c r="CQ18" s="375"/>
      <c r="CR18" s="391"/>
      <c r="CS18" s="378" t="str">
        <f t="shared" ref="CS18" si="133">IF(OR(AP18="",AR18="",AQ18&lt;1),"",ROUND(H18,2))</f>
        <v/>
      </c>
      <c r="CT18" s="378" t="str">
        <f t="shared" ref="CT18" si="134">IF(OR(BT18="",BV18="",BU18&lt;1),"",ROUND(H18,2))</f>
        <v/>
      </c>
      <c r="CU18" s="378" t="str">
        <f t="shared" ref="CU18" si="135">IF(OR(AP18="",AR18="",AP18&lt;$CK18),"",ROUND($H18,2))</f>
        <v/>
      </c>
      <c r="CV18" s="378" t="str">
        <f t="shared" ref="CV18" si="136">IF(OR(AQ18="",AS18="",BT18&lt;$CK18),"",ROUND($H18,2))</f>
        <v/>
      </c>
      <c r="CW18" s="375"/>
      <c r="CX18" s="242"/>
      <c r="CY18" s="388" t="str">
        <f t="shared" ref="CY18" si="137">IF(OR(AP18="",AR18="",AQ18&lt;1),"",ROUND($H18*AP18*365/1000000,2))</f>
        <v/>
      </c>
      <c r="CZ18" s="389" t="str">
        <f t="shared" ref="CZ18" si="138">IF(OR(BT18="",BV18="",BU18&lt;1),"",ROUND(BT18*$H18*365/1000000,2))</f>
        <v/>
      </c>
    </row>
    <row r="19" spans="1:104" ht="12.75" customHeight="1">
      <c r="A19" s="2">
        <v>4920</v>
      </c>
      <c r="B19" s="1">
        <f t="shared" si="48"/>
        <v>147</v>
      </c>
      <c r="C19" s="33">
        <v>492</v>
      </c>
      <c r="D19" s="1">
        <f>VLOOKUP(C19,'2022 counts'!$A$6:$B$304,2,FALSE)</f>
        <v>147</v>
      </c>
      <c r="E19" s="2"/>
      <c r="F19" s="2" t="s">
        <v>6</v>
      </c>
      <c r="G19" s="141">
        <v>35</v>
      </c>
      <c r="H19" s="11">
        <v>0.79</v>
      </c>
      <c r="I19" s="34" t="s">
        <v>688</v>
      </c>
      <c r="J19" s="34" t="s">
        <v>15</v>
      </c>
      <c r="K19" s="34" t="s">
        <v>18</v>
      </c>
      <c r="L19" s="143">
        <v>2</v>
      </c>
      <c r="M19" s="1">
        <f>'State of the System - Sumter Co'!K19</f>
        <v>2</v>
      </c>
      <c r="N19" s="1" t="str">
        <f>IF('State of the System - Sumter Co'!L19="URBAN","U","R")</f>
        <v>U</v>
      </c>
      <c r="O19" s="1" t="str">
        <f>IF('State of the System - Sumter Co'!M19="UNDIVIDED","U",IF('State of the System - Sumter Co'!M19="DIVIDED","D","F"))</f>
        <v>U</v>
      </c>
      <c r="P19" s="1" t="str">
        <f>'State of the System - Sumter Co'!N19</f>
        <v>INTERRUPTED</v>
      </c>
      <c r="Q19" s="1" t="str">
        <f t="shared" si="0"/>
        <v/>
      </c>
      <c r="R19" s="1" t="str">
        <f>'State of the System - Sumter Co'!O19</f>
        <v/>
      </c>
      <c r="S19" s="1" t="str">
        <f t="shared" si="1"/>
        <v>-2</v>
      </c>
      <c r="T19" s="1" t="str">
        <f t="shared" si="2"/>
        <v>U-2U-2</v>
      </c>
      <c r="U19" s="1" t="str">
        <f t="shared" si="3"/>
        <v>U-2U-2</v>
      </c>
      <c r="V19" s="2" t="s">
        <v>10</v>
      </c>
      <c r="W19" s="1" t="s">
        <v>11</v>
      </c>
      <c r="X19" s="1" t="s">
        <v>544</v>
      </c>
      <c r="Y19" s="1" t="str">
        <f>'State of the System - Sumter Co'!R19</f>
        <v>D</v>
      </c>
      <c r="Z19" s="143" t="str">
        <f t="shared" si="4"/>
        <v>Other CMP Network Roadways</v>
      </c>
      <c r="AA19" s="15">
        <f>VLOOKUP($T19,'2020_CapacityTable'!$B$49:$F$71,2)</f>
        <v>0</v>
      </c>
      <c r="AB19" s="15">
        <f>VLOOKUP($T19,'2020_CapacityTable'!$B$49:$F$71,3)</f>
        <v>7300</v>
      </c>
      <c r="AC19" s="15">
        <f>VLOOKUP($T19,'2020_CapacityTable'!$B$49:$F$71,4)</f>
        <v>14800</v>
      </c>
      <c r="AD19" s="15">
        <f>VLOOKUP($T19,'2020_CapacityTable'!$B$49:$F$71,5)</f>
        <v>15600</v>
      </c>
      <c r="AE19" s="35">
        <f t="shared" si="5"/>
        <v>-0.1</v>
      </c>
      <c r="AF19" s="36" t="str">
        <f t="shared" si="6"/>
        <v/>
      </c>
      <c r="AG19" s="2"/>
      <c r="AH19" s="2"/>
      <c r="AI19" s="2"/>
      <c r="AJ19" s="2"/>
      <c r="AK19" s="15">
        <f t="shared" si="8"/>
        <v>0</v>
      </c>
      <c r="AL19" s="15">
        <f t="shared" si="9"/>
        <v>6570</v>
      </c>
      <c r="AM19" s="15">
        <f t="shared" si="10"/>
        <v>13320</v>
      </c>
      <c r="AN19" s="15">
        <f t="shared" si="11"/>
        <v>14040</v>
      </c>
      <c r="AO19" s="3">
        <f t="shared" si="49"/>
        <v>13320</v>
      </c>
      <c r="AP19" s="138">
        <f>VLOOKUP($B19,'2022 counts'!$B$6:$R$304,17,FALSE)</f>
        <v>3876</v>
      </c>
      <c r="AQ19" s="11">
        <f t="shared" si="12"/>
        <v>0.28999999999999998</v>
      </c>
      <c r="AR19" s="2" t="str">
        <f t="shared" si="13"/>
        <v>C</v>
      </c>
      <c r="AS19" s="26">
        <f t="shared" si="50"/>
        <v>1.1200000000000001</v>
      </c>
      <c r="AT19" s="15">
        <f>VLOOKUP($T19,'2020_CapacityTable'!$B$23:$F$45,2)</f>
        <v>0</v>
      </c>
      <c r="AU19" s="15">
        <f>VLOOKUP($T19,'2020_CapacityTable'!$B$23:$F$45,3)</f>
        <v>370</v>
      </c>
      <c r="AV19" s="15">
        <f>VLOOKUP($T19,'2020_CapacityTable'!$B$23:$F$45,4)</f>
        <v>750</v>
      </c>
      <c r="AW19" s="15">
        <f>VLOOKUP($T19,'2020_CapacityTable'!$B$23:$F$45,5)</f>
        <v>800</v>
      </c>
      <c r="AX19" s="15">
        <f t="shared" si="14"/>
        <v>0</v>
      </c>
      <c r="AY19" s="15">
        <f t="shared" si="15"/>
        <v>333</v>
      </c>
      <c r="AZ19" s="15">
        <f t="shared" si="16"/>
        <v>675</v>
      </c>
      <c r="BA19" s="15">
        <f t="shared" si="17"/>
        <v>720</v>
      </c>
      <c r="BB19" s="3">
        <f t="shared" si="18"/>
        <v>675</v>
      </c>
      <c r="BC19" s="138">
        <f>VLOOKUP($B19,'2022 counts'!$B$6:$AD$304,28,FALSE)</f>
        <v>258</v>
      </c>
      <c r="BD19" s="138">
        <f>VLOOKUP($B19,'2022 counts'!$B$6:$AD$304,29,FALSE)</f>
        <v>195</v>
      </c>
      <c r="BE19" s="11">
        <f t="shared" si="19"/>
        <v>0.38</v>
      </c>
      <c r="BF19" s="2" t="str">
        <f t="shared" si="20"/>
        <v>C</v>
      </c>
      <c r="BG19" s="135">
        <v>0</v>
      </c>
      <c r="BH19" s="135">
        <f>IF($AQ19="","",VLOOKUP($B19, '2022 counts'!$B$6:$T$304,19,FALSE))</f>
        <v>0</v>
      </c>
      <c r="BI19" s="38">
        <f t="shared" si="21"/>
        <v>0.01</v>
      </c>
      <c r="BJ19" s="39" t="str">
        <f t="shared" si="22"/>
        <v>minimum</v>
      </c>
      <c r="BK19" s="15">
        <f>VLOOKUP($U19,'2020_CapacityTable'!$B$49:$F$71,2)</f>
        <v>0</v>
      </c>
      <c r="BL19" s="15">
        <f>VLOOKUP($U19,'2020_CapacityTable'!$B$49:$F$71,3)</f>
        <v>7300</v>
      </c>
      <c r="BM19" s="15">
        <f>VLOOKUP($T19,'2020_CapacityTable'!$B$49:$F$71,4)</f>
        <v>14800</v>
      </c>
      <c r="BN19" s="15">
        <f>VLOOKUP($T19,'2020_CapacityTable'!$B$49:$F$71,5)</f>
        <v>15600</v>
      </c>
      <c r="BO19" s="15">
        <f t="shared" si="23"/>
        <v>0</v>
      </c>
      <c r="BP19" s="15">
        <f t="shared" si="24"/>
        <v>6570</v>
      </c>
      <c r="BQ19" s="15">
        <f t="shared" si="25"/>
        <v>13320</v>
      </c>
      <c r="BR19" s="15">
        <f t="shared" si="26"/>
        <v>14040</v>
      </c>
      <c r="BS19" s="3">
        <f t="shared" si="27"/>
        <v>13320</v>
      </c>
      <c r="BT19" s="40">
        <f>'State of the System - Sumter Co'!AD19</f>
        <v>4074</v>
      </c>
      <c r="BU19" s="41">
        <f t="shared" si="28"/>
        <v>0.31</v>
      </c>
      <c r="BV19" s="2" t="str">
        <f t="shared" si="29"/>
        <v>C</v>
      </c>
      <c r="BW19" s="2">
        <f t="shared" si="30"/>
        <v>1.17</v>
      </c>
      <c r="BX19" s="15">
        <f>VLOOKUP($U19,'2020_CapacityTable'!$B$23:$F$45,2)</f>
        <v>0</v>
      </c>
      <c r="BY19" s="15">
        <f>VLOOKUP($U19,'2020_CapacityTable'!$B$23:$F$45,3)</f>
        <v>370</v>
      </c>
      <c r="BZ19" s="15">
        <f>VLOOKUP($U19,'2020_CapacityTable'!$B$23:$F$45,4)</f>
        <v>750</v>
      </c>
      <c r="CA19" s="15">
        <f>VLOOKUP($U19,'2020_CapacityTable'!$B$23:$F$45,5)</f>
        <v>800</v>
      </c>
      <c r="CB19" s="15">
        <f t="shared" si="31"/>
        <v>0</v>
      </c>
      <c r="CC19" s="15">
        <f t="shared" si="32"/>
        <v>333</v>
      </c>
      <c r="CD19" s="15">
        <f t="shared" si="33"/>
        <v>675</v>
      </c>
      <c r="CE19" s="15">
        <f t="shared" si="34"/>
        <v>720</v>
      </c>
      <c r="CF19" s="3">
        <f t="shared" si="35"/>
        <v>675</v>
      </c>
      <c r="CG19" s="2">
        <f>'State of the System - Sumter Co'!AH19</f>
        <v>271</v>
      </c>
      <c r="CH19" s="2">
        <f>'State of the System - Sumter Co'!AI19</f>
        <v>205</v>
      </c>
      <c r="CI19" s="11">
        <f t="shared" si="36"/>
        <v>0.4</v>
      </c>
      <c r="CJ19" s="2" t="str">
        <f t="shared" si="37"/>
        <v>C</v>
      </c>
      <c r="CK19" s="3">
        <f t="shared" si="51"/>
        <v>15163</v>
      </c>
      <c r="CL19" s="11">
        <f t="shared" si="38"/>
        <v>0.27</v>
      </c>
      <c r="CM19" s="140" t="str">
        <f t="shared" si="39"/>
        <v>NOT CONGESTED</v>
      </c>
      <c r="CN19" s="3">
        <f t="shared" si="40"/>
        <v>778</v>
      </c>
      <c r="CO19" s="11">
        <f t="shared" si="41"/>
        <v>0.35</v>
      </c>
      <c r="CP19" s="141" t="str">
        <f t="shared" si="42"/>
        <v>NOT CONGESTED</v>
      </c>
      <c r="CQ19" s="2"/>
      <c r="CR19" s="42"/>
      <c r="CS19" s="140" t="str">
        <f t="shared" si="43"/>
        <v/>
      </c>
      <c r="CT19" s="11" t="str">
        <f t="shared" si="44"/>
        <v/>
      </c>
      <c r="CU19" s="140" t="str">
        <f t="shared" si="52"/>
        <v/>
      </c>
      <c r="CV19" s="11" t="str">
        <f t="shared" si="45"/>
        <v/>
      </c>
      <c r="CW19" s="2"/>
      <c r="CX19" s="1"/>
      <c r="CY19" s="142" t="str">
        <f t="shared" si="46"/>
        <v/>
      </c>
      <c r="CZ19" s="32" t="str">
        <f t="shared" si="47"/>
        <v/>
      </c>
    </row>
    <row r="20" spans="1:104" ht="12.75" customHeight="1">
      <c r="A20" s="2">
        <v>4930</v>
      </c>
      <c r="B20" s="1" t="str">
        <f t="shared" si="48"/>
        <v>2020-493</v>
      </c>
      <c r="C20" s="33">
        <v>493</v>
      </c>
      <c r="D20" s="1" t="str">
        <f>VLOOKUP(C20,'2022 counts'!$A$6:$B$304,2,FALSE)</f>
        <v>2020-493</v>
      </c>
      <c r="E20" s="2"/>
      <c r="F20" s="2" t="s">
        <v>6</v>
      </c>
      <c r="G20" s="141">
        <v>35</v>
      </c>
      <c r="H20" s="11">
        <v>0.53</v>
      </c>
      <c r="I20" s="34" t="s">
        <v>689</v>
      </c>
      <c r="J20" s="34" t="s">
        <v>37</v>
      </c>
      <c r="K20" s="34" t="s">
        <v>545</v>
      </c>
      <c r="L20" s="143">
        <v>2</v>
      </c>
      <c r="M20" s="1">
        <f>'State of the System - Sumter Co'!K20</f>
        <v>2</v>
      </c>
      <c r="N20" s="1" t="str">
        <f>IF('State of the System - Sumter Co'!L20="URBAN","U","R")</f>
        <v>U</v>
      </c>
      <c r="O20" s="1" t="str">
        <f>IF('State of the System - Sumter Co'!M20="UNDIVIDED","U",IF('State of the System - Sumter Co'!M20="DIVIDED","D","F"))</f>
        <v>U</v>
      </c>
      <c r="P20" s="1" t="str">
        <f>'State of the System - Sumter Co'!N20</f>
        <v>INTERRUPTED</v>
      </c>
      <c r="Q20" s="1" t="str">
        <f t="shared" si="0"/>
        <v/>
      </c>
      <c r="R20" s="1" t="str">
        <f>'State of the System - Sumter Co'!O20</f>
        <v/>
      </c>
      <c r="S20" s="1" t="str">
        <f t="shared" si="1"/>
        <v>-2</v>
      </c>
      <c r="T20" s="1" t="str">
        <f t="shared" si="2"/>
        <v>U-2U-2</v>
      </c>
      <c r="U20" s="1" t="str">
        <f t="shared" si="3"/>
        <v>U-2U-2</v>
      </c>
      <c r="V20" s="2" t="s">
        <v>10</v>
      </c>
      <c r="W20" s="1" t="s">
        <v>11</v>
      </c>
      <c r="X20" s="1" t="s">
        <v>544</v>
      </c>
      <c r="Y20" s="1" t="str">
        <f>'State of the System - Sumter Co'!R20</f>
        <v>D</v>
      </c>
      <c r="Z20" s="143" t="str">
        <f t="shared" si="4"/>
        <v>Other CMP Network Roadways</v>
      </c>
      <c r="AA20" s="15">
        <f>VLOOKUP($T20,'2020_CapacityTable'!$B$49:$F$71,2)</f>
        <v>0</v>
      </c>
      <c r="AB20" s="15">
        <f>VLOOKUP($T20,'2020_CapacityTable'!$B$49:$F$71,3)</f>
        <v>7300</v>
      </c>
      <c r="AC20" s="15">
        <f>VLOOKUP($T20,'2020_CapacityTable'!$B$49:$F$71,4)</f>
        <v>14800</v>
      </c>
      <c r="AD20" s="15">
        <f>VLOOKUP($T20,'2020_CapacityTable'!$B$49:$F$71,5)</f>
        <v>15600</v>
      </c>
      <c r="AE20" s="35">
        <f t="shared" si="5"/>
        <v>-0.1</v>
      </c>
      <c r="AF20" s="36" t="str">
        <f t="shared" si="6"/>
        <v/>
      </c>
      <c r="AG20" s="35">
        <v>-0.2</v>
      </c>
      <c r="AH20" s="35" t="str">
        <f t="shared" ref="AH20:AH26" si="139">IF($O20="U",IF($L20&gt;2,"LOOK",""),"")</f>
        <v/>
      </c>
      <c r="AI20" s="35"/>
      <c r="AJ20" s="36"/>
      <c r="AK20" s="15">
        <f t="shared" si="8"/>
        <v>0</v>
      </c>
      <c r="AL20" s="15">
        <f t="shared" si="9"/>
        <v>5110</v>
      </c>
      <c r="AM20" s="15">
        <f t="shared" si="10"/>
        <v>10360</v>
      </c>
      <c r="AN20" s="15">
        <f t="shared" si="11"/>
        <v>10920</v>
      </c>
      <c r="AO20" s="3">
        <f t="shared" si="49"/>
        <v>10360</v>
      </c>
      <c r="AP20" s="138">
        <f>VLOOKUP($B20,'2022 counts'!$B$6:$R$304,17,FALSE)</f>
        <v>1339.2999999999884</v>
      </c>
      <c r="AQ20" s="11">
        <f t="shared" si="12"/>
        <v>0.13</v>
      </c>
      <c r="AR20" s="2" t="str">
        <f t="shared" si="13"/>
        <v>C</v>
      </c>
      <c r="AS20" s="26">
        <f t="shared" si="50"/>
        <v>0.26</v>
      </c>
      <c r="AT20" s="15">
        <f>VLOOKUP($T20,'2020_CapacityTable'!$B$23:$F$45,2)</f>
        <v>0</v>
      </c>
      <c r="AU20" s="15">
        <f>VLOOKUP($T20,'2020_CapacityTable'!$B$23:$F$45,3)</f>
        <v>370</v>
      </c>
      <c r="AV20" s="15">
        <f>VLOOKUP($T20,'2020_CapacityTable'!$B$23:$F$45,4)</f>
        <v>750</v>
      </c>
      <c r="AW20" s="15">
        <f>VLOOKUP($T20,'2020_CapacityTable'!$B$23:$F$45,5)</f>
        <v>800</v>
      </c>
      <c r="AX20" s="15">
        <f t="shared" si="14"/>
        <v>0</v>
      </c>
      <c r="AY20" s="15">
        <f t="shared" si="15"/>
        <v>259</v>
      </c>
      <c r="AZ20" s="15">
        <f t="shared" si="16"/>
        <v>525</v>
      </c>
      <c r="BA20" s="15">
        <f t="shared" si="17"/>
        <v>560</v>
      </c>
      <c r="BB20" s="3">
        <f t="shared" si="18"/>
        <v>525</v>
      </c>
      <c r="BC20" s="138">
        <f>VLOOKUP($B20,'2022 counts'!$B$6:$AD$304,28,FALSE)</f>
        <v>59</v>
      </c>
      <c r="BD20" s="138">
        <f>VLOOKUP($B20,'2022 counts'!$B$6:$AD$304,29,FALSE)</f>
        <v>69</v>
      </c>
      <c r="BE20" s="11">
        <f t="shared" si="19"/>
        <v>0.13</v>
      </c>
      <c r="BF20" s="2" t="str">
        <f t="shared" si="20"/>
        <v>C</v>
      </c>
      <c r="BG20" s="135">
        <v>6.25E-2</v>
      </c>
      <c r="BH20" s="135">
        <f>IF($AQ20="","",VLOOKUP($B20, '2022 counts'!$B$6:$T$304,19,FALSE))</f>
        <v>6.25E-2</v>
      </c>
      <c r="BI20" s="38">
        <f t="shared" si="21"/>
        <v>6.25E-2</v>
      </c>
      <c r="BJ20" s="39" t="str">
        <f t="shared" si="22"/>
        <v/>
      </c>
      <c r="BK20" s="15">
        <f>VLOOKUP($U20,'2020_CapacityTable'!$B$49:$F$71,2)</f>
        <v>0</v>
      </c>
      <c r="BL20" s="15">
        <f>VLOOKUP($U20,'2020_CapacityTable'!$B$49:$F$71,3)</f>
        <v>7300</v>
      </c>
      <c r="BM20" s="15">
        <f>VLOOKUP($T20,'2020_CapacityTable'!$B$49:$F$71,4)</f>
        <v>14800</v>
      </c>
      <c r="BN20" s="15">
        <f>VLOOKUP($T20,'2020_CapacityTable'!$B$49:$F$71,5)</f>
        <v>15600</v>
      </c>
      <c r="BO20" s="15">
        <f t="shared" si="23"/>
        <v>0</v>
      </c>
      <c r="BP20" s="15">
        <f t="shared" si="24"/>
        <v>5110</v>
      </c>
      <c r="BQ20" s="15">
        <f t="shared" si="25"/>
        <v>10360</v>
      </c>
      <c r="BR20" s="15">
        <f t="shared" si="26"/>
        <v>10920</v>
      </c>
      <c r="BS20" s="3">
        <f t="shared" si="27"/>
        <v>10360</v>
      </c>
      <c r="BT20" s="40">
        <f>'State of the System - Sumter Co'!AD20</f>
        <v>1814</v>
      </c>
      <c r="BU20" s="41">
        <f t="shared" si="28"/>
        <v>0.18</v>
      </c>
      <c r="BV20" s="2" t="str">
        <f t="shared" si="29"/>
        <v>C</v>
      </c>
      <c r="BW20" s="2">
        <f t="shared" si="30"/>
        <v>0.35</v>
      </c>
      <c r="BX20" s="15">
        <f>VLOOKUP($U20,'2020_CapacityTable'!$B$23:$F$45,2)</f>
        <v>0</v>
      </c>
      <c r="BY20" s="15">
        <f>VLOOKUP($U20,'2020_CapacityTable'!$B$23:$F$45,3)</f>
        <v>370</v>
      </c>
      <c r="BZ20" s="15">
        <f>VLOOKUP($U20,'2020_CapacityTable'!$B$23:$F$45,4)</f>
        <v>750</v>
      </c>
      <c r="CA20" s="15">
        <f>VLOOKUP($U20,'2020_CapacityTable'!$B$23:$F$45,5)</f>
        <v>800</v>
      </c>
      <c r="CB20" s="15">
        <f t="shared" si="31"/>
        <v>0</v>
      </c>
      <c r="CC20" s="15">
        <f t="shared" si="32"/>
        <v>259</v>
      </c>
      <c r="CD20" s="15">
        <f t="shared" si="33"/>
        <v>525</v>
      </c>
      <c r="CE20" s="15">
        <f t="shared" si="34"/>
        <v>560</v>
      </c>
      <c r="CF20" s="3">
        <f t="shared" si="35"/>
        <v>525</v>
      </c>
      <c r="CG20" s="2">
        <f>'State of the System - Sumter Co'!AH20</f>
        <v>80</v>
      </c>
      <c r="CH20" s="2">
        <f>'State of the System - Sumter Co'!AI20</f>
        <v>93</v>
      </c>
      <c r="CI20" s="11">
        <f t="shared" si="36"/>
        <v>0.18</v>
      </c>
      <c r="CJ20" s="2" t="str">
        <f t="shared" si="37"/>
        <v>C</v>
      </c>
      <c r="CK20" s="3">
        <f t="shared" si="51"/>
        <v>11794</v>
      </c>
      <c r="CL20" s="11">
        <f t="shared" si="38"/>
        <v>0.15</v>
      </c>
      <c r="CM20" s="140" t="str">
        <f t="shared" si="39"/>
        <v>NOT CONGESTED</v>
      </c>
      <c r="CN20" s="3">
        <f t="shared" si="40"/>
        <v>605</v>
      </c>
      <c r="CO20" s="11">
        <f t="shared" si="41"/>
        <v>0.15</v>
      </c>
      <c r="CP20" s="141" t="str">
        <f t="shared" si="42"/>
        <v>NOT CONGESTED</v>
      </c>
      <c r="CQ20" s="2"/>
      <c r="CR20" s="42"/>
      <c r="CS20" s="140" t="str">
        <f t="shared" si="43"/>
        <v/>
      </c>
      <c r="CT20" s="11" t="str">
        <f t="shared" si="44"/>
        <v/>
      </c>
      <c r="CU20" s="140" t="str">
        <f t="shared" si="52"/>
        <v/>
      </c>
      <c r="CV20" s="11" t="str">
        <f t="shared" si="45"/>
        <v/>
      </c>
      <c r="CW20" s="2"/>
      <c r="CX20" s="1"/>
      <c r="CY20" s="142" t="str">
        <f t="shared" si="46"/>
        <v/>
      </c>
      <c r="CZ20" s="32" t="str">
        <f t="shared" si="47"/>
        <v/>
      </c>
    </row>
    <row r="21" spans="1:104" ht="12.75" customHeight="1">
      <c r="A21" s="1">
        <v>5000</v>
      </c>
      <c r="B21" s="1">
        <f t="shared" si="48"/>
        <v>2</v>
      </c>
      <c r="C21" s="1">
        <v>249</v>
      </c>
      <c r="D21" s="1">
        <f>VLOOKUP(C21,'2022 counts'!$A$6:$B$304,2,FALSE)</f>
        <v>2</v>
      </c>
      <c r="E21" s="1"/>
      <c r="F21" s="2" t="s">
        <v>6</v>
      </c>
      <c r="G21" s="141">
        <v>25</v>
      </c>
      <c r="H21" s="11">
        <v>0.93490660259500002</v>
      </c>
      <c r="I21" s="10" t="s">
        <v>7</v>
      </c>
      <c r="J21" s="10" t="s">
        <v>764</v>
      </c>
      <c r="K21" s="10" t="s">
        <v>9</v>
      </c>
      <c r="L21" s="143">
        <v>2</v>
      </c>
      <c r="M21" s="1">
        <f>'State of the System - Sumter Co'!K21</f>
        <v>2</v>
      </c>
      <c r="N21" s="1" t="str">
        <f>IF('State of the System - Sumter Co'!L21="URBAN","U","R")</f>
        <v>U</v>
      </c>
      <c r="O21" s="1" t="str">
        <f>IF('State of the System - Sumter Co'!M21="UNDIVIDED","U",IF('State of the System - Sumter Co'!M21="DIVIDED","D","F"))</f>
        <v>U</v>
      </c>
      <c r="P21" s="1" t="str">
        <f>'State of the System - Sumter Co'!N21</f>
        <v>INTERRUPTED</v>
      </c>
      <c r="Q21" s="1" t="str">
        <f t="shared" si="0"/>
        <v/>
      </c>
      <c r="R21" s="1" t="str">
        <f>'State of the System - Sumter Co'!O21</f>
        <v/>
      </c>
      <c r="S21" s="1" t="str">
        <f t="shared" si="1"/>
        <v>-2</v>
      </c>
      <c r="T21" s="1" t="str">
        <f t="shared" si="2"/>
        <v>U-2U-2</v>
      </c>
      <c r="U21" s="1" t="str">
        <f t="shared" si="3"/>
        <v>U-2U-2</v>
      </c>
      <c r="V21" s="1" t="s">
        <v>10</v>
      </c>
      <c r="W21" s="1" t="s">
        <v>11</v>
      </c>
      <c r="X21" s="1" t="s">
        <v>21</v>
      </c>
      <c r="Y21" s="1" t="str">
        <f>'State of the System - Sumter Co'!R21</f>
        <v>D</v>
      </c>
      <c r="Z21" s="143" t="str">
        <f t="shared" si="4"/>
        <v>Other CMP Network Roadways</v>
      </c>
      <c r="AA21" s="15">
        <f>VLOOKUP($T21,'2020_CapacityTable'!$B$49:$F$71,2)</f>
        <v>0</v>
      </c>
      <c r="AB21" s="15">
        <f>VLOOKUP($T21,'2020_CapacityTable'!$B$49:$F$71,3)</f>
        <v>7300</v>
      </c>
      <c r="AC21" s="15">
        <f>VLOOKUP($T21,'2020_CapacityTable'!$B$49:$F$71,4)</f>
        <v>14800</v>
      </c>
      <c r="AD21" s="15">
        <f>VLOOKUP($T21,'2020_CapacityTable'!$B$49:$F$71,5)</f>
        <v>15600</v>
      </c>
      <c r="AE21" s="35">
        <f t="shared" si="5"/>
        <v>-0.1</v>
      </c>
      <c r="AF21" s="36" t="str">
        <f t="shared" si="6"/>
        <v/>
      </c>
      <c r="AG21" s="35"/>
      <c r="AH21" s="35" t="str">
        <f t="shared" si="139"/>
        <v/>
      </c>
      <c r="AI21" s="35"/>
      <c r="AJ21" s="36"/>
      <c r="AK21" s="15">
        <f t="shared" si="8"/>
        <v>0</v>
      </c>
      <c r="AL21" s="15">
        <f t="shared" si="9"/>
        <v>6570</v>
      </c>
      <c r="AM21" s="15">
        <f t="shared" si="10"/>
        <v>13320</v>
      </c>
      <c r="AN21" s="15">
        <f t="shared" si="11"/>
        <v>14040</v>
      </c>
      <c r="AO21" s="3">
        <f t="shared" si="49"/>
        <v>13320</v>
      </c>
      <c r="AP21" s="138">
        <f>VLOOKUP($B21,'2022 counts'!$B$6:$R$304,17,FALSE)</f>
        <v>8045</v>
      </c>
      <c r="AQ21" s="11">
        <f t="shared" si="12"/>
        <v>0.6</v>
      </c>
      <c r="AR21" s="2" t="str">
        <f t="shared" si="13"/>
        <v>D</v>
      </c>
      <c r="AS21" s="26">
        <f t="shared" si="50"/>
        <v>2.75</v>
      </c>
      <c r="AT21" s="15">
        <f>VLOOKUP($T21,'2020_CapacityTable'!$B$23:$F$45,2)</f>
        <v>0</v>
      </c>
      <c r="AU21" s="15">
        <f>VLOOKUP($T21,'2020_CapacityTable'!$B$23:$F$45,3)</f>
        <v>370</v>
      </c>
      <c r="AV21" s="15">
        <f>VLOOKUP($T21,'2020_CapacityTable'!$B$23:$F$45,4)</f>
        <v>750</v>
      </c>
      <c r="AW21" s="15">
        <f>VLOOKUP($T21,'2020_CapacityTable'!$B$23:$F$45,5)</f>
        <v>800</v>
      </c>
      <c r="AX21" s="15">
        <f t="shared" si="14"/>
        <v>0</v>
      </c>
      <c r="AY21" s="15">
        <f t="shared" si="15"/>
        <v>333</v>
      </c>
      <c r="AZ21" s="15">
        <f t="shared" si="16"/>
        <v>675</v>
      </c>
      <c r="BA21" s="15">
        <f t="shared" si="17"/>
        <v>720</v>
      </c>
      <c r="BB21" s="3">
        <f t="shared" si="18"/>
        <v>675</v>
      </c>
      <c r="BC21" s="138">
        <f>VLOOKUP($B21,'2022 counts'!$B$6:$AD$304,28,FALSE)</f>
        <v>389</v>
      </c>
      <c r="BD21" s="138">
        <f>VLOOKUP($B21,'2022 counts'!$B$6:$AD$304,29,FALSE)</f>
        <v>400</v>
      </c>
      <c r="BE21" s="11">
        <f t="shared" si="19"/>
        <v>0.59</v>
      </c>
      <c r="BF21" s="2" t="str">
        <f t="shared" si="20"/>
        <v>D</v>
      </c>
      <c r="BG21" s="135">
        <v>0</v>
      </c>
      <c r="BH21" s="135">
        <f>IF($AQ21="","",VLOOKUP($B21, '2022 counts'!$B$6:$T$304,19,FALSE))</f>
        <v>0</v>
      </c>
      <c r="BI21" s="38">
        <f t="shared" si="21"/>
        <v>0.01</v>
      </c>
      <c r="BJ21" s="39" t="str">
        <f t="shared" si="22"/>
        <v>minimum</v>
      </c>
      <c r="BK21" s="15">
        <f>VLOOKUP($U21,'2020_CapacityTable'!$B$49:$F$71,2)</f>
        <v>0</v>
      </c>
      <c r="BL21" s="15">
        <f>VLOOKUP($U21,'2020_CapacityTable'!$B$49:$F$71,3)</f>
        <v>7300</v>
      </c>
      <c r="BM21" s="15">
        <f>VLOOKUP($T21,'2020_CapacityTable'!$B$49:$F$71,4)</f>
        <v>14800</v>
      </c>
      <c r="BN21" s="15">
        <f>VLOOKUP($T21,'2020_CapacityTable'!$B$49:$F$71,5)</f>
        <v>15600</v>
      </c>
      <c r="BO21" s="15">
        <f t="shared" si="23"/>
        <v>0</v>
      </c>
      <c r="BP21" s="15">
        <f t="shared" si="24"/>
        <v>6570</v>
      </c>
      <c r="BQ21" s="15">
        <f t="shared" si="25"/>
        <v>13320</v>
      </c>
      <c r="BR21" s="15">
        <f t="shared" si="26"/>
        <v>14040</v>
      </c>
      <c r="BS21" s="3">
        <f t="shared" si="27"/>
        <v>13320</v>
      </c>
      <c r="BT21" s="40">
        <f>'State of the System - Sumter Co'!AD21</f>
        <v>8455</v>
      </c>
      <c r="BU21" s="41">
        <f t="shared" si="28"/>
        <v>0.63</v>
      </c>
      <c r="BV21" s="2" t="str">
        <f t="shared" si="29"/>
        <v>D</v>
      </c>
      <c r="BW21" s="2">
        <f t="shared" si="30"/>
        <v>2.89</v>
      </c>
      <c r="BX21" s="15">
        <f>VLOOKUP($U21,'2020_CapacityTable'!$B$23:$F$45,2)</f>
        <v>0</v>
      </c>
      <c r="BY21" s="15">
        <f>VLOOKUP($U21,'2020_CapacityTable'!$B$23:$F$45,3)</f>
        <v>370</v>
      </c>
      <c r="BZ21" s="15">
        <f>VLOOKUP($U21,'2020_CapacityTable'!$B$23:$F$45,4)</f>
        <v>750</v>
      </c>
      <c r="CA21" s="15">
        <f>VLOOKUP($U21,'2020_CapacityTable'!$B$23:$F$45,5)</f>
        <v>800</v>
      </c>
      <c r="CB21" s="15">
        <f t="shared" si="31"/>
        <v>0</v>
      </c>
      <c r="CC21" s="15">
        <f t="shared" si="32"/>
        <v>333</v>
      </c>
      <c r="CD21" s="15">
        <f t="shared" si="33"/>
        <v>675</v>
      </c>
      <c r="CE21" s="15">
        <f t="shared" si="34"/>
        <v>720</v>
      </c>
      <c r="CF21" s="3">
        <f t="shared" si="35"/>
        <v>675</v>
      </c>
      <c r="CG21" s="2">
        <f>'State of the System - Sumter Co'!AH21</f>
        <v>409</v>
      </c>
      <c r="CH21" s="2">
        <f>'State of the System - Sumter Co'!AI21</f>
        <v>420</v>
      </c>
      <c r="CI21" s="11">
        <f t="shared" si="36"/>
        <v>0.62</v>
      </c>
      <c r="CJ21" s="2" t="str">
        <f t="shared" si="37"/>
        <v>D</v>
      </c>
      <c r="CK21" s="3">
        <f t="shared" si="51"/>
        <v>15163</v>
      </c>
      <c r="CL21" s="11">
        <f t="shared" si="38"/>
        <v>0.56000000000000005</v>
      </c>
      <c r="CM21" s="140" t="str">
        <f t="shared" si="39"/>
        <v>NOT CONGESTED</v>
      </c>
      <c r="CN21" s="3">
        <f t="shared" si="40"/>
        <v>778</v>
      </c>
      <c r="CO21" s="11">
        <f t="shared" si="41"/>
        <v>0.54</v>
      </c>
      <c r="CP21" s="141" t="str">
        <f t="shared" si="42"/>
        <v>NOT CONGESTED</v>
      </c>
      <c r="CQ21" s="2" t="s">
        <v>560</v>
      </c>
      <c r="CR21" s="43">
        <v>1</v>
      </c>
      <c r="CS21" s="140" t="str">
        <f t="shared" si="43"/>
        <v/>
      </c>
      <c r="CT21" s="11" t="str">
        <f t="shared" si="44"/>
        <v/>
      </c>
      <c r="CU21" s="140" t="str">
        <f t="shared" si="52"/>
        <v/>
      </c>
      <c r="CV21" s="11" t="str">
        <f t="shared" si="45"/>
        <v/>
      </c>
      <c r="CW21" s="2"/>
      <c r="CX21" s="1"/>
      <c r="CY21" s="142" t="str">
        <f t="shared" si="46"/>
        <v/>
      </c>
      <c r="CZ21" s="32" t="str">
        <f t="shared" si="47"/>
        <v/>
      </c>
    </row>
    <row r="22" spans="1:104" ht="12.75" customHeight="1">
      <c r="A22" s="1">
        <v>5010</v>
      </c>
      <c r="B22" s="1">
        <f t="shared" si="48"/>
        <v>3</v>
      </c>
      <c r="C22" s="1">
        <v>252</v>
      </c>
      <c r="D22" s="1">
        <f>VLOOKUP(C22,'2022 counts'!$A$6:$B$304,2,FALSE)</f>
        <v>3</v>
      </c>
      <c r="E22" s="1"/>
      <c r="F22" s="2" t="s">
        <v>6</v>
      </c>
      <c r="G22" s="141">
        <v>30</v>
      </c>
      <c r="H22" s="11">
        <v>0.38668443109700001</v>
      </c>
      <c r="I22" s="10" t="s">
        <v>7</v>
      </c>
      <c r="J22" s="10" t="s">
        <v>9</v>
      </c>
      <c r="K22" s="10" t="s">
        <v>14</v>
      </c>
      <c r="L22" s="143">
        <v>2</v>
      </c>
      <c r="M22" s="1">
        <f>'State of the System - Sumter Co'!K22</f>
        <v>2</v>
      </c>
      <c r="N22" s="1" t="str">
        <f>IF('State of the System - Sumter Co'!L22="URBAN","U","R")</f>
        <v>U</v>
      </c>
      <c r="O22" s="1" t="str">
        <f>IF('State of the System - Sumter Co'!M22="UNDIVIDED","U",IF('State of the System - Sumter Co'!M22="DIVIDED","D","F"))</f>
        <v>U</v>
      </c>
      <c r="P22" s="1" t="str">
        <f>'State of the System - Sumter Co'!N22</f>
        <v>INTERRUPTED</v>
      </c>
      <c r="Q22" s="1" t="str">
        <f t="shared" si="0"/>
        <v/>
      </c>
      <c r="R22" s="1" t="str">
        <f>'State of the System - Sumter Co'!O22</f>
        <v/>
      </c>
      <c r="S22" s="1" t="str">
        <f t="shared" si="1"/>
        <v>-2</v>
      </c>
      <c r="T22" s="1" t="str">
        <f t="shared" si="2"/>
        <v>U-2U-2</v>
      </c>
      <c r="U22" s="1" t="str">
        <f t="shared" ref="U22:U53" si="140">CONCATENATE(N22,"-",L22,O22,S22,Q22)</f>
        <v>U-2U-2</v>
      </c>
      <c r="V22" s="1" t="s">
        <v>10</v>
      </c>
      <c r="W22" s="1" t="s">
        <v>11</v>
      </c>
      <c r="X22" s="1" t="s">
        <v>21</v>
      </c>
      <c r="Y22" s="1" t="str">
        <f>'State of the System - Sumter Co'!R22</f>
        <v>D</v>
      </c>
      <c r="Z22" s="143" t="str">
        <f t="shared" si="4"/>
        <v>Other CMP Network Roadways</v>
      </c>
      <c r="AA22" s="15">
        <f>VLOOKUP($T22,'2020_CapacityTable'!$B$49:$F$71,2)</f>
        <v>0</v>
      </c>
      <c r="AB22" s="15">
        <f>VLOOKUP($T22,'2020_CapacityTable'!$B$49:$F$71,3)</f>
        <v>7300</v>
      </c>
      <c r="AC22" s="15">
        <f>VLOOKUP($T22,'2020_CapacityTable'!$B$49:$F$71,4)</f>
        <v>14800</v>
      </c>
      <c r="AD22" s="15">
        <f>VLOOKUP($T22,'2020_CapacityTable'!$B$49:$F$71,5)</f>
        <v>15600</v>
      </c>
      <c r="AE22" s="35">
        <f t="shared" si="5"/>
        <v>-0.1</v>
      </c>
      <c r="AF22" s="36" t="str">
        <f t="shared" si="6"/>
        <v/>
      </c>
      <c r="AG22" s="35"/>
      <c r="AH22" s="35" t="str">
        <f t="shared" si="139"/>
        <v/>
      </c>
      <c r="AI22" s="35"/>
      <c r="AJ22" s="36"/>
      <c r="AK22" s="15">
        <f t="shared" si="8"/>
        <v>0</v>
      </c>
      <c r="AL22" s="15">
        <f t="shared" si="9"/>
        <v>6570</v>
      </c>
      <c r="AM22" s="15">
        <f t="shared" si="10"/>
        <v>13320</v>
      </c>
      <c r="AN22" s="15">
        <f t="shared" si="11"/>
        <v>14040</v>
      </c>
      <c r="AO22" s="3">
        <f t="shared" si="49"/>
        <v>13320</v>
      </c>
      <c r="AP22" s="138">
        <f>VLOOKUP($B22,'2022 counts'!$B$6:$R$304,17,FALSE)</f>
        <v>9416</v>
      </c>
      <c r="AQ22" s="11">
        <f t="shared" si="12"/>
        <v>0.71</v>
      </c>
      <c r="AR22" s="2" t="str">
        <f t="shared" si="13"/>
        <v>D</v>
      </c>
      <c r="AS22" s="26">
        <f t="shared" si="50"/>
        <v>1.33</v>
      </c>
      <c r="AT22" s="15">
        <f>VLOOKUP($T22,'2020_CapacityTable'!$B$23:$F$45,2)</f>
        <v>0</v>
      </c>
      <c r="AU22" s="15">
        <f>VLOOKUP($T22,'2020_CapacityTable'!$B$23:$F$45,3)</f>
        <v>370</v>
      </c>
      <c r="AV22" s="15">
        <f>VLOOKUP($T22,'2020_CapacityTable'!$B$23:$F$45,4)</f>
        <v>750</v>
      </c>
      <c r="AW22" s="15">
        <f>VLOOKUP($T22,'2020_CapacityTable'!$B$23:$F$45,5)</f>
        <v>800</v>
      </c>
      <c r="AX22" s="15">
        <f t="shared" si="14"/>
        <v>0</v>
      </c>
      <c r="AY22" s="15">
        <f t="shared" si="15"/>
        <v>333</v>
      </c>
      <c r="AZ22" s="15">
        <f t="shared" si="16"/>
        <v>675</v>
      </c>
      <c r="BA22" s="15">
        <f t="shared" si="17"/>
        <v>720</v>
      </c>
      <c r="BB22" s="3">
        <f t="shared" si="18"/>
        <v>675</v>
      </c>
      <c r="BC22" s="138">
        <f>VLOOKUP($B22,'2022 counts'!$B$6:$AD$304,28,FALSE)</f>
        <v>492</v>
      </c>
      <c r="BD22" s="138">
        <f>VLOOKUP($B22,'2022 counts'!$B$6:$AD$304,29,FALSE)</f>
        <v>435</v>
      </c>
      <c r="BE22" s="11">
        <f t="shared" si="19"/>
        <v>0.73</v>
      </c>
      <c r="BF22" s="2" t="str">
        <f t="shared" si="20"/>
        <v>D</v>
      </c>
      <c r="BG22" s="135">
        <v>0</v>
      </c>
      <c r="BH22" s="135">
        <f>IF($AQ22="","",VLOOKUP($B22, '2022 counts'!$B$6:$T$304,19,FALSE))</f>
        <v>0</v>
      </c>
      <c r="BI22" s="38">
        <f t="shared" si="21"/>
        <v>0.01</v>
      </c>
      <c r="BJ22" s="39" t="str">
        <f t="shared" si="22"/>
        <v>minimum</v>
      </c>
      <c r="BK22" s="15">
        <f>VLOOKUP($U22,'2020_CapacityTable'!$B$49:$F$71,2)</f>
        <v>0</v>
      </c>
      <c r="BL22" s="15">
        <f>VLOOKUP($U22,'2020_CapacityTable'!$B$49:$F$71,3)</f>
        <v>7300</v>
      </c>
      <c r="BM22" s="15">
        <f>VLOOKUP($T22,'2020_CapacityTable'!$B$49:$F$71,4)</f>
        <v>14800</v>
      </c>
      <c r="BN22" s="15">
        <f>VLOOKUP($T22,'2020_CapacityTable'!$B$49:$F$71,5)</f>
        <v>15600</v>
      </c>
      <c r="BO22" s="15">
        <f t="shared" si="23"/>
        <v>0</v>
      </c>
      <c r="BP22" s="15">
        <f t="shared" si="24"/>
        <v>6570</v>
      </c>
      <c r="BQ22" s="15">
        <f t="shared" si="25"/>
        <v>13320</v>
      </c>
      <c r="BR22" s="15">
        <f t="shared" si="26"/>
        <v>14040</v>
      </c>
      <c r="BS22" s="3">
        <f t="shared" si="27"/>
        <v>13320</v>
      </c>
      <c r="BT22" s="40">
        <f>'State of the System - Sumter Co'!AD22</f>
        <v>9896</v>
      </c>
      <c r="BU22" s="41">
        <f t="shared" si="28"/>
        <v>0.74</v>
      </c>
      <c r="BV22" s="2" t="str">
        <f t="shared" si="29"/>
        <v>D</v>
      </c>
      <c r="BW22" s="2">
        <f t="shared" si="30"/>
        <v>1.4</v>
      </c>
      <c r="BX22" s="15">
        <f>VLOOKUP($U22,'2020_CapacityTable'!$B$23:$F$45,2)</f>
        <v>0</v>
      </c>
      <c r="BY22" s="15">
        <f>VLOOKUP($U22,'2020_CapacityTable'!$B$23:$F$45,3)</f>
        <v>370</v>
      </c>
      <c r="BZ22" s="15">
        <f>VLOOKUP($U22,'2020_CapacityTable'!$B$23:$F$45,4)</f>
        <v>750</v>
      </c>
      <c r="CA22" s="15">
        <f>VLOOKUP($U22,'2020_CapacityTable'!$B$23:$F$45,5)</f>
        <v>800</v>
      </c>
      <c r="CB22" s="15">
        <f t="shared" si="31"/>
        <v>0</v>
      </c>
      <c r="CC22" s="15">
        <f t="shared" si="32"/>
        <v>333</v>
      </c>
      <c r="CD22" s="15">
        <f t="shared" si="33"/>
        <v>675</v>
      </c>
      <c r="CE22" s="15">
        <f t="shared" si="34"/>
        <v>720</v>
      </c>
      <c r="CF22" s="3">
        <f t="shared" si="35"/>
        <v>675</v>
      </c>
      <c r="CG22" s="2">
        <f>'State of the System - Sumter Co'!AH22</f>
        <v>517</v>
      </c>
      <c r="CH22" s="2">
        <f>'State of the System - Sumter Co'!AI22</f>
        <v>457</v>
      </c>
      <c r="CI22" s="11">
        <f t="shared" si="36"/>
        <v>0.77</v>
      </c>
      <c r="CJ22" s="2" t="str">
        <f t="shared" si="37"/>
        <v>D</v>
      </c>
      <c r="CK22" s="3">
        <f t="shared" si="51"/>
        <v>15163</v>
      </c>
      <c r="CL22" s="11">
        <f t="shared" si="38"/>
        <v>0.65</v>
      </c>
      <c r="CM22" s="140" t="str">
        <f t="shared" si="39"/>
        <v>NOT CONGESTED</v>
      </c>
      <c r="CN22" s="3">
        <f t="shared" si="40"/>
        <v>778</v>
      </c>
      <c r="CO22" s="11">
        <f t="shared" si="41"/>
        <v>0.66</v>
      </c>
      <c r="CP22" s="141" t="str">
        <f t="shared" si="42"/>
        <v>NOT CONGESTED</v>
      </c>
      <c r="CQ22" s="2"/>
      <c r="CR22" s="42"/>
      <c r="CS22" s="140" t="str">
        <f t="shared" si="43"/>
        <v/>
      </c>
      <c r="CT22" s="11" t="str">
        <f t="shared" si="44"/>
        <v/>
      </c>
      <c r="CU22" s="140" t="str">
        <f t="shared" si="52"/>
        <v/>
      </c>
      <c r="CV22" s="11" t="str">
        <f t="shared" si="45"/>
        <v/>
      </c>
      <c r="CW22" s="2"/>
      <c r="CX22" s="1"/>
      <c r="CY22" s="142" t="str">
        <f t="shared" si="46"/>
        <v/>
      </c>
      <c r="CZ22" s="32" t="str">
        <f t="shared" si="47"/>
        <v/>
      </c>
    </row>
    <row r="23" spans="1:104" ht="12.75" customHeight="1">
      <c r="A23" s="1">
        <v>5020</v>
      </c>
      <c r="B23" s="1">
        <f t="shared" si="48"/>
        <v>4</v>
      </c>
      <c r="C23" s="1">
        <v>255</v>
      </c>
      <c r="D23" s="1">
        <f>VLOOKUP(C23,'2022 counts'!$A$6:$B$304,2,FALSE)</f>
        <v>4</v>
      </c>
      <c r="E23" s="1"/>
      <c r="F23" s="2" t="s">
        <v>6</v>
      </c>
      <c r="G23" s="141">
        <v>20</v>
      </c>
      <c r="H23" s="11">
        <v>0.50228788854899997</v>
      </c>
      <c r="I23" s="10" t="s">
        <v>7</v>
      </c>
      <c r="J23" s="10" t="s">
        <v>14</v>
      </c>
      <c r="K23" s="10" t="s">
        <v>690</v>
      </c>
      <c r="L23" s="143">
        <v>2</v>
      </c>
      <c r="M23" s="1">
        <f>'State of the System - Sumter Co'!K23</f>
        <v>2</v>
      </c>
      <c r="N23" s="1" t="str">
        <f>IF('State of the System - Sumter Co'!L23="URBAN","U","R")</f>
        <v>U</v>
      </c>
      <c r="O23" s="1" t="str">
        <f>IF('State of the System - Sumter Co'!M23="UNDIVIDED","U",IF('State of the System - Sumter Co'!M23="DIVIDED","D","F"))</f>
        <v>U</v>
      </c>
      <c r="P23" s="1" t="str">
        <f>'State of the System - Sumter Co'!N23</f>
        <v>INTERRUPTED</v>
      </c>
      <c r="Q23" s="1" t="str">
        <f t="shared" si="0"/>
        <v/>
      </c>
      <c r="R23" s="1" t="str">
        <f>'State of the System - Sumter Co'!O23</f>
        <v/>
      </c>
      <c r="S23" s="1" t="str">
        <f t="shared" si="1"/>
        <v>-2</v>
      </c>
      <c r="T23" s="1" t="str">
        <f t="shared" si="2"/>
        <v>U-2U-2</v>
      </c>
      <c r="U23" s="1" t="str">
        <f t="shared" si="140"/>
        <v>U-2U-2</v>
      </c>
      <c r="V23" s="1" t="s">
        <v>10</v>
      </c>
      <c r="W23" s="1" t="s">
        <v>11</v>
      </c>
      <c r="X23" s="1" t="s">
        <v>21</v>
      </c>
      <c r="Y23" s="1" t="str">
        <f>'State of the System - Sumter Co'!R23</f>
        <v>D</v>
      </c>
      <c r="Z23" s="143" t="str">
        <f t="shared" si="4"/>
        <v>Other CMP Network Roadways</v>
      </c>
      <c r="AA23" s="15">
        <f>VLOOKUP($T23,'2020_CapacityTable'!$B$49:$F$71,2)</f>
        <v>0</v>
      </c>
      <c r="AB23" s="15">
        <f>VLOOKUP($T23,'2020_CapacityTable'!$B$49:$F$71,3)</f>
        <v>7300</v>
      </c>
      <c r="AC23" s="15">
        <f>VLOOKUP($T23,'2020_CapacityTable'!$B$49:$F$71,4)</f>
        <v>14800</v>
      </c>
      <c r="AD23" s="15">
        <f>VLOOKUP($T23,'2020_CapacityTable'!$B$49:$F$71,5)</f>
        <v>15600</v>
      </c>
      <c r="AE23" s="35">
        <f t="shared" si="5"/>
        <v>-0.1</v>
      </c>
      <c r="AF23" s="36" t="str">
        <f t="shared" si="6"/>
        <v/>
      </c>
      <c r="AG23" s="35"/>
      <c r="AH23" s="35" t="str">
        <f t="shared" si="139"/>
        <v/>
      </c>
      <c r="AI23" s="35"/>
      <c r="AJ23" s="36"/>
      <c r="AK23" s="15">
        <f t="shared" si="8"/>
        <v>0</v>
      </c>
      <c r="AL23" s="15">
        <f t="shared" si="9"/>
        <v>6570</v>
      </c>
      <c r="AM23" s="15">
        <f t="shared" si="10"/>
        <v>13320</v>
      </c>
      <c r="AN23" s="15">
        <f t="shared" si="11"/>
        <v>14040</v>
      </c>
      <c r="AO23" s="3">
        <f t="shared" si="49"/>
        <v>13320</v>
      </c>
      <c r="AP23" s="138">
        <f>VLOOKUP($B23,'2022 counts'!$B$6:$R$304,17,FALSE)</f>
        <v>3848</v>
      </c>
      <c r="AQ23" s="11">
        <f t="shared" si="12"/>
        <v>0.28999999999999998</v>
      </c>
      <c r="AR23" s="2" t="str">
        <f t="shared" si="13"/>
        <v>C</v>
      </c>
      <c r="AS23" s="26">
        <f t="shared" si="50"/>
        <v>0.71</v>
      </c>
      <c r="AT23" s="15">
        <f>VLOOKUP($T23,'2020_CapacityTable'!$B$23:$F$45,2)</f>
        <v>0</v>
      </c>
      <c r="AU23" s="15">
        <f>VLOOKUP($T23,'2020_CapacityTable'!$B$23:$F$45,3)</f>
        <v>370</v>
      </c>
      <c r="AV23" s="15">
        <f>VLOOKUP($T23,'2020_CapacityTable'!$B$23:$F$45,4)</f>
        <v>750</v>
      </c>
      <c r="AW23" s="15">
        <f>VLOOKUP($T23,'2020_CapacityTable'!$B$23:$F$45,5)</f>
        <v>800</v>
      </c>
      <c r="AX23" s="15">
        <f t="shared" si="14"/>
        <v>0</v>
      </c>
      <c r="AY23" s="15">
        <f t="shared" si="15"/>
        <v>333</v>
      </c>
      <c r="AZ23" s="15">
        <f t="shared" si="16"/>
        <v>675</v>
      </c>
      <c r="BA23" s="15">
        <f t="shared" si="17"/>
        <v>720</v>
      </c>
      <c r="BB23" s="3">
        <f t="shared" si="18"/>
        <v>675</v>
      </c>
      <c r="BC23" s="138">
        <f>VLOOKUP($B23,'2022 counts'!$B$6:$AD$304,28,FALSE)</f>
        <v>192</v>
      </c>
      <c r="BD23" s="138">
        <f>VLOOKUP($B23,'2022 counts'!$B$6:$AD$304,29,FALSE)</f>
        <v>187</v>
      </c>
      <c r="BE23" s="11">
        <f t="shared" si="19"/>
        <v>0.28000000000000003</v>
      </c>
      <c r="BF23" s="2" t="str">
        <f t="shared" si="20"/>
        <v>C</v>
      </c>
      <c r="BG23" s="135">
        <v>7.4999999999999997E-3</v>
      </c>
      <c r="BH23" s="135">
        <f>IF($AQ23="","",VLOOKUP($B23, '2022 counts'!$B$6:$T$304,19,FALSE))</f>
        <v>7.4999999999999997E-3</v>
      </c>
      <c r="BI23" s="38">
        <f t="shared" si="21"/>
        <v>0.01</v>
      </c>
      <c r="BJ23" s="39" t="str">
        <f t="shared" si="22"/>
        <v>minimum</v>
      </c>
      <c r="BK23" s="15">
        <f>VLOOKUP($U23,'2020_CapacityTable'!$B$49:$F$71,2)</f>
        <v>0</v>
      </c>
      <c r="BL23" s="15">
        <f>VLOOKUP($U23,'2020_CapacityTable'!$B$49:$F$71,3)</f>
        <v>7300</v>
      </c>
      <c r="BM23" s="15">
        <f>VLOOKUP($T23,'2020_CapacityTable'!$B$49:$F$71,4)</f>
        <v>14800</v>
      </c>
      <c r="BN23" s="15">
        <f>VLOOKUP($T23,'2020_CapacityTable'!$B$49:$F$71,5)</f>
        <v>15600</v>
      </c>
      <c r="BO23" s="15">
        <f t="shared" si="23"/>
        <v>0</v>
      </c>
      <c r="BP23" s="15">
        <f t="shared" si="24"/>
        <v>6570</v>
      </c>
      <c r="BQ23" s="15">
        <f t="shared" si="25"/>
        <v>13320</v>
      </c>
      <c r="BR23" s="15">
        <f t="shared" si="26"/>
        <v>14040</v>
      </c>
      <c r="BS23" s="3">
        <f t="shared" si="27"/>
        <v>13320</v>
      </c>
      <c r="BT23" s="40">
        <f>'State of the System - Sumter Co'!AD23</f>
        <v>4044</v>
      </c>
      <c r="BU23" s="41">
        <f t="shared" si="28"/>
        <v>0.3</v>
      </c>
      <c r="BV23" s="2" t="str">
        <f t="shared" si="29"/>
        <v>C</v>
      </c>
      <c r="BW23" s="2">
        <f t="shared" si="30"/>
        <v>0.74</v>
      </c>
      <c r="BX23" s="15">
        <f>VLOOKUP($U23,'2020_CapacityTable'!$B$23:$F$45,2)</f>
        <v>0</v>
      </c>
      <c r="BY23" s="15">
        <f>VLOOKUP($U23,'2020_CapacityTable'!$B$23:$F$45,3)</f>
        <v>370</v>
      </c>
      <c r="BZ23" s="15">
        <f>VLOOKUP($U23,'2020_CapacityTable'!$B$23:$F$45,4)</f>
        <v>750</v>
      </c>
      <c r="CA23" s="15">
        <f>VLOOKUP($U23,'2020_CapacityTable'!$B$23:$F$45,5)</f>
        <v>800</v>
      </c>
      <c r="CB23" s="15">
        <f t="shared" si="31"/>
        <v>0</v>
      </c>
      <c r="CC23" s="15">
        <f t="shared" si="32"/>
        <v>333</v>
      </c>
      <c r="CD23" s="15">
        <f t="shared" si="33"/>
        <v>675</v>
      </c>
      <c r="CE23" s="15">
        <f t="shared" si="34"/>
        <v>720</v>
      </c>
      <c r="CF23" s="3">
        <f t="shared" si="35"/>
        <v>675</v>
      </c>
      <c r="CG23" s="2">
        <f>'State of the System - Sumter Co'!AH23</f>
        <v>202</v>
      </c>
      <c r="CH23" s="2">
        <f>'State of the System - Sumter Co'!AI23</f>
        <v>197</v>
      </c>
      <c r="CI23" s="11">
        <f t="shared" si="36"/>
        <v>0.3</v>
      </c>
      <c r="CJ23" s="2" t="str">
        <f t="shared" si="37"/>
        <v>C</v>
      </c>
      <c r="CK23" s="3">
        <f t="shared" si="51"/>
        <v>15163</v>
      </c>
      <c r="CL23" s="11">
        <f t="shared" si="38"/>
        <v>0.27</v>
      </c>
      <c r="CM23" s="140" t="str">
        <f t="shared" si="39"/>
        <v>NOT CONGESTED</v>
      </c>
      <c r="CN23" s="3">
        <f t="shared" si="40"/>
        <v>778</v>
      </c>
      <c r="CO23" s="11">
        <f t="shared" si="41"/>
        <v>0.26</v>
      </c>
      <c r="CP23" s="141" t="str">
        <f t="shared" si="42"/>
        <v>NOT CONGESTED</v>
      </c>
      <c r="CQ23" s="2"/>
      <c r="CR23" s="42"/>
      <c r="CS23" s="140" t="str">
        <f t="shared" si="43"/>
        <v/>
      </c>
      <c r="CT23" s="11" t="str">
        <f t="shared" si="44"/>
        <v/>
      </c>
      <c r="CU23" s="140" t="str">
        <f t="shared" si="52"/>
        <v/>
      </c>
      <c r="CV23" s="11" t="str">
        <f t="shared" si="45"/>
        <v/>
      </c>
      <c r="CW23" s="2"/>
      <c r="CX23" s="1"/>
      <c r="CY23" s="142" t="str">
        <f t="shared" si="46"/>
        <v/>
      </c>
      <c r="CZ23" s="32" t="str">
        <f t="shared" si="47"/>
        <v/>
      </c>
    </row>
    <row r="24" spans="1:104" ht="12.75" customHeight="1">
      <c r="A24" s="1">
        <v>5030</v>
      </c>
      <c r="B24" s="1">
        <f t="shared" si="48"/>
        <v>5</v>
      </c>
      <c r="C24" s="1">
        <v>258</v>
      </c>
      <c r="D24" s="1">
        <f>VLOOKUP(C24,'2022 counts'!$A$6:$B$304,2,FALSE)</f>
        <v>5</v>
      </c>
      <c r="E24" s="1"/>
      <c r="F24" s="2" t="s">
        <v>6</v>
      </c>
      <c r="G24" s="141">
        <v>20</v>
      </c>
      <c r="H24" s="11">
        <v>0.39228402771999998</v>
      </c>
      <c r="I24" s="10" t="s">
        <v>7</v>
      </c>
      <c r="J24" s="10" t="s">
        <v>690</v>
      </c>
      <c r="K24" s="10" t="s">
        <v>765</v>
      </c>
      <c r="L24" s="143">
        <v>2</v>
      </c>
      <c r="M24" s="1">
        <f>'State of the System - Sumter Co'!K24</f>
        <v>2</v>
      </c>
      <c r="N24" s="1" t="str">
        <f>IF('State of the System - Sumter Co'!L24="URBAN","U","R")</f>
        <v>U</v>
      </c>
      <c r="O24" s="1" t="str">
        <f>IF('State of the System - Sumter Co'!M24="UNDIVIDED","U",IF('State of the System - Sumter Co'!M24="DIVIDED","D","F"))</f>
        <v>U</v>
      </c>
      <c r="P24" s="1" t="str">
        <f>'State of the System - Sumter Co'!N24</f>
        <v>INTERRUPTED</v>
      </c>
      <c r="Q24" s="1" t="str">
        <f t="shared" si="0"/>
        <v/>
      </c>
      <c r="R24" s="1" t="str">
        <f>'State of the System - Sumter Co'!O24</f>
        <v/>
      </c>
      <c r="S24" s="1" t="str">
        <f t="shared" si="1"/>
        <v>-2</v>
      </c>
      <c r="T24" s="1" t="str">
        <f t="shared" si="2"/>
        <v>U-2U-2</v>
      </c>
      <c r="U24" s="1" t="str">
        <f t="shared" si="140"/>
        <v>U-2U-2</v>
      </c>
      <c r="V24" s="1" t="s">
        <v>10</v>
      </c>
      <c r="W24" s="1" t="s">
        <v>11</v>
      </c>
      <c r="X24" s="1" t="s">
        <v>21</v>
      </c>
      <c r="Y24" s="1" t="str">
        <f>'State of the System - Sumter Co'!R24</f>
        <v>D</v>
      </c>
      <c r="Z24" s="143" t="str">
        <f t="shared" si="4"/>
        <v>Other CMP Network Roadways</v>
      </c>
      <c r="AA24" s="15">
        <f>VLOOKUP($T24,'2020_CapacityTable'!$B$49:$F$71,2)</f>
        <v>0</v>
      </c>
      <c r="AB24" s="15">
        <f>VLOOKUP($T24,'2020_CapacityTable'!$B$49:$F$71,3)</f>
        <v>7300</v>
      </c>
      <c r="AC24" s="15">
        <f>VLOOKUP($T24,'2020_CapacityTable'!$B$49:$F$71,4)</f>
        <v>14800</v>
      </c>
      <c r="AD24" s="15">
        <f>VLOOKUP($T24,'2020_CapacityTable'!$B$49:$F$71,5)</f>
        <v>15600</v>
      </c>
      <c r="AE24" s="35">
        <f t="shared" si="5"/>
        <v>-0.1</v>
      </c>
      <c r="AF24" s="36" t="str">
        <f t="shared" si="6"/>
        <v/>
      </c>
      <c r="AG24" s="35"/>
      <c r="AH24" s="35" t="str">
        <f t="shared" si="139"/>
        <v/>
      </c>
      <c r="AI24" s="35"/>
      <c r="AJ24" s="36"/>
      <c r="AK24" s="15">
        <f t="shared" si="8"/>
        <v>0</v>
      </c>
      <c r="AL24" s="15">
        <f t="shared" si="9"/>
        <v>6570</v>
      </c>
      <c r="AM24" s="15">
        <f t="shared" si="10"/>
        <v>13320</v>
      </c>
      <c r="AN24" s="15">
        <f t="shared" si="11"/>
        <v>14040</v>
      </c>
      <c r="AO24" s="3">
        <f t="shared" si="49"/>
        <v>13320</v>
      </c>
      <c r="AP24" s="138">
        <f>VLOOKUP($B24,'2022 counts'!$B$6:$R$304,17,FALSE)</f>
        <v>4706</v>
      </c>
      <c r="AQ24" s="11">
        <f t="shared" si="12"/>
        <v>0.35</v>
      </c>
      <c r="AR24" s="2" t="str">
        <f t="shared" si="13"/>
        <v>C</v>
      </c>
      <c r="AS24" s="26">
        <f t="shared" si="50"/>
        <v>0.67</v>
      </c>
      <c r="AT24" s="15">
        <f>VLOOKUP($T24,'2020_CapacityTable'!$B$23:$F$45,2)</f>
        <v>0</v>
      </c>
      <c r="AU24" s="15">
        <f>VLOOKUP($T24,'2020_CapacityTable'!$B$23:$F$45,3)</f>
        <v>370</v>
      </c>
      <c r="AV24" s="15">
        <f>VLOOKUP($T24,'2020_CapacityTable'!$B$23:$F$45,4)</f>
        <v>750</v>
      </c>
      <c r="AW24" s="15">
        <f>VLOOKUP($T24,'2020_CapacityTable'!$B$23:$F$45,5)</f>
        <v>800</v>
      </c>
      <c r="AX24" s="15">
        <f t="shared" si="14"/>
        <v>0</v>
      </c>
      <c r="AY24" s="15">
        <f t="shared" si="15"/>
        <v>333</v>
      </c>
      <c r="AZ24" s="15">
        <f t="shared" si="16"/>
        <v>675</v>
      </c>
      <c r="BA24" s="15">
        <f t="shared" si="17"/>
        <v>720</v>
      </c>
      <c r="BB24" s="3">
        <f t="shared" si="18"/>
        <v>675</v>
      </c>
      <c r="BC24" s="138">
        <f>VLOOKUP($B24,'2022 counts'!$B$6:$AD$304,28,FALSE)</f>
        <v>241</v>
      </c>
      <c r="BD24" s="138">
        <f>VLOOKUP($B24,'2022 counts'!$B$6:$AD$304,29,FALSE)</f>
        <v>258</v>
      </c>
      <c r="BE24" s="11">
        <f t="shared" si="19"/>
        <v>0.38</v>
      </c>
      <c r="BF24" s="2" t="str">
        <f t="shared" si="20"/>
        <v>C</v>
      </c>
      <c r="BG24" s="135">
        <v>0</v>
      </c>
      <c r="BH24" s="135">
        <f>IF($AQ24="","",VLOOKUP($B24, '2022 counts'!$B$6:$T$304,19,FALSE))</f>
        <v>0</v>
      </c>
      <c r="BI24" s="38">
        <f t="shared" si="21"/>
        <v>0.01</v>
      </c>
      <c r="BJ24" s="39" t="str">
        <f t="shared" si="22"/>
        <v>minimum</v>
      </c>
      <c r="BK24" s="15">
        <f>VLOOKUP($U24,'2020_CapacityTable'!$B$49:$F$71,2)</f>
        <v>0</v>
      </c>
      <c r="BL24" s="15">
        <f>VLOOKUP($U24,'2020_CapacityTable'!$B$49:$F$71,3)</f>
        <v>7300</v>
      </c>
      <c r="BM24" s="15">
        <f>VLOOKUP($T24,'2020_CapacityTable'!$B$49:$F$71,4)</f>
        <v>14800</v>
      </c>
      <c r="BN24" s="15">
        <f>VLOOKUP($T24,'2020_CapacityTable'!$B$49:$F$71,5)</f>
        <v>15600</v>
      </c>
      <c r="BO24" s="15">
        <f t="shared" si="23"/>
        <v>0</v>
      </c>
      <c r="BP24" s="15">
        <f t="shared" si="24"/>
        <v>6570</v>
      </c>
      <c r="BQ24" s="15">
        <f t="shared" si="25"/>
        <v>13320</v>
      </c>
      <c r="BR24" s="15">
        <f t="shared" si="26"/>
        <v>14040</v>
      </c>
      <c r="BS24" s="3">
        <f t="shared" si="27"/>
        <v>13320</v>
      </c>
      <c r="BT24" s="40">
        <f>'State of the System - Sumter Co'!AD24</f>
        <v>4946</v>
      </c>
      <c r="BU24" s="41">
        <f t="shared" si="28"/>
        <v>0.37</v>
      </c>
      <c r="BV24" s="2" t="str">
        <f t="shared" si="29"/>
        <v>C</v>
      </c>
      <c r="BW24" s="2">
        <f t="shared" si="30"/>
        <v>0.71</v>
      </c>
      <c r="BX24" s="15">
        <f>VLOOKUP($U24,'2020_CapacityTable'!$B$23:$F$45,2)</f>
        <v>0</v>
      </c>
      <c r="BY24" s="15">
        <f>VLOOKUP($U24,'2020_CapacityTable'!$B$23:$F$45,3)</f>
        <v>370</v>
      </c>
      <c r="BZ24" s="15">
        <f>VLOOKUP($U24,'2020_CapacityTable'!$B$23:$F$45,4)</f>
        <v>750</v>
      </c>
      <c r="CA24" s="15">
        <f>VLOOKUP($U24,'2020_CapacityTable'!$B$23:$F$45,5)</f>
        <v>800</v>
      </c>
      <c r="CB24" s="15">
        <f t="shared" si="31"/>
        <v>0</v>
      </c>
      <c r="CC24" s="15">
        <f t="shared" si="32"/>
        <v>333</v>
      </c>
      <c r="CD24" s="15">
        <f t="shared" si="33"/>
        <v>675</v>
      </c>
      <c r="CE24" s="15">
        <f t="shared" si="34"/>
        <v>720</v>
      </c>
      <c r="CF24" s="3">
        <f t="shared" si="35"/>
        <v>675</v>
      </c>
      <c r="CG24" s="2">
        <f>'State of the System - Sumter Co'!AH24</f>
        <v>253</v>
      </c>
      <c r="CH24" s="2">
        <f>'State of the System - Sumter Co'!AI24</f>
        <v>271</v>
      </c>
      <c r="CI24" s="11">
        <f t="shared" si="36"/>
        <v>0.4</v>
      </c>
      <c r="CJ24" s="2" t="str">
        <f t="shared" si="37"/>
        <v>C</v>
      </c>
      <c r="CK24" s="3">
        <f t="shared" si="51"/>
        <v>15163</v>
      </c>
      <c r="CL24" s="11">
        <f t="shared" si="38"/>
        <v>0.33</v>
      </c>
      <c r="CM24" s="140" t="str">
        <f t="shared" si="39"/>
        <v>NOT CONGESTED</v>
      </c>
      <c r="CN24" s="3">
        <f t="shared" si="40"/>
        <v>778</v>
      </c>
      <c r="CO24" s="11">
        <f t="shared" si="41"/>
        <v>0.35</v>
      </c>
      <c r="CP24" s="141" t="str">
        <f t="shared" si="42"/>
        <v>NOT CONGESTED</v>
      </c>
      <c r="CQ24" s="2"/>
      <c r="CR24" s="42"/>
      <c r="CS24" s="140" t="str">
        <f t="shared" si="43"/>
        <v/>
      </c>
      <c r="CT24" s="11" t="str">
        <f t="shared" si="44"/>
        <v/>
      </c>
      <c r="CU24" s="140" t="str">
        <f t="shared" si="52"/>
        <v/>
      </c>
      <c r="CV24" s="11" t="str">
        <f t="shared" si="45"/>
        <v/>
      </c>
      <c r="CW24" s="2"/>
      <c r="CX24" s="1"/>
      <c r="CY24" s="142" t="str">
        <f t="shared" si="46"/>
        <v/>
      </c>
      <c r="CZ24" s="32" t="str">
        <f t="shared" si="47"/>
        <v/>
      </c>
    </row>
    <row r="25" spans="1:104" ht="12.75" customHeight="1">
      <c r="A25" s="1">
        <v>5080</v>
      </c>
      <c r="B25" s="1">
        <f t="shared" si="48"/>
        <v>102</v>
      </c>
      <c r="C25" s="1">
        <v>484</v>
      </c>
      <c r="D25" s="1">
        <f>VLOOKUP(C25,'2022 counts'!$A$6:$B$304,2,FALSE)</f>
        <v>102</v>
      </c>
      <c r="E25" s="5" t="s">
        <v>243</v>
      </c>
      <c r="F25" s="2" t="s">
        <v>6</v>
      </c>
      <c r="G25" s="141">
        <v>35</v>
      </c>
      <c r="H25" s="11">
        <v>1.0048404469300001</v>
      </c>
      <c r="I25" s="10" t="s">
        <v>46</v>
      </c>
      <c r="J25" s="10" t="s">
        <v>112</v>
      </c>
      <c r="K25" s="10" t="s">
        <v>711</v>
      </c>
      <c r="L25" s="143">
        <v>2</v>
      </c>
      <c r="M25" s="1">
        <f>'State of the System - Sumter Co'!K25</f>
        <v>2</v>
      </c>
      <c r="N25" s="1" t="str">
        <f>IF('State of the System - Sumter Co'!L25="URBAN","U","R")</f>
        <v>U</v>
      </c>
      <c r="O25" s="1" t="str">
        <f>IF('State of the System - Sumter Co'!M25="UNDIVIDED","U",IF('State of the System - Sumter Co'!M25="DIVIDED","D","F"))</f>
        <v>U</v>
      </c>
      <c r="P25" s="1" t="str">
        <f>'State of the System - Sumter Co'!N25</f>
        <v>INTERRUPTED</v>
      </c>
      <c r="Q25" s="1" t="str">
        <f t="shared" si="0"/>
        <v/>
      </c>
      <c r="R25" s="1" t="str">
        <f>'State of the System - Sumter Co'!O25</f>
        <v/>
      </c>
      <c r="S25" s="1" t="str">
        <f t="shared" si="1"/>
        <v>-2</v>
      </c>
      <c r="T25" s="1" t="str">
        <f t="shared" si="2"/>
        <v>U-2U-2</v>
      </c>
      <c r="U25" s="1" t="str">
        <f t="shared" si="140"/>
        <v>U-2U-2</v>
      </c>
      <c r="V25" s="1" t="s">
        <v>10</v>
      </c>
      <c r="W25" s="1" t="s">
        <v>25</v>
      </c>
      <c r="X25" s="1" t="s">
        <v>21</v>
      </c>
      <c r="Y25" s="1" t="str">
        <f>'State of the System - Sumter Co'!R25</f>
        <v>D</v>
      </c>
      <c r="Z25" s="143" t="str">
        <f t="shared" si="4"/>
        <v>Other CMP Network Roadways</v>
      </c>
      <c r="AA25" s="15">
        <f>VLOOKUP($T25,'2020_CapacityTable'!$B$49:$F$71,2)</f>
        <v>0</v>
      </c>
      <c r="AB25" s="15">
        <f>VLOOKUP($T25,'2020_CapacityTable'!$B$49:$F$71,3)</f>
        <v>7300</v>
      </c>
      <c r="AC25" s="15">
        <f>VLOOKUP($T25,'2020_CapacityTable'!$B$49:$F$71,4)</f>
        <v>14800</v>
      </c>
      <c r="AD25" s="15">
        <f>VLOOKUP($T25,'2020_CapacityTable'!$B$49:$F$71,5)</f>
        <v>15600</v>
      </c>
      <c r="AE25" s="35">
        <f t="shared" si="5"/>
        <v>-0.1</v>
      </c>
      <c r="AF25" s="36" t="str">
        <f t="shared" si="6"/>
        <v/>
      </c>
      <c r="AG25" s="35">
        <v>-0.2</v>
      </c>
      <c r="AH25" s="35" t="str">
        <f t="shared" si="139"/>
        <v/>
      </c>
      <c r="AI25" s="35"/>
      <c r="AJ25" s="36"/>
      <c r="AK25" s="15">
        <f t="shared" si="8"/>
        <v>0</v>
      </c>
      <c r="AL25" s="15">
        <f t="shared" si="9"/>
        <v>5110</v>
      </c>
      <c r="AM25" s="15">
        <f t="shared" si="10"/>
        <v>10360</v>
      </c>
      <c r="AN25" s="15">
        <f t="shared" si="11"/>
        <v>10920</v>
      </c>
      <c r="AO25" s="3">
        <f t="shared" si="49"/>
        <v>10360</v>
      </c>
      <c r="AP25" s="138">
        <f>VLOOKUP($B25,'2022 counts'!$B$6:$R$304,17,FALSE)</f>
        <v>610</v>
      </c>
      <c r="AQ25" s="11">
        <f t="shared" si="12"/>
        <v>0.06</v>
      </c>
      <c r="AR25" s="2" t="str">
        <f t="shared" si="13"/>
        <v>C</v>
      </c>
      <c r="AS25" s="26">
        <f t="shared" si="50"/>
        <v>0.22</v>
      </c>
      <c r="AT25" s="15">
        <f>VLOOKUP($T25,'2020_CapacityTable'!$B$23:$F$45,2)</f>
        <v>0</v>
      </c>
      <c r="AU25" s="15">
        <f>VLOOKUP($T25,'2020_CapacityTable'!$B$23:$F$45,3)</f>
        <v>370</v>
      </c>
      <c r="AV25" s="15">
        <f>VLOOKUP($T25,'2020_CapacityTable'!$B$23:$F$45,4)</f>
        <v>750</v>
      </c>
      <c r="AW25" s="15">
        <f>VLOOKUP($T25,'2020_CapacityTable'!$B$23:$F$45,5)</f>
        <v>800</v>
      </c>
      <c r="AX25" s="15">
        <f t="shared" si="14"/>
        <v>0</v>
      </c>
      <c r="AY25" s="15">
        <f t="shared" si="15"/>
        <v>259</v>
      </c>
      <c r="AZ25" s="15">
        <f t="shared" si="16"/>
        <v>525</v>
      </c>
      <c r="BA25" s="15">
        <f t="shared" si="17"/>
        <v>560</v>
      </c>
      <c r="BB25" s="3">
        <f t="shared" si="18"/>
        <v>525</v>
      </c>
      <c r="BC25" s="138">
        <f>VLOOKUP($B25,'2022 counts'!$B$6:$AD$304,28,FALSE)</f>
        <v>42</v>
      </c>
      <c r="BD25" s="138">
        <f>VLOOKUP($B25,'2022 counts'!$B$6:$AD$304,29,FALSE)</f>
        <v>33</v>
      </c>
      <c r="BE25" s="11">
        <f t="shared" si="19"/>
        <v>0.08</v>
      </c>
      <c r="BF25" s="2" t="str">
        <f t="shared" si="20"/>
        <v>C</v>
      </c>
      <c r="BG25" s="135">
        <v>0</v>
      </c>
      <c r="BH25" s="135">
        <f>IF($AQ25="","",VLOOKUP($B25, '2022 counts'!$B$6:$T$304,19,FALSE))</f>
        <v>0</v>
      </c>
      <c r="BI25" s="38">
        <f t="shared" si="21"/>
        <v>0.01</v>
      </c>
      <c r="BJ25" s="39" t="str">
        <f t="shared" si="22"/>
        <v>minimum</v>
      </c>
      <c r="BK25" s="15">
        <f>VLOOKUP($U25,'2020_CapacityTable'!$B$49:$F$71,2)</f>
        <v>0</v>
      </c>
      <c r="BL25" s="15">
        <f>VLOOKUP($U25,'2020_CapacityTable'!$B$49:$F$71,3)</f>
        <v>7300</v>
      </c>
      <c r="BM25" s="15">
        <f>VLOOKUP($T25,'2020_CapacityTable'!$B$49:$F$71,4)</f>
        <v>14800</v>
      </c>
      <c r="BN25" s="15">
        <f>VLOOKUP($T25,'2020_CapacityTable'!$B$49:$F$71,5)</f>
        <v>15600</v>
      </c>
      <c r="BO25" s="15">
        <f t="shared" si="23"/>
        <v>0</v>
      </c>
      <c r="BP25" s="15">
        <f t="shared" si="24"/>
        <v>5110</v>
      </c>
      <c r="BQ25" s="15">
        <f t="shared" si="25"/>
        <v>10360</v>
      </c>
      <c r="BR25" s="15">
        <f t="shared" si="26"/>
        <v>10920</v>
      </c>
      <c r="BS25" s="3">
        <f t="shared" si="27"/>
        <v>10360</v>
      </c>
      <c r="BT25" s="40">
        <f>'State of the System - Sumter Co'!AD25</f>
        <v>641</v>
      </c>
      <c r="BU25" s="41">
        <f t="shared" si="28"/>
        <v>0.06</v>
      </c>
      <c r="BV25" s="2" t="str">
        <f t="shared" si="29"/>
        <v>C</v>
      </c>
      <c r="BW25" s="2">
        <f t="shared" si="30"/>
        <v>0.24</v>
      </c>
      <c r="BX25" s="15">
        <f>VLOOKUP($U25,'2020_CapacityTable'!$B$23:$F$45,2)</f>
        <v>0</v>
      </c>
      <c r="BY25" s="15">
        <f>VLOOKUP($U25,'2020_CapacityTable'!$B$23:$F$45,3)</f>
        <v>370</v>
      </c>
      <c r="BZ25" s="15">
        <f>VLOOKUP($U25,'2020_CapacityTable'!$B$23:$F$45,4)</f>
        <v>750</v>
      </c>
      <c r="CA25" s="15">
        <f>VLOOKUP($U25,'2020_CapacityTable'!$B$23:$F$45,5)</f>
        <v>800</v>
      </c>
      <c r="CB25" s="15">
        <f t="shared" si="31"/>
        <v>0</v>
      </c>
      <c r="CC25" s="15">
        <f t="shared" si="32"/>
        <v>259</v>
      </c>
      <c r="CD25" s="15">
        <f t="shared" si="33"/>
        <v>525</v>
      </c>
      <c r="CE25" s="15">
        <f t="shared" si="34"/>
        <v>560</v>
      </c>
      <c r="CF25" s="3">
        <f t="shared" si="35"/>
        <v>525</v>
      </c>
      <c r="CG25" s="2">
        <f>'State of the System - Sumter Co'!AH25</f>
        <v>44</v>
      </c>
      <c r="CH25" s="2">
        <f>'State of the System - Sumter Co'!AI25</f>
        <v>35</v>
      </c>
      <c r="CI25" s="11">
        <f t="shared" si="36"/>
        <v>0.08</v>
      </c>
      <c r="CJ25" s="2" t="str">
        <f t="shared" si="37"/>
        <v>C</v>
      </c>
      <c r="CK25" s="3">
        <f t="shared" si="51"/>
        <v>11794</v>
      </c>
      <c r="CL25" s="11">
        <f t="shared" si="38"/>
        <v>0.05</v>
      </c>
      <c r="CM25" s="140" t="str">
        <f t="shared" si="39"/>
        <v>NOT CONGESTED</v>
      </c>
      <c r="CN25" s="3">
        <f t="shared" si="40"/>
        <v>605</v>
      </c>
      <c r="CO25" s="11">
        <f t="shared" si="41"/>
        <v>7.0000000000000007E-2</v>
      </c>
      <c r="CP25" s="141" t="str">
        <f t="shared" si="42"/>
        <v>NOT CONGESTED</v>
      </c>
      <c r="CQ25" s="2"/>
      <c r="CR25" s="42"/>
      <c r="CS25" s="140" t="str">
        <f t="shared" si="43"/>
        <v/>
      </c>
      <c r="CT25" s="11" t="str">
        <f t="shared" si="44"/>
        <v/>
      </c>
      <c r="CU25" s="140" t="str">
        <f t="shared" si="52"/>
        <v/>
      </c>
      <c r="CV25" s="11" t="str">
        <f t="shared" si="45"/>
        <v/>
      </c>
      <c r="CW25" s="2"/>
      <c r="CX25" s="1"/>
      <c r="CY25" s="142" t="str">
        <f t="shared" si="46"/>
        <v/>
      </c>
      <c r="CZ25" s="32" t="str">
        <f t="shared" si="47"/>
        <v/>
      </c>
    </row>
    <row r="26" spans="1:104" ht="12.75" customHeight="1">
      <c r="A26" s="1">
        <v>6000</v>
      </c>
      <c r="B26" s="1">
        <f t="shared" si="48"/>
        <v>104</v>
      </c>
      <c r="C26" s="1">
        <v>200</v>
      </c>
      <c r="D26" s="1">
        <f>VLOOKUP(C26,'2022 counts'!$A$6:$B$304,2,FALSE)</f>
        <v>104</v>
      </c>
      <c r="E26" s="5" t="s">
        <v>243</v>
      </c>
      <c r="F26" s="2" t="s">
        <v>6</v>
      </c>
      <c r="G26" s="141">
        <v>30</v>
      </c>
      <c r="H26" s="11">
        <v>1.2629162972300001</v>
      </c>
      <c r="I26" s="10" t="s">
        <v>691</v>
      </c>
      <c r="J26" s="10" t="s">
        <v>23</v>
      </c>
      <c r="K26" s="10" t="s">
        <v>712</v>
      </c>
      <c r="L26" s="143">
        <v>2</v>
      </c>
      <c r="M26" s="1">
        <f>'State of the System - Sumter Co'!K26</f>
        <v>2</v>
      </c>
      <c r="N26" s="1" t="str">
        <f>IF('State of the System - Sumter Co'!L26="URBAN","U","R")</f>
        <v>U</v>
      </c>
      <c r="O26" s="1" t="str">
        <f>IF('State of the System - Sumter Co'!M26="UNDIVIDED","U",IF('State of the System - Sumter Co'!M26="DIVIDED","D","F"))</f>
        <v>U</v>
      </c>
      <c r="P26" s="1" t="str">
        <f>'State of the System - Sumter Co'!N26</f>
        <v>INTERRUPTED</v>
      </c>
      <c r="Q26" s="1" t="str">
        <f t="shared" si="0"/>
        <v/>
      </c>
      <c r="R26" s="1" t="str">
        <f>'State of the System - Sumter Co'!O26</f>
        <v/>
      </c>
      <c r="S26" s="1" t="str">
        <f t="shared" si="1"/>
        <v>-2</v>
      </c>
      <c r="T26" s="1" t="str">
        <f t="shared" si="2"/>
        <v>U-2U-2</v>
      </c>
      <c r="U26" s="1" t="str">
        <f t="shared" si="140"/>
        <v>U-2U-2</v>
      </c>
      <c r="V26" s="1" t="s">
        <v>10</v>
      </c>
      <c r="W26" s="1" t="s">
        <v>25</v>
      </c>
      <c r="X26" s="1" t="s">
        <v>21</v>
      </c>
      <c r="Y26" s="1" t="str">
        <f>'State of the System - Sumter Co'!R26</f>
        <v>D</v>
      </c>
      <c r="Z26" s="143" t="str">
        <f t="shared" si="4"/>
        <v>Other CMP Network Roadways</v>
      </c>
      <c r="AA26" s="15">
        <f>VLOOKUP($T26,'2020_CapacityTable'!$B$49:$F$71,2)</f>
        <v>0</v>
      </c>
      <c r="AB26" s="15">
        <f>VLOOKUP($T26,'2020_CapacityTable'!$B$49:$F$71,3)</f>
        <v>7300</v>
      </c>
      <c r="AC26" s="15">
        <f>VLOOKUP($T26,'2020_CapacityTable'!$B$49:$F$71,4)</f>
        <v>14800</v>
      </c>
      <c r="AD26" s="15">
        <f>VLOOKUP($T26,'2020_CapacityTable'!$B$49:$F$71,5)</f>
        <v>15600</v>
      </c>
      <c r="AE26" s="35">
        <f t="shared" si="5"/>
        <v>-0.1</v>
      </c>
      <c r="AF26" s="36" t="str">
        <f t="shared" si="6"/>
        <v/>
      </c>
      <c r="AG26" s="35"/>
      <c r="AH26" s="35" t="str">
        <f t="shared" si="139"/>
        <v/>
      </c>
      <c r="AI26" s="35"/>
      <c r="AJ26" s="36"/>
      <c r="AK26" s="15">
        <f t="shared" si="8"/>
        <v>0</v>
      </c>
      <c r="AL26" s="15">
        <f t="shared" si="9"/>
        <v>6570</v>
      </c>
      <c r="AM26" s="15">
        <f t="shared" si="10"/>
        <v>13320</v>
      </c>
      <c r="AN26" s="15">
        <f t="shared" si="11"/>
        <v>14040</v>
      </c>
      <c r="AO26" s="3">
        <f t="shared" si="49"/>
        <v>13320</v>
      </c>
      <c r="AP26" s="138">
        <f>VLOOKUP($B26,'2022 counts'!$B$6:$R$304,17,FALSE)</f>
        <v>505</v>
      </c>
      <c r="AQ26" s="11">
        <f t="shared" si="12"/>
        <v>0.04</v>
      </c>
      <c r="AR26" s="2" t="str">
        <f t="shared" si="13"/>
        <v>C</v>
      </c>
      <c r="AS26" s="26">
        <f t="shared" si="50"/>
        <v>0.23</v>
      </c>
      <c r="AT26" s="15">
        <f>VLOOKUP($T26,'2020_CapacityTable'!$B$23:$F$45,2)</f>
        <v>0</v>
      </c>
      <c r="AU26" s="15">
        <f>VLOOKUP($T26,'2020_CapacityTable'!$B$23:$F$45,3)</f>
        <v>370</v>
      </c>
      <c r="AV26" s="15">
        <f>VLOOKUP($T26,'2020_CapacityTable'!$B$23:$F$45,4)</f>
        <v>750</v>
      </c>
      <c r="AW26" s="15">
        <f>VLOOKUP($T26,'2020_CapacityTable'!$B$23:$F$45,5)</f>
        <v>800</v>
      </c>
      <c r="AX26" s="15">
        <f t="shared" si="14"/>
        <v>0</v>
      </c>
      <c r="AY26" s="15">
        <f t="shared" si="15"/>
        <v>333</v>
      </c>
      <c r="AZ26" s="15">
        <f t="shared" si="16"/>
        <v>675</v>
      </c>
      <c r="BA26" s="15">
        <f t="shared" si="17"/>
        <v>720</v>
      </c>
      <c r="BB26" s="3">
        <f t="shared" si="18"/>
        <v>675</v>
      </c>
      <c r="BC26" s="138">
        <f>VLOOKUP($B26,'2022 counts'!$B$6:$AD$304,28,FALSE)</f>
        <v>34</v>
      </c>
      <c r="BD26" s="138">
        <f>VLOOKUP($B26,'2022 counts'!$B$6:$AD$304,29,FALSE)</f>
        <v>20</v>
      </c>
      <c r="BE26" s="11">
        <f t="shared" si="19"/>
        <v>0.05</v>
      </c>
      <c r="BF26" s="2" t="str">
        <f t="shared" si="20"/>
        <v>C</v>
      </c>
      <c r="BG26" s="135">
        <v>2.75E-2</v>
      </c>
      <c r="BH26" s="135">
        <f>IF($AQ26="","",VLOOKUP($B26, '2022 counts'!$B$6:$T$304,19,FALSE))</f>
        <v>2.75E-2</v>
      </c>
      <c r="BI26" s="38">
        <f t="shared" si="21"/>
        <v>2.75E-2</v>
      </c>
      <c r="BJ26" s="39" t="str">
        <f t="shared" si="22"/>
        <v/>
      </c>
      <c r="BK26" s="15">
        <f>VLOOKUP($U26,'2020_CapacityTable'!$B$49:$F$71,2)</f>
        <v>0</v>
      </c>
      <c r="BL26" s="15">
        <f>VLOOKUP($U26,'2020_CapacityTable'!$B$49:$F$71,3)</f>
        <v>7300</v>
      </c>
      <c r="BM26" s="15">
        <f>VLOOKUP($T26,'2020_CapacityTable'!$B$49:$F$71,4)</f>
        <v>14800</v>
      </c>
      <c r="BN26" s="15">
        <f>VLOOKUP($T26,'2020_CapacityTable'!$B$49:$F$71,5)</f>
        <v>15600</v>
      </c>
      <c r="BO26" s="15">
        <f t="shared" si="23"/>
        <v>0</v>
      </c>
      <c r="BP26" s="15">
        <f t="shared" si="24"/>
        <v>6570</v>
      </c>
      <c r="BQ26" s="15">
        <f t="shared" si="25"/>
        <v>13320</v>
      </c>
      <c r="BR26" s="15">
        <f t="shared" si="26"/>
        <v>14040</v>
      </c>
      <c r="BS26" s="3">
        <f t="shared" si="27"/>
        <v>13320</v>
      </c>
      <c r="BT26" s="40">
        <f>'State of the System - Sumter Co'!AD26</f>
        <v>578</v>
      </c>
      <c r="BU26" s="41">
        <f t="shared" si="28"/>
        <v>0.04</v>
      </c>
      <c r="BV26" s="2" t="str">
        <f t="shared" si="29"/>
        <v>C</v>
      </c>
      <c r="BW26" s="2">
        <f t="shared" si="30"/>
        <v>0.27</v>
      </c>
      <c r="BX26" s="15">
        <f>VLOOKUP($U26,'2020_CapacityTable'!$B$23:$F$45,2)</f>
        <v>0</v>
      </c>
      <c r="BY26" s="15">
        <f>VLOOKUP($U26,'2020_CapacityTable'!$B$23:$F$45,3)</f>
        <v>370</v>
      </c>
      <c r="BZ26" s="15">
        <f>VLOOKUP($U26,'2020_CapacityTable'!$B$23:$F$45,4)</f>
        <v>750</v>
      </c>
      <c r="CA26" s="15">
        <f>VLOOKUP($U26,'2020_CapacityTable'!$B$23:$F$45,5)</f>
        <v>800</v>
      </c>
      <c r="CB26" s="15">
        <f t="shared" si="31"/>
        <v>0</v>
      </c>
      <c r="CC26" s="15">
        <f t="shared" si="32"/>
        <v>333</v>
      </c>
      <c r="CD26" s="15">
        <f t="shared" si="33"/>
        <v>675</v>
      </c>
      <c r="CE26" s="15">
        <f t="shared" si="34"/>
        <v>720</v>
      </c>
      <c r="CF26" s="3">
        <f t="shared" si="35"/>
        <v>675</v>
      </c>
      <c r="CG26" s="2">
        <f>'State of the System - Sumter Co'!AH26</f>
        <v>39</v>
      </c>
      <c r="CH26" s="2">
        <f>'State of the System - Sumter Co'!AI26</f>
        <v>23</v>
      </c>
      <c r="CI26" s="11">
        <f t="shared" si="36"/>
        <v>0.06</v>
      </c>
      <c r="CJ26" s="2" t="str">
        <f t="shared" si="37"/>
        <v>C</v>
      </c>
      <c r="CK26" s="3">
        <f t="shared" si="51"/>
        <v>15163</v>
      </c>
      <c r="CL26" s="11">
        <f t="shared" si="38"/>
        <v>0.04</v>
      </c>
      <c r="CM26" s="140" t="str">
        <f t="shared" si="39"/>
        <v>NOT CONGESTED</v>
      </c>
      <c r="CN26" s="3">
        <f t="shared" si="40"/>
        <v>778</v>
      </c>
      <c r="CO26" s="11">
        <f t="shared" si="41"/>
        <v>0.05</v>
      </c>
      <c r="CP26" s="141" t="str">
        <f t="shared" si="42"/>
        <v>NOT CONGESTED</v>
      </c>
      <c r="CQ26" s="2"/>
      <c r="CR26" s="42"/>
      <c r="CS26" s="140" t="str">
        <f t="shared" si="43"/>
        <v/>
      </c>
      <c r="CT26" s="11" t="str">
        <f t="shared" si="44"/>
        <v/>
      </c>
      <c r="CU26" s="140" t="str">
        <f t="shared" si="52"/>
        <v/>
      </c>
      <c r="CV26" s="11" t="str">
        <f t="shared" si="45"/>
        <v/>
      </c>
      <c r="CW26" s="2"/>
      <c r="CX26" s="1"/>
      <c r="CY26" s="142" t="str">
        <f t="shared" si="46"/>
        <v/>
      </c>
      <c r="CZ26" s="32" t="str">
        <f t="shared" si="47"/>
        <v/>
      </c>
    </row>
    <row r="27" spans="1:104" ht="12.75" customHeight="1">
      <c r="A27" s="2">
        <v>12500</v>
      </c>
      <c r="B27" s="1">
        <f t="shared" si="48"/>
        <v>184</v>
      </c>
      <c r="C27" s="33">
        <v>1250</v>
      </c>
      <c r="D27" s="1">
        <f>VLOOKUP(C27,'2022 counts'!$A$6:$B$304,2,FALSE)</f>
        <v>184</v>
      </c>
      <c r="E27" s="2"/>
      <c r="F27" s="2" t="s">
        <v>6</v>
      </c>
      <c r="G27" s="156">
        <v>55</v>
      </c>
      <c r="H27" s="11">
        <v>0.76</v>
      </c>
      <c r="I27" s="34" t="s">
        <v>106</v>
      </c>
      <c r="J27" s="34" t="s">
        <v>53</v>
      </c>
      <c r="K27" s="34" t="s">
        <v>54</v>
      </c>
      <c r="L27" s="157">
        <v>2</v>
      </c>
      <c r="M27" s="1">
        <f>'State of the System - Sumter Co'!K27</f>
        <v>2</v>
      </c>
      <c r="N27" s="1" t="str">
        <f>IF('State of the System - Sumter Co'!L27="URBAN","U","R")</f>
        <v>U</v>
      </c>
      <c r="O27" s="1" t="str">
        <f>IF('State of the System - Sumter Co'!M27="UNDIVIDED","U",IF('State of the System - Sumter Co'!M27="DIVIDED","D","F"))</f>
        <v>U</v>
      </c>
      <c r="P27" s="1" t="str">
        <f>'State of the System - Sumter Co'!N27</f>
        <v>INTERRUPTED</v>
      </c>
      <c r="Q27" s="1" t="str">
        <f t="shared" si="0"/>
        <v/>
      </c>
      <c r="R27" s="1" t="str">
        <f>'State of the System - Sumter Co'!O27</f>
        <v/>
      </c>
      <c r="S27" s="1" t="str">
        <f t="shared" si="1"/>
        <v>-1</v>
      </c>
      <c r="T27" s="1" t="str">
        <f t="shared" si="2"/>
        <v>U-2U-1</v>
      </c>
      <c r="U27" s="1" t="str">
        <f t="shared" si="140"/>
        <v>U-2U-1</v>
      </c>
      <c r="V27" s="1" t="s">
        <v>10</v>
      </c>
      <c r="W27" s="1" t="s">
        <v>11</v>
      </c>
      <c r="X27" s="1" t="s">
        <v>544</v>
      </c>
      <c r="Y27" s="1" t="str">
        <f>'State of the System - Sumter Co'!R27</f>
        <v>D</v>
      </c>
      <c r="Z27" s="157" t="str">
        <f t="shared" si="4"/>
        <v>Other CMP Network Roadways</v>
      </c>
      <c r="AA27" s="15">
        <f>VLOOKUP($T27,'2020_CapacityTable'!$B$49:$F$71,2)</f>
        <v>0</v>
      </c>
      <c r="AB27" s="15">
        <f>VLOOKUP($T27,'2020_CapacityTable'!$B$49:$F$71,3)</f>
        <v>16800</v>
      </c>
      <c r="AC27" s="15">
        <f>VLOOKUP($T27,'2020_CapacityTable'!$B$49:$F$71,4)</f>
        <v>17700</v>
      </c>
      <c r="AD27" s="15">
        <f>VLOOKUP($T27,'2020_CapacityTable'!$B$49:$F$71,5)</f>
        <v>17700</v>
      </c>
      <c r="AE27" s="35">
        <f t="shared" si="5"/>
        <v>-0.1</v>
      </c>
      <c r="AF27" s="36" t="str">
        <f t="shared" si="6"/>
        <v/>
      </c>
      <c r="AG27" s="2"/>
      <c r="AH27" s="2"/>
      <c r="AI27" s="2"/>
      <c r="AJ27" s="2"/>
      <c r="AK27" s="15">
        <f t="shared" si="8"/>
        <v>0</v>
      </c>
      <c r="AL27" s="15">
        <f t="shared" si="9"/>
        <v>15120</v>
      </c>
      <c r="AM27" s="15">
        <f t="shared" si="10"/>
        <v>15930</v>
      </c>
      <c r="AN27" s="15">
        <f t="shared" si="11"/>
        <v>15930</v>
      </c>
      <c r="AO27" s="3">
        <f t="shared" si="49"/>
        <v>15930</v>
      </c>
      <c r="AP27" s="138">
        <f>VLOOKUP($B27,'2022 counts'!$B$6:$R$304,17,FALSE)</f>
        <v>4177</v>
      </c>
      <c r="AQ27" s="11">
        <f t="shared" si="12"/>
        <v>0.26</v>
      </c>
      <c r="AR27" s="2" t="str">
        <f t="shared" si="13"/>
        <v>C</v>
      </c>
      <c r="AS27" s="26">
        <f t="shared" si="50"/>
        <v>1.1599999999999999</v>
      </c>
      <c r="AT27" s="15">
        <f>VLOOKUP($T27,'2020_CapacityTable'!$B$23:$F$45,2)</f>
        <v>0</v>
      </c>
      <c r="AU27" s="15">
        <f>VLOOKUP($T27,'2020_CapacityTable'!$B$23:$F$45,3)</f>
        <v>830</v>
      </c>
      <c r="AV27" s="15">
        <f>VLOOKUP($T27,'2020_CapacityTable'!$B$23:$F$45,4)</f>
        <v>880</v>
      </c>
      <c r="AW27" s="15">
        <f>VLOOKUP($T27,'2020_CapacityTable'!$B$23:$F$45,5)</f>
        <v>880</v>
      </c>
      <c r="AX27" s="15">
        <f t="shared" si="14"/>
        <v>0</v>
      </c>
      <c r="AY27" s="15">
        <f t="shared" si="15"/>
        <v>747</v>
      </c>
      <c r="AZ27" s="15">
        <f t="shared" si="16"/>
        <v>792</v>
      </c>
      <c r="BA27" s="15">
        <f t="shared" si="17"/>
        <v>792</v>
      </c>
      <c r="BB27" s="3">
        <f t="shared" si="18"/>
        <v>792</v>
      </c>
      <c r="BC27" s="138">
        <f>VLOOKUP($B27,'2022 counts'!$B$6:$AD$304,28,FALSE)</f>
        <v>253</v>
      </c>
      <c r="BD27" s="138">
        <f>VLOOKUP($B27,'2022 counts'!$B$6:$AD$304,29,FALSE)</f>
        <v>190</v>
      </c>
      <c r="BE27" s="11">
        <f t="shared" si="19"/>
        <v>0.32</v>
      </c>
      <c r="BF27" s="2" t="str">
        <f t="shared" si="20"/>
        <v>C</v>
      </c>
      <c r="BG27" s="135">
        <v>0</v>
      </c>
      <c r="BH27" s="135">
        <f>IF($AQ27="","",VLOOKUP($B27, '2022 counts'!$B$6:$T$304,19,FALSE))</f>
        <v>0</v>
      </c>
      <c r="BI27" s="38">
        <f t="shared" si="21"/>
        <v>0.01</v>
      </c>
      <c r="BJ27" s="39" t="str">
        <f t="shared" si="22"/>
        <v>minimum</v>
      </c>
      <c r="BK27" s="15">
        <f>VLOOKUP($U27,'2020_CapacityTable'!$B$49:$F$71,2)</f>
        <v>0</v>
      </c>
      <c r="BL27" s="15">
        <f>VLOOKUP($U27,'2020_CapacityTable'!$B$49:$F$71,3)</f>
        <v>16800</v>
      </c>
      <c r="BM27" s="15">
        <f>VLOOKUP($T27,'2020_CapacityTable'!$B$49:$F$71,4)</f>
        <v>17700</v>
      </c>
      <c r="BN27" s="15">
        <f>VLOOKUP($T27,'2020_CapacityTable'!$B$49:$F$71,5)</f>
        <v>17700</v>
      </c>
      <c r="BO27" s="15">
        <f t="shared" si="23"/>
        <v>0</v>
      </c>
      <c r="BP27" s="15">
        <f t="shared" si="24"/>
        <v>15120</v>
      </c>
      <c r="BQ27" s="15">
        <f t="shared" si="25"/>
        <v>15930</v>
      </c>
      <c r="BR27" s="15">
        <f t="shared" si="26"/>
        <v>15930</v>
      </c>
      <c r="BS27" s="3">
        <f t="shared" si="27"/>
        <v>15930</v>
      </c>
      <c r="BT27" s="40">
        <f>'State of the System - Sumter Co'!AD27</f>
        <v>4390</v>
      </c>
      <c r="BU27" s="41">
        <f t="shared" si="28"/>
        <v>0.28000000000000003</v>
      </c>
      <c r="BV27" s="2" t="str">
        <f t="shared" si="29"/>
        <v>C</v>
      </c>
      <c r="BW27" s="2">
        <f t="shared" si="30"/>
        <v>1.22</v>
      </c>
      <c r="BX27" s="15">
        <f>VLOOKUP($U27,'2020_CapacityTable'!$B$23:$F$45,2)</f>
        <v>0</v>
      </c>
      <c r="BY27" s="15">
        <f>VLOOKUP($U27,'2020_CapacityTable'!$B$23:$F$45,3)</f>
        <v>830</v>
      </c>
      <c r="BZ27" s="15">
        <f>VLOOKUP($U27,'2020_CapacityTable'!$B$23:$F$45,4)</f>
        <v>880</v>
      </c>
      <c r="CA27" s="15">
        <f>VLOOKUP($U27,'2020_CapacityTable'!$B$23:$F$45,5)</f>
        <v>880</v>
      </c>
      <c r="CB27" s="15">
        <f t="shared" si="31"/>
        <v>0</v>
      </c>
      <c r="CC27" s="15">
        <f t="shared" si="32"/>
        <v>747</v>
      </c>
      <c r="CD27" s="15">
        <f t="shared" si="33"/>
        <v>792</v>
      </c>
      <c r="CE27" s="15">
        <f t="shared" si="34"/>
        <v>792</v>
      </c>
      <c r="CF27" s="3">
        <f t="shared" si="35"/>
        <v>792</v>
      </c>
      <c r="CG27" s="2">
        <f>'State of the System - Sumter Co'!AH27</f>
        <v>266</v>
      </c>
      <c r="CH27" s="2">
        <f>'State of the System - Sumter Co'!AI27</f>
        <v>200</v>
      </c>
      <c r="CI27" s="11">
        <f t="shared" si="36"/>
        <v>0.34</v>
      </c>
      <c r="CJ27" s="2" t="str">
        <f t="shared" si="37"/>
        <v>C</v>
      </c>
      <c r="CK27" s="3">
        <f t="shared" si="51"/>
        <v>17204</v>
      </c>
      <c r="CL27" s="11">
        <f t="shared" si="38"/>
        <v>0.26</v>
      </c>
      <c r="CM27" s="11" t="str">
        <f t="shared" si="39"/>
        <v>NOT CONGESTED</v>
      </c>
      <c r="CN27" s="3">
        <f t="shared" si="40"/>
        <v>855</v>
      </c>
      <c r="CO27" s="11">
        <f t="shared" si="41"/>
        <v>0.31</v>
      </c>
      <c r="CP27" s="156" t="str">
        <f t="shared" si="42"/>
        <v>NOT CONGESTED</v>
      </c>
      <c r="CQ27" s="2"/>
      <c r="CR27" s="42"/>
      <c r="CS27" s="11" t="str">
        <f t="shared" si="43"/>
        <v/>
      </c>
      <c r="CT27" s="11" t="str">
        <f t="shared" si="44"/>
        <v/>
      </c>
      <c r="CU27" s="11" t="str">
        <f t="shared" si="52"/>
        <v/>
      </c>
      <c r="CV27" s="11" t="str">
        <f t="shared" si="45"/>
        <v/>
      </c>
      <c r="CW27" s="2"/>
      <c r="CX27" s="1"/>
      <c r="CY27" s="145" t="str">
        <f t="shared" si="46"/>
        <v/>
      </c>
      <c r="CZ27" s="32" t="str">
        <f t="shared" si="47"/>
        <v/>
      </c>
    </row>
    <row r="28" spans="1:104" ht="12.75" customHeight="1">
      <c r="A28" s="1">
        <v>325310</v>
      </c>
      <c r="B28" s="1">
        <f t="shared" si="48"/>
        <v>180122</v>
      </c>
      <c r="C28" s="1">
        <v>180122</v>
      </c>
      <c r="D28" s="1">
        <f>VLOOKUP(C28,'2022 counts'!$A$6:$B$304,2,FALSE)</f>
        <v>180122</v>
      </c>
      <c r="E28" s="1">
        <v>180122</v>
      </c>
      <c r="F28" s="2" t="s">
        <v>136</v>
      </c>
      <c r="G28" s="156">
        <v>60</v>
      </c>
      <c r="H28" s="11">
        <v>2.72908349725</v>
      </c>
      <c r="I28" s="10" t="s">
        <v>40</v>
      </c>
      <c r="J28" s="10" t="s">
        <v>161</v>
      </c>
      <c r="K28" s="10" t="s">
        <v>713</v>
      </c>
      <c r="L28" s="157">
        <v>2</v>
      </c>
      <c r="M28" s="1">
        <f>'State of the System - Sumter Co'!K28</f>
        <v>2</v>
      </c>
      <c r="N28" s="1" t="str">
        <f>IF('State of the System - Sumter Co'!L28="URBAN","U","R")</f>
        <v>R</v>
      </c>
      <c r="O28" s="1" t="str">
        <f>IF('State of the System - Sumter Co'!M28="UNDIVIDED","U",IF('State of the System - Sumter Co'!M28="DIVIDED","D","F"))</f>
        <v>U</v>
      </c>
      <c r="P28" s="1" t="str">
        <f>'State of the System - Sumter Co'!N28</f>
        <v>UNINTERRUPTED</v>
      </c>
      <c r="Q28" s="1" t="str">
        <f t="shared" si="0"/>
        <v>z</v>
      </c>
      <c r="R28" s="1" t="str">
        <f>'State of the System - Sumter Co'!O28</f>
        <v>UNDEVELOPED</v>
      </c>
      <c r="S28" s="1" t="str">
        <f t="shared" si="1"/>
        <v/>
      </c>
      <c r="T28" s="1" t="str">
        <f t="shared" si="2"/>
        <v>R-2Uz</v>
      </c>
      <c r="U28" s="1" t="str">
        <f t="shared" si="140"/>
        <v>R-2Uz</v>
      </c>
      <c r="V28" s="1" t="s">
        <v>137</v>
      </c>
      <c r="W28" s="1" t="s">
        <v>11</v>
      </c>
      <c r="X28" s="1" t="s">
        <v>138</v>
      </c>
      <c r="Y28" s="1" t="str">
        <f>'State of the System - Sumter Co'!R28</f>
        <v>C</v>
      </c>
      <c r="Z28" s="157" t="str">
        <f t="shared" si="4"/>
        <v>NHS Non-Interstate</v>
      </c>
      <c r="AA28" s="15">
        <f>VLOOKUP($T28,'2020_CapacityTable'!$B$49:$F$71,2)</f>
        <v>4600</v>
      </c>
      <c r="AB28" s="15">
        <f>VLOOKUP($T28,'2020_CapacityTable'!$B$49:$F$71,3)</f>
        <v>8600</v>
      </c>
      <c r="AC28" s="15">
        <f>VLOOKUP($T28,'2020_CapacityTable'!$B$49:$F$71,4)</f>
        <v>14000</v>
      </c>
      <c r="AD28" s="15">
        <f>VLOOKUP($T28,'2020_CapacityTable'!$B$49:$F$71,5)</f>
        <v>28500</v>
      </c>
      <c r="AE28" s="35" t="str">
        <f t="shared" si="5"/>
        <v/>
      </c>
      <c r="AF28" s="36" t="str">
        <f t="shared" si="6"/>
        <v/>
      </c>
      <c r="AG28" s="35" t="str">
        <f>IF(AND(L28=2,P28="interrupted",O28="U"),"LOOK","")</f>
        <v/>
      </c>
      <c r="AH28" s="35" t="str">
        <f>IF(O28="U",IF(L28&gt;2,"LOOK",""),"")</f>
        <v/>
      </c>
      <c r="AI28" s="35"/>
      <c r="AJ28" s="36"/>
      <c r="AK28" s="15">
        <f t="shared" si="8"/>
        <v>4600</v>
      </c>
      <c r="AL28" s="15">
        <f t="shared" si="9"/>
        <v>8600</v>
      </c>
      <c r="AM28" s="15">
        <f t="shared" si="10"/>
        <v>14000</v>
      </c>
      <c r="AN28" s="15">
        <f t="shared" si="11"/>
        <v>28500</v>
      </c>
      <c r="AO28" s="3">
        <f t="shared" si="49"/>
        <v>8600</v>
      </c>
      <c r="AP28" s="138">
        <f>VLOOKUP($B28,'2022 counts'!$B$6:$R$304,17,FALSE)</f>
        <v>5770</v>
      </c>
      <c r="AQ28" s="11">
        <f t="shared" si="12"/>
        <v>0.67</v>
      </c>
      <c r="AR28" s="2" t="str">
        <f t="shared" si="13"/>
        <v>C</v>
      </c>
      <c r="AS28" s="26">
        <f t="shared" si="50"/>
        <v>5.75</v>
      </c>
      <c r="AT28" s="15">
        <f>VLOOKUP($T28,'2020_CapacityTable'!$B$23:$F$45,2)</f>
        <v>240</v>
      </c>
      <c r="AU28" s="15">
        <f>VLOOKUP($T28,'2020_CapacityTable'!$B$23:$F$45,3)</f>
        <v>450</v>
      </c>
      <c r="AV28" s="15">
        <f>VLOOKUP($T28,'2020_CapacityTable'!$B$23:$F$45,4)</f>
        <v>730</v>
      </c>
      <c r="AW28" s="15">
        <f>VLOOKUP($T28,'2020_CapacityTable'!$B$23:$F$45,5)</f>
        <v>1490</v>
      </c>
      <c r="AX28" s="15">
        <f t="shared" si="14"/>
        <v>240</v>
      </c>
      <c r="AY28" s="15">
        <f t="shared" si="15"/>
        <v>450</v>
      </c>
      <c r="AZ28" s="15">
        <f t="shared" si="16"/>
        <v>730</v>
      </c>
      <c r="BA28" s="15">
        <f t="shared" si="17"/>
        <v>1490</v>
      </c>
      <c r="BB28" s="3">
        <f t="shared" si="18"/>
        <v>450</v>
      </c>
      <c r="BC28" s="138">
        <f>VLOOKUP($B28,'2022 counts'!$B$6:$AD$304,28,FALSE)</f>
        <v>191</v>
      </c>
      <c r="BD28" s="138">
        <f>VLOOKUP($B28,'2022 counts'!$B$6:$AD$304,29,FALSE)</f>
        <v>259</v>
      </c>
      <c r="BE28" s="11">
        <f t="shared" si="19"/>
        <v>0.57999999999999996</v>
      </c>
      <c r="BF28" s="2" t="str">
        <f t="shared" si="20"/>
        <v>C</v>
      </c>
      <c r="BG28" s="135">
        <v>1.2500000000000001E-2</v>
      </c>
      <c r="BH28" s="135">
        <f>IF($AQ28="","",VLOOKUP($B28, '2022 counts'!$B$6:$T$304,19,FALSE))</f>
        <v>1.2500000000000001E-2</v>
      </c>
      <c r="BI28" s="38">
        <f t="shared" si="21"/>
        <v>1.2500000000000001E-2</v>
      </c>
      <c r="BJ28" s="39" t="str">
        <f t="shared" si="22"/>
        <v/>
      </c>
      <c r="BK28" s="15">
        <f>VLOOKUP($U28,'2020_CapacityTable'!$B$49:$F$71,2)</f>
        <v>4600</v>
      </c>
      <c r="BL28" s="15">
        <f>VLOOKUP($U28,'2020_CapacityTable'!$B$49:$F$71,3)</f>
        <v>8600</v>
      </c>
      <c r="BM28" s="15">
        <f>VLOOKUP($T28,'2020_CapacityTable'!$B$49:$F$71,4)</f>
        <v>14000</v>
      </c>
      <c r="BN28" s="15">
        <f>VLOOKUP($T28,'2020_CapacityTable'!$B$49:$F$71,5)</f>
        <v>28500</v>
      </c>
      <c r="BO28" s="15">
        <f t="shared" si="23"/>
        <v>4600</v>
      </c>
      <c r="BP28" s="15">
        <f t="shared" si="24"/>
        <v>8600</v>
      </c>
      <c r="BQ28" s="15">
        <f t="shared" si="25"/>
        <v>14000</v>
      </c>
      <c r="BR28" s="15">
        <f t="shared" si="26"/>
        <v>28500</v>
      </c>
      <c r="BS28" s="3">
        <f t="shared" si="27"/>
        <v>8600</v>
      </c>
      <c r="BT28" s="40">
        <f>'State of the System - Sumter Co'!AD28</f>
        <v>6140</v>
      </c>
      <c r="BU28" s="41">
        <f t="shared" si="28"/>
        <v>0.71</v>
      </c>
      <c r="BV28" s="2" t="str">
        <f t="shared" si="29"/>
        <v>C</v>
      </c>
      <c r="BW28" s="2">
        <f t="shared" si="30"/>
        <v>6.12</v>
      </c>
      <c r="BX28" s="15">
        <f>VLOOKUP($U28,'2020_CapacityTable'!$B$23:$F$45,2)</f>
        <v>240</v>
      </c>
      <c r="BY28" s="15">
        <f>VLOOKUP($U28,'2020_CapacityTable'!$B$23:$F$45,3)</f>
        <v>450</v>
      </c>
      <c r="BZ28" s="15">
        <f>VLOOKUP($U28,'2020_CapacityTable'!$B$23:$F$45,4)</f>
        <v>730</v>
      </c>
      <c r="CA28" s="15">
        <f>VLOOKUP($U28,'2020_CapacityTable'!$B$23:$F$45,5)</f>
        <v>1490</v>
      </c>
      <c r="CB28" s="15">
        <f t="shared" si="31"/>
        <v>240</v>
      </c>
      <c r="CC28" s="15">
        <f t="shared" si="32"/>
        <v>450</v>
      </c>
      <c r="CD28" s="15">
        <f t="shared" si="33"/>
        <v>730</v>
      </c>
      <c r="CE28" s="15">
        <f t="shared" si="34"/>
        <v>1490</v>
      </c>
      <c r="CF28" s="3">
        <f t="shared" si="35"/>
        <v>450</v>
      </c>
      <c r="CG28" s="2">
        <f>'State of the System - Sumter Co'!AH28</f>
        <v>203</v>
      </c>
      <c r="CH28" s="2">
        <f>'State of the System - Sumter Co'!AI28</f>
        <v>276</v>
      </c>
      <c r="CI28" s="11">
        <f t="shared" si="36"/>
        <v>0.61</v>
      </c>
      <c r="CJ28" s="2" t="str">
        <f t="shared" si="37"/>
        <v>C</v>
      </c>
      <c r="CK28" s="3">
        <f t="shared" si="51"/>
        <v>30780</v>
      </c>
      <c r="CL28" s="11">
        <f t="shared" si="38"/>
        <v>0.2</v>
      </c>
      <c r="CM28" s="11" t="str">
        <f t="shared" si="39"/>
        <v>NOT CONGESTED</v>
      </c>
      <c r="CN28" s="3">
        <f t="shared" si="40"/>
        <v>1609</v>
      </c>
      <c r="CO28" s="11">
        <f t="shared" si="41"/>
        <v>0.17</v>
      </c>
      <c r="CP28" s="156" t="str">
        <f t="shared" si="42"/>
        <v>NOT CONGESTED</v>
      </c>
      <c r="CQ28" s="3"/>
      <c r="CR28" s="3"/>
      <c r="CS28" s="11" t="str">
        <f t="shared" si="43"/>
        <v/>
      </c>
      <c r="CT28" s="11" t="str">
        <f t="shared" si="44"/>
        <v/>
      </c>
      <c r="CU28" s="11" t="str">
        <f t="shared" si="52"/>
        <v/>
      </c>
      <c r="CV28" s="11" t="str">
        <f t="shared" si="45"/>
        <v/>
      </c>
      <c r="CW28" s="2"/>
      <c r="CX28" s="1" t="s">
        <v>585</v>
      </c>
      <c r="CY28" s="145" t="str">
        <f t="shared" si="46"/>
        <v/>
      </c>
      <c r="CZ28" s="32" t="str">
        <f t="shared" si="47"/>
        <v/>
      </c>
    </row>
    <row r="29" spans="1:104" ht="12.75" customHeight="1">
      <c r="A29" s="1">
        <v>3221000</v>
      </c>
      <c r="B29" s="1">
        <f t="shared" si="48"/>
        <v>99</v>
      </c>
      <c r="C29" s="1">
        <v>382</v>
      </c>
      <c r="D29" s="1">
        <f>VLOOKUP(C29,'2022 counts'!$A$6:$B$304,2,FALSE)</f>
        <v>99</v>
      </c>
      <c r="E29" s="5" t="s">
        <v>243</v>
      </c>
      <c r="F29" s="2" t="s">
        <v>6</v>
      </c>
      <c r="G29" s="156">
        <v>25</v>
      </c>
      <c r="H29" s="11">
        <v>1.3973313135500001</v>
      </c>
      <c r="I29" s="10" t="s">
        <v>111</v>
      </c>
      <c r="J29" s="10" t="s">
        <v>40</v>
      </c>
      <c r="K29" s="10" t="s">
        <v>23</v>
      </c>
      <c r="L29" s="157">
        <v>2</v>
      </c>
      <c r="M29" s="1">
        <f>'State of the System - Sumter Co'!K29</f>
        <v>2</v>
      </c>
      <c r="N29" s="1" t="str">
        <f>IF('State of the System - Sumter Co'!L29="URBAN","U","R")</f>
        <v>U</v>
      </c>
      <c r="O29" s="1" t="str">
        <f>IF('State of the System - Sumter Co'!M29="UNDIVIDED","U",IF('State of the System - Sumter Co'!M29="DIVIDED","D","F"))</f>
        <v>U</v>
      </c>
      <c r="P29" s="1" t="str">
        <f>'State of the System - Sumter Co'!N29</f>
        <v>INTERRUPTED</v>
      </c>
      <c r="Q29" s="1" t="str">
        <f t="shared" si="0"/>
        <v/>
      </c>
      <c r="R29" s="1" t="str">
        <f>'State of the System - Sumter Co'!O29</f>
        <v/>
      </c>
      <c r="S29" s="1" t="str">
        <f t="shared" si="1"/>
        <v>-2</v>
      </c>
      <c r="T29" s="1" t="str">
        <f t="shared" si="2"/>
        <v>U-2U-2</v>
      </c>
      <c r="U29" s="1" t="str">
        <f t="shared" si="140"/>
        <v>U-2U-2</v>
      </c>
      <c r="V29" s="1" t="s">
        <v>10</v>
      </c>
      <c r="W29" s="1" t="s">
        <v>25</v>
      </c>
      <c r="X29" s="1" t="s">
        <v>21</v>
      </c>
      <c r="Y29" s="1" t="str">
        <f>'State of the System - Sumter Co'!R29</f>
        <v>D</v>
      </c>
      <c r="Z29" s="157" t="str">
        <f t="shared" si="4"/>
        <v>Other CMP Network Roadways</v>
      </c>
      <c r="AA29" s="15">
        <f>VLOOKUP($T29,'2020_CapacityTable'!$B$49:$F$71,2)</f>
        <v>0</v>
      </c>
      <c r="AB29" s="15">
        <f>VLOOKUP($T29,'2020_CapacityTable'!$B$49:$F$71,3)</f>
        <v>7300</v>
      </c>
      <c r="AC29" s="15">
        <f>VLOOKUP($T29,'2020_CapacityTable'!$B$49:$F$71,4)</f>
        <v>14800</v>
      </c>
      <c r="AD29" s="15">
        <f>VLOOKUP($T29,'2020_CapacityTable'!$B$49:$F$71,5)</f>
        <v>15600</v>
      </c>
      <c r="AE29" s="35">
        <f t="shared" si="5"/>
        <v>-0.1</v>
      </c>
      <c r="AF29" s="36" t="str">
        <f t="shared" si="6"/>
        <v/>
      </c>
      <c r="AG29" s="35">
        <v>-0.2</v>
      </c>
      <c r="AH29" s="35" t="str">
        <f>IF($O29="U",IF($L29&gt;2,"LOOK",""),"")</f>
        <v/>
      </c>
      <c r="AI29" s="35"/>
      <c r="AJ29" s="36"/>
      <c r="AK29" s="15">
        <f t="shared" si="8"/>
        <v>0</v>
      </c>
      <c r="AL29" s="15">
        <f t="shared" si="9"/>
        <v>5110</v>
      </c>
      <c r="AM29" s="15">
        <f t="shared" si="10"/>
        <v>10360</v>
      </c>
      <c r="AN29" s="15">
        <f t="shared" si="11"/>
        <v>10920</v>
      </c>
      <c r="AO29" s="3">
        <f t="shared" si="49"/>
        <v>10360</v>
      </c>
      <c r="AP29" s="138">
        <f>VLOOKUP($B29,'2022 counts'!$B$6:$R$304,17,FALSE)</f>
        <v>1396</v>
      </c>
      <c r="AQ29" s="11">
        <f t="shared" si="12"/>
        <v>0.13</v>
      </c>
      <c r="AR29" s="2" t="str">
        <f t="shared" si="13"/>
        <v>C</v>
      </c>
      <c r="AS29" s="26">
        <f t="shared" si="50"/>
        <v>0.71</v>
      </c>
      <c r="AT29" s="15">
        <f>VLOOKUP($T29,'2020_CapacityTable'!$B$23:$F$45,2)</f>
        <v>0</v>
      </c>
      <c r="AU29" s="15">
        <f>VLOOKUP($T29,'2020_CapacityTable'!$B$23:$F$45,3)</f>
        <v>370</v>
      </c>
      <c r="AV29" s="15">
        <f>VLOOKUP($T29,'2020_CapacityTable'!$B$23:$F$45,4)</f>
        <v>750</v>
      </c>
      <c r="AW29" s="15">
        <f>VLOOKUP($T29,'2020_CapacityTable'!$B$23:$F$45,5)</f>
        <v>800</v>
      </c>
      <c r="AX29" s="15">
        <f t="shared" si="14"/>
        <v>0</v>
      </c>
      <c r="AY29" s="15">
        <f t="shared" si="15"/>
        <v>259</v>
      </c>
      <c r="AZ29" s="15">
        <f t="shared" si="16"/>
        <v>525</v>
      </c>
      <c r="BA29" s="15">
        <f t="shared" si="17"/>
        <v>560</v>
      </c>
      <c r="BB29" s="3">
        <f t="shared" si="18"/>
        <v>525</v>
      </c>
      <c r="BC29" s="138">
        <f>VLOOKUP($B29,'2022 counts'!$B$6:$AD$304,28,FALSE)</f>
        <v>59</v>
      </c>
      <c r="BD29" s="138">
        <f>VLOOKUP($B29,'2022 counts'!$B$6:$AD$304,29,FALSE)</f>
        <v>57</v>
      </c>
      <c r="BE29" s="11">
        <f t="shared" si="19"/>
        <v>0.11</v>
      </c>
      <c r="BF29" s="2" t="str">
        <f t="shared" si="20"/>
        <v>C</v>
      </c>
      <c r="BG29" s="135">
        <v>5.5E-2</v>
      </c>
      <c r="BH29" s="135">
        <f>IF($AQ29="","",VLOOKUP($B29, '2022 counts'!$B$6:$T$304,19,FALSE))</f>
        <v>5.5E-2</v>
      </c>
      <c r="BI29" s="38">
        <f t="shared" si="21"/>
        <v>5.5E-2</v>
      </c>
      <c r="BJ29" s="39" t="str">
        <f t="shared" si="22"/>
        <v/>
      </c>
      <c r="BK29" s="15">
        <f>VLOOKUP($U29,'2020_CapacityTable'!$B$49:$F$71,2)</f>
        <v>0</v>
      </c>
      <c r="BL29" s="15">
        <f>VLOOKUP($U29,'2020_CapacityTable'!$B$49:$F$71,3)</f>
        <v>7300</v>
      </c>
      <c r="BM29" s="15">
        <f>VLOOKUP($T29,'2020_CapacityTable'!$B$49:$F$71,4)</f>
        <v>14800</v>
      </c>
      <c r="BN29" s="15">
        <f>VLOOKUP($T29,'2020_CapacityTable'!$B$49:$F$71,5)</f>
        <v>15600</v>
      </c>
      <c r="BO29" s="15">
        <f t="shared" si="23"/>
        <v>0</v>
      </c>
      <c r="BP29" s="15">
        <f t="shared" si="24"/>
        <v>5110</v>
      </c>
      <c r="BQ29" s="15">
        <f t="shared" si="25"/>
        <v>10360</v>
      </c>
      <c r="BR29" s="15">
        <f t="shared" si="26"/>
        <v>10920</v>
      </c>
      <c r="BS29" s="3">
        <f t="shared" si="27"/>
        <v>10360</v>
      </c>
      <c r="BT29" s="40">
        <f>'State of the System - Sumter Co'!AD29</f>
        <v>1825</v>
      </c>
      <c r="BU29" s="41">
        <f t="shared" si="28"/>
        <v>0.18</v>
      </c>
      <c r="BV29" s="2" t="str">
        <f t="shared" si="29"/>
        <v>C</v>
      </c>
      <c r="BW29" s="2">
        <f t="shared" si="30"/>
        <v>0.93</v>
      </c>
      <c r="BX29" s="15">
        <f>VLOOKUP($U29,'2020_CapacityTable'!$B$23:$F$45,2)</f>
        <v>0</v>
      </c>
      <c r="BY29" s="15">
        <f>VLOOKUP($U29,'2020_CapacityTable'!$B$23:$F$45,3)</f>
        <v>370</v>
      </c>
      <c r="BZ29" s="15">
        <f>VLOOKUP($U29,'2020_CapacityTable'!$B$23:$F$45,4)</f>
        <v>750</v>
      </c>
      <c r="CA29" s="15">
        <f>VLOOKUP($U29,'2020_CapacityTable'!$B$23:$F$45,5)</f>
        <v>800</v>
      </c>
      <c r="CB29" s="15">
        <f t="shared" si="31"/>
        <v>0</v>
      </c>
      <c r="CC29" s="15">
        <f t="shared" si="32"/>
        <v>259</v>
      </c>
      <c r="CD29" s="15">
        <f t="shared" si="33"/>
        <v>525</v>
      </c>
      <c r="CE29" s="15">
        <f t="shared" si="34"/>
        <v>560</v>
      </c>
      <c r="CF29" s="3">
        <f t="shared" si="35"/>
        <v>525</v>
      </c>
      <c r="CG29" s="2">
        <f>'State of the System - Sumter Co'!AH29</f>
        <v>77</v>
      </c>
      <c r="CH29" s="2">
        <f>'State of the System - Sumter Co'!AI29</f>
        <v>74</v>
      </c>
      <c r="CI29" s="11">
        <f t="shared" si="36"/>
        <v>0.15</v>
      </c>
      <c r="CJ29" s="2" t="str">
        <f t="shared" si="37"/>
        <v>C</v>
      </c>
      <c r="CK29" s="3">
        <f t="shared" si="51"/>
        <v>11794</v>
      </c>
      <c r="CL29" s="11">
        <f t="shared" si="38"/>
        <v>0.15</v>
      </c>
      <c r="CM29" s="11" t="str">
        <f t="shared" si="39"/>
        <v>NOT CONGESTED</v>
      </c>
      <c r="CN29" s="3">
        <f t="shared" si="40"/>
        <v>605</v>
      </c>
      <c r="CO29" s="11">
        <f t="shared" si="41"/>
        <v>0.13</v>
      </c>
      <c r="CP29" s="156" t="str">
        <f t="shared" si="42"/>
        <v>NOT CONGESTED</v>
      </c>
      <c r="CQ29" s="2"/>
      <c r="CR29" s="42"/>
      <c r="CS29" s="11" t="str">
        <f t="shared" si="43"/>
        <v/>
      </c>
      <c r="CT29" s="11" t="str">
        <f t="shared" si="44"/>
        <v/>
      </c>
      <c r="CU29" s="11" t="str">
        <f t="shared" si="52"/>
        <v/>
      </c>
      <c r="CV29" s="11" t="str">
        <f t="shared" si="45"/>
        <v/>
      </c>
      <c r="CW29" s="2"/>
      <c r="CX29" s="1"/>
      <c r="CY29" s="145" t="str">
        <f t="shared" si="46"/>
        <v/>
      </c>
      <c r="CZ29" s="32" t="str">
        <f t="shared" si="47"/>
        <v/>
      </c>
    </row>
    <row r="30" spans="1:104" ht="12.75" customHeight="1">
      <c r="A30" s="1">
        <v>3223000</v>
      </c>
      <c r="B30" s="1">
        <f t="shared" si="48"/>
        <v>113</v>
      </c>
      <c r="C30" s="1">
        <v>115</v>
      </c>
      <c r="D30" s="1">
        <f>VLOOKUP(C30,'2022 counts'!$A$6:$B$304,2,FALSE)</f>
        <v>113</v>
      </c>
      <c r="E30" s="1"/>
      <c r="F30" s="2" t="s">
        <v>6</v>
      </c>
      <c r="G30" s="156">
        <v>45</v>
      </c>
      <c r="H30" s="11">
        <v>3.5333167224799999</v>
      </c>
      <c r="I30" s="10" t="s">
        <v>118</v>
      </c>
      <c r="J30" s="10" t="s">
        <v>66</v>
      </c>
      <c r="K30" s="10" t="s">
        <v>119</v>
      </c>
      <c r="L30" s="157">
        <v>2</v>
      </c>
      <c r="M30" s="1">
        <f>'State of the System - Sumter Co'!K30</f>
        <v>2</v>
      </c>
      <c r="N30" s="1" t="str">
        <f>IF('State of the System - Sumter Co'!L30="URBAN","U","R")</f>
        <v>R</v>
      </c>
      <c r="O30" s="1" t="str">
        <f>IF('State of the System - Sumter Co'!M30="UNDIVIDED","U",IF('State of the System - Sumter Co'!M30="DIVIDED","D","F"))</f>
        <v>U</v>
      </c>
      <c r="P30" s="1" t="str">
        <f>'State of the System - Sumter Co'!N30</f>
        <v>UNINTERRUPTED</v>
      </c>
      <c r="Q30" s="1" t="str">
        <f t="shared" si="0"/>
        <v>y</v>
      </c>
      <c r="R30" s="1" t="str">
        <f>'State of the System - Sumter Co'!O30</f>
        <v>DEVELOPED</v>
      </c>
      <c r="S30" s="1" t="str">
        <f t="shared" si="1"/>
        <v/>
      </c>
      <c r="T30" s="1" t="str">
        <f t="shared" si="2"/>
        <v>R-2Uy</v>
      </c>
      <c r="U30" s="1" t="str">
        <f t="shared" si="140"/>
        <v>R-2Uy</v>
      </c>
      <c r="V30" s="1" t="s">
        <v>10</v>
      </c>
      <c r="W30" s="1" t="s">
        <v>11</v>
      </c>
      <c r="X30" s="1" t="s">
        <v>12</v>
      </c>
      <c r="Y30" s="1" t="str">
        <f>'State of the System - Sumter Co'!R30</f>
        <v>C</v>
      </c>
      <c r="Z30" s="157" t="str">
        <f t="shared" si="4"/>
        <v>Other CMP Network Roadways</v>
      </c>
      <c r="AA30" s="15">
        <f>VLOOKUP($T30,'2020_CapacityTable'!$B$49:$F$71,2)</f>
        <v>10300</v>
      </c>
      <c r="AB30" s="15">
        <f>VLOOKUP($T30,'2020_CapacityTable'!$B$49:$F$71,3)</f>
        <v>15700</v>
      </c>
      <c r="AC30" s="15">
        <f>VLOOKUP($T30,'2020_CapacityTable'!$B$49:$F$71,4)</f>
        <v>21300</v>
      </c>
      <c r="AD30" s="15">
        <f>VLOOKUP($T30,'2020_CapacityTable'!$B$49:$F$71,5)</f>
        <v>28500</v>
      </c>
      <c r="AE30" s="35"/>
      <c r="AF30" s="36" t="str">
        <f t="shared" si="6"/>
        <v/>
      </c>
      <c r="AG30" s="35" t="str">
        <f>IF(AND(L30=2,P30="interrupted",O30="U"),"LOOK","")</f>
        <v/>
      </c>
      <c r="AH30" s="35" t="str">
        <f t="shared" ref="AH30:AH44" si="141">IF(O30="U",IF(L30&gt;2,"LOOK",""),"")</f>
        <v/>
      </c>
      <c r="AI30" s="35"/>
      <c r="AJ30" s="36"/>
      <c r="AK30" s="15">
        <f t="shared" si="8"/>
        <v>10300</v>
      </c>
      <c r="AL30" s="15">
        <f t="shared" si="9"/>
        <v>15700</v>
      </c>
      <c r="AM30" s="15">
        <f t="shared" si="10"/>
        <v>21300</v>
      </c>
      <c r="AN30" s="15">
        <f t="shared" si="11"/>
        <v>28500</v>
      </c>
      <c r="AO30" s="3">
        <f t="shared" si="49"/>
        <v>15700</v>
      </c>
      <c r="AP30" s="138">
        <f>VLOOKUP($B30,'2022 counts'!$B$6:$R$304,17,FALSE)</f>
        <v>3508</v>
      </c>
      <c r="AQ30" s="11">
        <f t="shared" si="12"/>
        <v>0.22</v>
      </c>
      <c r="AR30" s="2" t="str">
        <f t="shared" si="13"/>
        <v>B</v>
      </c>
      <c r="AS30" s="26">
        <f t="shared" si="50"/>
        <v>4.5199999999999996</v>
      </c>
      <c r="AT30" s="15">
        <f>VLOOKUP($T30,'2020_CapacityTable'!$B$23:$F$45,2)</f>
        <v>540</v>
      </c>
      <c r="AU30" s="15">
        <f>VLOOKUP($T30,'2020_CapacityTable'!$B$23:$F$45,3)</f>
        <v>820</v>
      </c>
      <c r="AV30" s="15">
        <f>VLOOKUP($T30,'2020_CapacityTable'!$B$23:$F$45,4)</f>
        <v>1110</v>
      </c>
      <c r="AW30" s="15">
        <f>VLOOKUP($T30,'2020_CapacityTable'!$B$23:$F$45,5)</f>
        <v>1490</v>
      </c>
      <c r="AX30" s="15">
        <f t="shared" si="14"/>
        <v>540</v>
      </c>
      <c r="AY30" s="15">
        <f t="shared" si="15"/>
        <v>820</v>
      </c>
      <c r="AZ30" s="15">
        <f t="shared" si="16"/>
        <v>1110</v>
      </c>
      <c r="BA30" s="15">
        <f t="shared" si="17"/>
        <v>1490</v>
      </c>
      <c r="BB30" s="3">
        <f t="shared" si="18"/>
        <v>820</v>
      </c>
      <c r="BC30" s="138">
        <f>VLOOKUP($B30,'2022 counts'!$B$6:$AD$304,28,FALSE)</f>
        <v>130</v>
      </c>
      <c r="BD30" s="138">
        <f>VLOOKUP($B30,'2022 counts'!$B$6:$AD$304,29,FALSE)</f>
        <v>168</v>
      </c>
      <c r="BE30" s="11">
        <f t="shared" si="19"/>
        <v>0.2</v>
      </c>
      <c r="BF30" s="2" t="str">
        <f t="shared" si="20"/>
        <v>B</v>
      </c>
      <c r="BG30" s="135">
        <v>5.5E-2</v>
      </c>
      <c r="BH30" s="135">
        <f>IF($AQ30="","",VLOOKUP($B30, '2022 counts'!$B$6:$T$304,19,FALSE))</f>
        <v>5.5E-2</v>
      </c>
      <c r="BI30" s="38">
        <f t="shared" si="21"/>
        <v>5.5E-2</v>
      </c>
      <c r="BJ30" s="39" t="str">
        <f t="shared" si="22"/>
        <v/>
      </c>
      <c r="BK30" s="15">
        <f>VLOOKUP($U30,'2020_CapacityTable'!$B$49:$F$71,2)</f>
        <v>10300</v>
      </c>
      <c r="BL30" s="15">
        <f>VLOOKUP($U30,'2020_CapacityTable'!$B$49:$F$71,3)</f>
        <v>15700</v>
      </c>
      <c r="BM30" s="15">
        <f>VLOOKUP($T30,'2020_CapacityTable'!$B$49:$F$71,4)</f>
        <v>21300</v>
      </c>
      <c r="BN30" s="15">
        <f>VLOOKUP($T30,'2020_CapacityTable'!$B$49:$F$71,5)</f>
        <v>28500</v>
      </c>
      <c r="BO30" s="15">
        <f t="shared" si="23"/>
        <v>10300</v>
      </c>
      <c r="BP30" s="15">
        <f t="shared" si="24"/>
        <v>15700</v>
      </c>
      <c r="BQ30" s="15">
        <f t="shared" si="25"/>
        <v>21300</v>
      </c>
      <c r="BR30" s="15">
        <f t="shared" si="26"/>
        <v>28500</v>
      </c>
      <c r="BS30" s="3">
        <f t="shared" si="27"/>
        <v>15700</v>
      </c>
      <c r="BT30" s="40">
        <f>'State of the System - Sumter Co'!AD30</f>
        <v>4585</v>
      </c>
      <c r="BU30" s="41">
        <f t="shared" si="28"/>
        <v>0.28999999999999998</v>
      </c>
      <c r="BV30" s="2" t="str">
        <f t="shared" si="29"/>
        <v>B</v>
      </c>
      <c r="BW30" s="2">
        <f t="shared" si="30"/>
        <v>5.91</v>
      </c>
      <c r="BX30" s="15">
        <f>VLOOKUP($U30,'2020_CapacityTable'!$B$23:$F$45,2)</f>
        <v>540</v>
      </c>
      <c r="BY30" s="15">
        <f>VLOOKUP($U30,'2020_CapacityTable'!$B$23:$F$45,3)</f>
        <v>820</v>
      </c>
      <c r="BZ30" s="15">
        <f>VLOOKUP($U30,'2020_CapacityTable'!$B$23:$F$45,4)</f>
        <v>1110</v>
      </c>
      <c r="CA30" s="15">
        <f>VLOOKUP($U30,'2020_CapacityTable'!$B$23:$F$45,5)</f>
        <v>1490</v>
      </c>
      <c r="CB30" s="15">
        <f t="shared" si="31"/>
        <v>540</v>
      </c>
      <c r="CC30" s="15">
        <f t="shared" si="32"/>
        <v>820</v>
      </c>
      <c r="CD30" s="15">
        <f t="shared" si="33"/>
        <v>1110</v>
      </c>
      <c r="CE30" s="15">
        <f t="shared" si="34"/>
        <v>1490</v>
      </c>
      <c r="CF30" s="3">
        <f t="shared" si="35"/>
        <v>820</v>
      </c>
      <c r="CG30" s="2">
        <f>'State of the System - Sumter Co'!AH30</f>
        <v>170</v>
      </c>
      <c r="CH30" s="2">
        <f>'State of the System - Sumter Co'!AI30</f>
        <v>220</v>
      </c>
      <c r="CI30" s="11">
        <f t="shared" si="36"/>
        <v>0.27</v>
      </c>
      <c r="CJ30" s="2" t="str">
        <f t="shared" si="37"/>
        <v>B</v>
      </c>
      <c r="CK30" s="3">
        <f t="shared" si="51"/>
        <v>30780</v>
      </c>
      <c r="CL30" s="11">
        <f t="shared" si="38"/>
        <v>0.15</v>
      </c>
      <c r="CM30" s="11" t="str">
        <f t="shared" si="39"/>
        <v>NOT CONGESTED</v>
      </c>
      <c r="CN30" s="3">
        <f t="shared" si="40"/>
        <v>1609</v>
      </c>
      <c r="CO30" s="11">
        <f t="shared" si="41"/>
        <v>0.14000000000000001</v>
      </c>
      <c r="CP30" s="156" t="str">
        <f t="shared" si="42"/>
        <v>NOT CONGESTED</v>
      </c>
      <c r="CQ30" s="2"/>
      <c r="CR30" s="42"/>
      <c r="CS30" s="11" t="str">
        <f t="shared" si="43"/>
        <v/>
      </c>
      <c r="CT30" s="11" t="str">
        <f t="shared" si="44"/>
        <v/>
      </c>
      <c r="CU30" s="11" t="str">
        <f t="shared" si="52"/>
        <v/>
      </c>
      <c r="CV30" s="11" t="str">
        <f t="shared" si="45"/>
        <v/>
      </c>
      <c r="CW30" s="2"/>
      <c r="CX30" s="1" t="s">
        <v>585</v>
      </c>
      <c r="CY30" s="145" t="str">
        <f t="shared" si="46"/>
        <v/>
      </c>
      <c r="CZ30" s="32" t="str">
        <f t="shared" si="47"/>
        <v/>
      </c>
    </row>
    <row r="31" spans="1:104" ht="12.75" customHeight="1">
      <c r="A31" s="1">
        <v>3224000</v>
      </c>
      <c r="B31" s="1">
        <f t="shared" si="48"/>
        <v>96</v>
      </c>
      <c r="C31" s="1">
        <v>464</v>
      </c>
      <c r="D31" s="1">
        <f>VLOOKUP(C31,'2022 counts'!$A$6:$B$304,2,FALSE)</f>
        <v>96</v>
      </c>
      <c r="E31" s="1"/>
      <c r="F31" s="2" t="s">
        <v>6</v>
      </c>
      <c r="G31" s="156">
        <v>30</v>
      </c>
      <c r="H31" s="11">
        <v>1.36676832797</v>
      </c>
      <c r="I31" s="10" t="s">
        <v>48</v>
      </c>
      <c r="J31" s="10" t="s">
        <v>714</v>
      </c>
      <c r="K31" s="10" t="s">
        <v>109</v>
      </c>
      <c r="L31" s="157">
        <v>2</v>
      </c>
      <c r="M31" s="1">
        <f>'State of the System - Sumter Co'!K31</f>
        <v>2</v>
      </c>
      <c r="N31" s="1" t="str">
        <f>IF('State of the System - Sumter Co'!L31="URBAN","U","R")</f>
        <v>U</v>
      </c>
      <c r="O31" s="1" t="str">
        <f>IF('State of the System - Sumter Co'!M31="UNDIVIDED","U",IF('State of the System - Sumter Co'!M31="DIVIDED","D","F"))</f>
        <v>U</v>
      </c>
      <c r="P31" s="1" t="str">
        <f>'State of the System - Sumter Co'!N31</f>
        <v>INTERRUPTED</v>
      </c>
      <c r="Q31" s="1" t="str">
        <f t="shared" si="0"/>
        <v/>
      </c>
      <c r="R31" s="1" t="str">
        <f>'State of the System - Sumter Co'!O31</f>
        <v/>
      </c>
      <c r="S31" s="1" t="str">
        <f t="shared" si="1"/>
        <v>-2</v>
      </c>
      <c r="T31" s="1" t="str">
        <f t="shared" si="2"/>
        <v>U-2U-2</v>
      </c>
      <c r="U31" s="1" t="str">
        <f t="shared" si="140"/>
        <v>U-2U-2</v>
      </c>
      <c r="V31" s="1" t="s">
        <v>10</v>
      </c>
      <c r="W31" s="1" t="s">
        <v>25</v>
      </c>
      <c r="X31" s="1" t="s">
        <v>21</v>
      </c>
      <c r="Y31" s="1" t="str">
        <f>'State of the System - Sumter Co'!R31</f>
        <v>D</v>
      </c>
      <c r="Z31" s="157" t="str">
        <f t="shared" si="4"/>
        <v>Other CMP Network Roadways</v>
      </c>
      <c r="AA31" s="15">
        <f>VLOOKUP($T31,'2020_CapacityTable'!$B$49:$F$71,2)</f>
        <v>0</v>
      </c>
      <c r="AB31" s="15">
        <f>VLOOKUP($T31,'2020_CapacityTable'!$B$49:$F$71,3)</f>
        <v>7300</v>
      </c>
      <c r="AC31" s="15">
        <f>VLOOKUP($T31,'2020_CapacityTable'!$B$49:$F$71,4)</f>
        <v>14800</v>
      </c>
      <c r="AD31" s="15">
        <f>VLOOKUP($T31,'2020_CapacityTable'!$B$49:$F$71,5)</f>
        <v>15600</v>
      </c>
      <c r="AE31" s="35">
        <f>IF(V31&lt;&gt;"STATE",-10%,"")</f>
        <v>-0.1</v>
      </c>
      <c r="AF31" s="36" t="str">
        <f t="shared" si="6"/>
        <v/>
      </c>
      <c r="AG31" s="35">
        <v>-0.2</v>
      </c>
      <c r="AH31" s="35" t="str">
        <f t="shared" si="141"/>
        <v/>
      </c>
      <c r="AI31" s="35"/>
      <c r="AJ31" s="36"/>
      <c r="AK31" s="15">
        <f t="shared" si="8"/>
        <v>0</v>
      </c>
      <c r="AL31" s="15">
        <f t="shared" si="9"/>
        <v>5110</v>
      </c>
      <c r="AM31" s="15">
        <f t="shared" si="10"/>
        <v>10360</v>
      </c>
      <c r="AN31" s="15">
        <f t="shared" si="11"/>
        <v>10920</v>
      </c>
      <c r="AO31" s="3">
        <f t="shared" si="49"/>
        <v>10360</v>
      </c>
      <c r="AP31" s="138">
        <f>VLOOKUP($B31,'2022 counts'!$B$6:$R$304,17,FALSE)</f>
        <v>4174</v>
      </c>
      <c r="AQ31" s="11">
        <f t="shared" si="12"/>
        <v>0.4</v>
      </c>
      <c r="AR31" s="2" t="str">
        <f t="shared" si="13"/>
        <v>C</v>
      </c>
      <c r="AS31" s="26">
        <f t="shared" si="50"/>
        <v>2.08</v>
      </c>
      <c r="AT31" s="15">
        <f>VLOOKUP($T31,'2020_CapacityTable'!$B$23:$F$45,2)</f>
        <v>0</v>
      </c>
      <c r="AU31" s="15">
        <f>VLOOKUP($T31,'2020_CapacityTable'!$B$23:$F$45,3)</f>
        <v>370</v>
      </c>
      <c r="AV31" s="15">
        <f>VLOOKUP($T31,'2020_CapacityTable'!$B$23:$F$45,4)</f>
        <v>750</v>
      </c>
      <c r="AW31" s="15">
        <f>VLOOKUP($T31,'2020_CapacityTable'!$B$23:$F$45,5)</f>
        <v>800</v>
      </c>
      <c r="AX31" s="15">
        <f t="shared" si="14"/>
        <v>0</v>
      </c>
      <c r="AY31" s="15">
        <f t="shared" si="15"/>
        <v>259</v>
      </c>
      <c r="AZ31" s="15">
        <f t="shared" si="16"/>
        <v>525</v>
      </c>
      <c r="BA31" s="15">
        <f t="shared" si="17"/>
        <v>560</v>
      </c>
      <c r="BB31" s="3">
        <f t="shared" si="18"/>
        <v>525</v>
      </c>
      <c r="BC31" s="138">
        <f>VLOOKUP($B31,'2022 counts'!$B$6:$AD$304,28,FALSE)</f>
        <v>257</v>
      </c>
      <c r="BD31" s="138">
        <f>VLOOKUP($B31,'2022 counts'!$B$6:$AD$304,29,FALSE)</f>
        <v>155</v>
      </c>
      <c r="BE31" s="11">
        <f t="shared" si="19"/>
        <v>0.49</v>
      </c>
      <c r="BF31" s="2" t="str">
        <f t="shared" si="20"/>
        <v>C</v>
      </c>
      <c r="BG31" s="135">
        <v>0.06</v>
      </c>
      <c r="BH31" s="135">
        <f>IF($AQ31="","",VLOOKUP($B31, '2022 counts'!$B$6:$T$304,19,FALSE))</f>
        <v>0.06</v>
      </c>
      <c r="BI31" s="38">
        <f t="shared" si="21"/>
        <v>0.06</v>
      </c>
      <c r="BJ31" s="39" t="str">
        <f t="shared" si="22"/>
        <v/>
      </c>
      <c r="BK31" s="15">
        <f>VLOOKUP($U31,'2020_CapacityTable'!$B$49:$F$71,2)</f>
        <v>0</v>
      </c>
      <c r="BL31" s="15">
        <f>VLOOKUP($U31,'2020_CapacityTable'!$B$49:$F$71,3)</f>
        <v>7300</v>
      </c>
      <c r="BM31" s="15">
        <f>VLOOKUP($T31,'2020_CapacityTable'!$B$49:$F$71,4)</f>
        <v>14800</v>
      </c>
      <c r="BN31" s="15">
        <f>VLOOKUP($T31,'2020_CapacityTable'!$B$49:$F$71,5)</f>
        <v>15600</v>
      </c>
      <c r="BO31" s="15">
        <f t="shared" si="23"/>
        <v>0</v>
      </c>
      <c r="BP31" s="15">
        <f t="shared" si="24"/>
        <v>5110</v>
      </c>
      <c r="BQ31" s="15">
        <f t="shared" si="25"/>
        <v>10360</v>
      </c>
      <c r="BR31" s="15">
        <f t="shared" si="26"/>
        <v>10920</v>
      </c>
      <c r="BS31" s="3">
        <f t="shared" si="27"/>
        <v>10360</v>
      </c>
      <c r="BT31" s="40">
        <f>'State of the System - Sumter Co'!AD31</f>
        <v>5586</v>
      </c>
      <c r="BU31" s="41">
        <f t="shared" si="28"/>
        <v>0.54</v>
      </c>
      <c r="BV31" s="2" t="str">
        <f t="shared" si="29"/>
        <v>D</v>
      </c>
      <c r="BW31" s="2">
        <f t="shared" si="30"/>
        <v>2.79</v>
      </c>
      <c r="BX31" s="15">
        <f>VLOOKUP($U31,'2020_CapacityTable'!$B$23:$F$45,2)</f>
        <v>0</v>
      </c>
      <c r="BY31" s="15">
        <f>VLOOKUP($U31,'2020_CapacityTable'!$B$23:$F$45,3)</f>
        <v>370</v>
      </c>
      <c r="BZ31" s="15">
        <f>VLOOKUP($U31,'2020_CapacityTable'!$B$23:$F$45,4)</f>
        <v>750</v>
      </c>
      <c r="CA31" s="15">
        <f>VLOOKUP($U31,'2020_CapacityTable'!$B$23:$F$45,5)</f>
        <v>800</v>
      </c>
      <c r="CB31" s="15">
        <f t="shared" si="31"/>
        <v>0</v>
      </c>
      <c r="CC31" s="15">
        <f t="shared" si="32"/>
        <v>259</v>
      </c>
      <c r="CD31" s="15">
        <f t="shared" si="33"/>
        <v>525</v>
      </c>
      <c r="CE31" s="15">
        <f t="shared" si="34"/>
        <v>560</v>
      </c>
      <c r="CF31" s="3">
        <f t="shared" si="35"/>
        <v>525</v>
      </c>
      <c r="CG31" s="2">
        <f>'State of the System - Sumter Co'!AH31</f>
        <v>344</v>
      </c>
      <c r="CH31" s="2">
        <f>'State of the System - Sumter Co'!AI31</f>
        <v>207</v>
      </c>
      <c r="CI31" s="11">
        <f t="shared" si="36"/>
        <v>0.66</v>
      </c>
      <c r="CJ31" s="2" t="str">
        <f t="shared" si="37"/>
        <v>D</v>
      </c>
      <c r="CK31" s="3">
        <f t="shared" si="51"/>
        <v>11794</v>
      </c>
      <c r="CL31" s="11">
        <f t="shared" si="38"/>
        <v>0.47</v>
      </c>
      <c r="CM31" s="11" t="str">
        <f t="shared" si="39"/>
        <v>NOT CONGESTED</v>
      </c>
      <c r="CN31" s="3">
        <f t="shared" si="40"/>
        <v>605</v>
      </c>
      <c r="CO31" s="11">
        <f t="shared" si="41"/>
        <v>0.56999999999999995</v>
      </c>
      <c r="CP31" s="156" t="str">
        <f t="shared" si="42"/>
        <v>NOT CONGESTED</v>
      </c>
      <c r="CQ31" s="2"/>
      <c r="CR31" s="42"/>
      <c r="CS31" s="11" t="str">
        <f t="shared" si="43"/>
        <v/>
      </c>
      <c r="CT31" s="11" t="str">
        <f t="shared" si="44"/>
        <v/>
      </c>
      <c r="CU31" s="11" t="str">
        <f t="shared" si="52"/>
        <v/>
      </c>
      <c r="CV31" s="11" t="str">
        <f t="shared" si="45"/>
        <v/>
      </c>
      <c r="CW31" s="2"/>
      <c r="CX31" s="1"/>
      <c r="CY31" s="145" t="str">
        <f t="shared" si="46"/>
        <v/>
      </c>
      <c r="CZ31" s="32" t="str">
        <f t="shared" si="47"/>
        <v/>
      </c>
    </row>
    <row r="32" spans="1:104" ht="12.75" customHeight="1">
      <c r="A32" s="1">
        <v>3229000</v>
      </c>
      <c r="B32" s="1">
        <f t="shared" si="48"/>
        <v>120</v>
      </c>
      <c r="C32" s="1">
        <v>330</v>
      </c>
      <c r="D32" s="1">
        <f>VLOOKUP(C32,'2022 counts'!$A$6:$B$304,2,FALSE)</f>
        <v>120</v>
      </c>
      <c r="E32" s="5" t="s">
        <v>243</v>
      </c>
      <c r="F32" s="2" t="s">
        <v>6</v>
      </c>
      <c r="G32" s="156">
        <v>35</v>
      </c>
      <c r="H32" s="11">
        <v>2.0830711701700002</v>
      </c>
      <c r="I32" s="10" t="s">
        <v>121</v>
      </c>
      <c r="J32" s="10" t="s">
        <v>62</v>
      </c>
      <c r="K32" s="10" t="s">
        <v>120</v>
      </c>
      <c r="L32" s="157">
        <v>2</v>
      </c>
      <c r="M32" s="1">
        <f>'State of the System - Sumter Co'!K32</f>
        <v>2</v>
      </c>
      <c r="N32" s="1" t="str">
        <f>IF('State of the System - Sumter Co'!L32="URBAN","U","R")</f>
        <v>R</v>
      </c>
      <c r="O32" s="1" t="str">
        <f>IF('State of the System - Sumter Co'!M32="UNDIVIDED","U",IF('State of the System - Sumter Co'!M32="DIVIDED","D","F"))</f>
        <v>U</v>
      </c>
      <c r="P32" s="1" t="str">
        <f>'State of the System - Sumter Co'!N32</f>
        <v>INTERRUPTED</v>
      </c>
      <c r="Q32" s="1" t="str">
        <f t="shared" si="0"/>
        <v>x</v>
      </c>
      <c r="R32" s="1" t="str">
        <f>'State of the System - Sumter Co'!O32</f>
        <v/>
      </c>
      <c r="S32" s="1" t="str">
        <f t="shared" si="1"/>
        <v/>
      </c>
      <c r="T32" s="1" t="str">
        <f t="shared" si="2"/>
        <v>R-2Ux</v>
      </c>
      <c r="U32" s="1" t="str">
        <f t="shared" si="140"/>
        <v>R-2Ux</v>
      </c>
      <c r="V32" s="1" t="s">
        <v>10</v>
      </c>
      <c r="W32" s="1" t="s">
        <v>11</v>
      </c>
      <c r="X32" s="1" t="s">
        <v>21</v>
      </c>
      <c r="Y32" s="1" t="str">
        <f>'State of the System - Sumter Co'!R32</f>
        <v>C</v>
      </c>
      <c r="Z32" s="157" t="str">
        <f t="shared" si="4"/>
        <v>Other CMP Network Roadways</v>
      </c>
      <c r="AA32" s="15">
        <f>VLOOKUP($T32,'2020_CapacityTable'!$B$49:$F$71,2)</f>
        <v>0</v>
      </c>
      <c r="AB32" s="15">
        <f>VLOOKUP($T32,'2020_CapacityTable'!$B$49:$F$71,3)</f>
        <v>12900</v>
      </c>
      <c r="AC32" s="15">
        <f>VLOOKUP($T32,'2020_CapacityTable'!$B$49:$F$71,4)</f>
        <v>14200</v>
      </c>
      <c r="AD32" s="15">
        <f>VLOOKUP($T32,'2020_CapacityTable'!$B$49:$F$71,5)</f>
        <v>14200</v>
      </c>
      <c r="AE32" s="35">
        <f>IF(V32&lt;&gt;"STATE",-10%,"")</f>
        <v>-0.1</v>
      </c>
      <c r="AF32" s="36" t="str">
        <f t="shared" si="6"/>
        <v/>
      </c>
      <c r="AG32" s="35">
        <v>-0.2</v>
      </c>
      <c r="AH32" s="35" t="str">
        <f t="shared" si="141"/>
        <v/>
      </c>
      <c r="AI32" s="35"/>
      <c r="AJ32" s="36"/>
      <c r="AK32" s="15">
        <f t="shared" si="8"/>
        <v>0</v>
      </c>
      <c r="AL32" s="15">
        <f t="shared" si="9"/>
        <v>9030</v>
      </c>
      <c r="AM32" s="15">
        <f t="shared" si="10"/>
        <v>9940</v>
      </c>
      <c r="AN32" s="15">
        <f t="shared" si="11"/>
        <v>9940</v>
      </c>
      <c r="AO32" s="3">
        <f t="shared" si="49"/>
        <v>9030</v>
      </c>
      <c r="AP32" s="138">
        <f>VLOOKUP($B32,'2022 counts'!$B$6:$R$304,17,FALSE)</f>
        <v>245</v>
      </c>
      <c r="AQ32" s="11">
        <f t="shared" si="12"/>
        <v>0.03</v>
      </c>
      <c r="AR32" s="2" t="str">
        <f t="shared" si="13"/>
        <v>C</v>
      </c>
      <c r="AS32" s="26">
        <f t="shared" si="50"/>
        <v>0.19</v>
      </c>
      <c r="AT32" s="15">
        <f>VLOOKUP($T32,'2020_CapacityTable'!$B$23:$F$45,2)</f>
        <v>0</v>
      </c>
      <c r="AU32" s="15">
        <f>VLOOKUP($T32,'2020_CapacityTable'!$B$23:$F$45,3)</f>
        <v>670</v>
      </c>
      <c r="AV32" s="15">
        <f>VLOOKUP($T32,'2020_CapacityTable'!$B$23:$F$45,4)</f>
        <v>740</v>
      </c>
      <c r="AW32" s="15">
        <f>VLOOKUP($T32,'2020_CapacityTable'!$B$23:$F$45,5)</f>
        <v>740</v>
      </c>
      <c r="AX32" s="15">
        <f t="shared" si="14"/>
        <v>0</v>
      </c>
      <c r="AY32" s="15">
        <f t="shared" si="15"/>
        <v>469</v>
      </c>
      <c r="AZ32" s="15">
        <f t="shared" si="16"/>
        <v>518</v>
      </c>
      <c r="BA32" s="15">
        <f t="shared" si="17"/>
        <v>518</v>
      </c>
      <c r="BB32" s="3">
        <f t="shared" si="18"/>
        <v>469</v>
      </c>
      <c r="BC32" s="138">
        <f>VLOOKUP($B32,'2022 counts'!$B$6:$AD$304,28,FALSE)</f>
        <v>19</v>
      </c>
      <c r="BD32" s="138">
        <f>VLOOKUP($B32,'2022 counts'!$B$6:$AD$304,29,FALSE)</f>
        <v>10</v>
      </c>
      <c r="BE32" s="11">
        <f t="shared" si="19"/>
        <v>0.04</v>
      </c>
      <c r="BF32" s="2" t="str">
        <f t="shared" si="20"/>
        <v>C</v>
      </c>
      <c r="BG32" s="135">
        <v>0.22500000000000001</v>
      </c>
      <c r="BH32" s="135">
        <f>IF($AQ32="","",VLOOKUP($B32, '2022 counts'!$B$6:$T$304,19,FALSE))</f>
        <v>0.22500000000000001</v>
      </c>
      <c r="BI32" s="38">
        <v>0.05</v>
      </c>
      <c r="BJ32" s="386">
        <v>-2</v>
      </c>
      <c r="BK32" s="15">
        <f>VLOOKUP($U32,'2020_CapacityTable'!$B$49:$F$71,2)</f>
        <v>0</v>
      </c>
      <c r="BL32" s="15">
        <f>VLOOKUP($U32,'2020_CapacityTable'!$B$49:$F$71,3)</f>
        <v>12900</v>
      </c>
      <c r="BM32" s="15">
        <f>VLOOKUP($T32,'2020_CapacityTable'!$B$49:$F$71,4)</f>
        <v>14200</v>
      </c>
      <c r="BN32" s="15">
        <f>VLOOKUP($T32,'2020_CapacityTable'!$B$49:$F$71,5)</f>
        <v>14200</v>
      </c>
      <c r="BO32" s="15">
        <f t="shared" si="23"/>
        <v>0</v>
      </c>
      <c r="BP32" s="15">
        <f t="shared" si="24"/>
        <v>9030</v>
      </c>
      <c r="BQ32" s="15">
        <f t="shared" si="25"/>
        <v>9940</v>
      </c>
      <c r="BR32" s="15">
        <f t="shared" si="26"/>
        <v>9940</v>
      </c>
      <c r="BS32" s="3">
        <f t="shared" si="27"/>
        <v>9030</v>
      </c>
      <c r="BT32" s="40">
        <f>'State of the System - Sumter Co'!AD32</f>
        <v>313</v>
      </c>
      <c r="BU32" s="41">
        <f t="shared" si="28"/>
        <v>0.03</v>
      </c>
      <c r="BV32" s="2" t="str">
        <f t="shared" si="29"/>
        <v>C</v>
      </c>
      <c r="BW32" s="2">
        <f t="shared" si="30"/>
        <v>0.24</v>
      </c>
      <c r="BX32" s="15">
        <f>VLOOKUP($U32,'2020_CapacityTable'!$B$23:$F$45,2)</f>
        <v>0</v>
      </c>
      <c r="BY32" s="15">
        <f>VLOOKUP($U32,'2020_CapacityTable'!$B$23:$F$45,3)</f>
        <v>670</v>
      </c>
      <c r="BZ32" s="15">
        <f>VLOOKUP($U32,'2020_CapacityTable'!$B$23:$F$45,4)</f>
        <v>740</v>
      </c>
      <c r="CA32" s="15">
        <f>VLOOKUP($U32,'2020_CapacityTable'!$B$23:$F$45,5)</f>
        <v>740</v>
      </c>
      <c r="CB32" s="15">
        <f t="shared" si="31"/>
        <v>0</v>
      </c>
      <c r="CC32" s="15">
        <f t="shared" si="32"/>
        <v>469</v>
      </c>
      <c r="CD32" s="15">
        <f t="shared" si="33"/>
        <v>518</v>
      </c>
      <c r="CE32" s="15">
        <f t="shared" si="34"/>
        <v>518</v>
      </c>
      <c r="CF32" s="3">
        <f t="shared" si="35"/>
        <v>469</v>
      </c>
      <c r="CG32" s="2">
        <f>'State of the System - Sumter Co'!AH32</f>
        <v>24</v>
      </c>
      <c r="CH32" s="2">
        <f>'State of the System - Sumter Co'!AI32</f>
        <v>13</v>
      </c>
      <c r="CI32" s="11">
        <f t="shared" si="36"/>
        <v>0.05</v>
      </c>
      <c r="CJ32" s="2" t="str">
        <f t="shared" si="37"/>
        <v>C</v>
      </c>
      <c r="CK32" s="3">
        <f t="shared" si="51"/>
        <v>10735</v>
      </c>
      <c r="CL32" s="11">
        <f t="shared" si="38"/>
        <v>0.03</v>
      </c>
      <c r="CM32" s="11" t="str">
        <f t="shared" si="39"/>
        <v>NOT CONGESTED</v>
      </c>
      <c r="CN32" s="3">
        <f t="shared" si="40"/>
        <v>559</v>
      </c>
      <c r="CO32" s="11">
        <f t="shared" si="41"/>
        <v>0.04</v>
      </c>
      <c r="CP32" s="156" t="str">
        <f t="shared" si="42"/>
        <v>NOT CONGESTED</v>
      </c>
      <c r="CQ32" s="2"/>
      <c r="CR32" s="42"/>
      <c r="CS32" s="11" t="str">
        <f t="shared" si="43"/>
        <v/>
      </c>
      <c r="CT32" s="11" t="str">
        <f t="shared" si="44"/>
        <v/>
      </c>
      <c r="CU32" s="11" t="str">
        <f t="shared" si="52"/>
        <v/>
      </c>
      <c r="CV32" s="11" t="str">
        <f t="shared" si="45"/>
        <v/>
      </c>
      <c r="CW32" s="2"/>
      <c r="CX32" s="1"/>
      <c r="CY32" s="145" t="str">
        <f t="shared" si="46"/>
        <v/>
      </c>
      <c r="CZ32" s="32" t="str">
        <f t="shared" si="47"/>
        <v/>
      </c>
    </row>
    <row r="33" spans="1:104" ht="12.75" customHeight="1">
      <c r="A33" s="1">
        <v>3231000</v>
      </c>
      <c r="B33" s="1">
        <f t="shared" si="48"/>
        <v>121</v>
      </c>
      <c r="C33" s="1">
        <v>388</v>
      </c>
      <c r="D33" s="1">
        <f>VLOOKUP(C33,'2022 counts'!$A$6:$B$304,2,FALSE)</f>
        <v>121</v>
      </c>
      <c r="E33" s="1">
        <v>118009</v>
      </c>
      <c r="F33" s="2" t="s">
        <v>136</v>
      </c>
      <c r="G33" s="156">
        <v>35</v>
      </c>
      <c r="H33" s="11">
        <v>0.83066242996100004</v>
      </c>
      <c r="I33" s="10" t="s">
        <v>63</v>
      </c>
      <c r="J33" s="10" t="s">
        <v>715</v>
      </c>
      <c r="K33" s="10" t="s">
        <v>56</v>
      </c>
      <c r="L33" s="157">
        <v>2</v>
      </c>
      <c r="M33" s="1">
        <f>'State of the System - Sumter Co'!K33</f>
        <v>2</v>
      </c>
      <c r="N33" s="1" t="str">
        <f>IF('State of the System - Sumter Co'!L33="URBAN","U","R")</f>
        <v>U</v>
      </c>
      <c r="O33" s="1" t="str">
        <f>IF('State of the System - Sumter Co'!M33="UNDIVIDED","U",IF('State of the System - Sumter Co'!M33="DIVIDED","D","F"))</f>
        <v>U</v>
      </c>
      <c r="P33" s="1" t="str">
        <f>'State of the System - Sumter Co'!N33</f>
        <v>INTERRUPTED</v>
      </c>
      <c r="Q33" s="1" t="str">
        <f t="shared" si="0"/>
        <v/>
      </c>
      <c r="R33" s="1" t="str">
        <f>'State of the System - Sumter Co'!O33</f>
        <v/>
      </c>
      <c r="S33" s="1" t="str">
        <f t="shared" si="1"/>
        <v>-2</v>
      </c>
      <c r="T33" s="1" t="str">
        <f t="shared" si="2"/>
        <v>U-2U-2</v>
      </c>
      <c r="U33" s="1" t="str">
        <f t="shared" si="140"/>
        <v>U-2U-2</v>
      </c>
      <c r="V33" s="1" t="s">
        <v>10</v>
      </c>
      <c r="W33" s="1" t="s">
        <v>11</v>
      </c>
      <c r="X33" s="1" t="s">
        <v>21</v>
      </c>
      <c r="Y33" s="1" t="str">
        <f>'State of the System - Sumter Co'!R33</f>
        <v>D</v>
      </c>
      <c r="Z33" s="157" t="str">
        <f t="shared" si="4"/>
        <v>Other CMP Network Roadways</v>
      </c>
      <c r="AA33" s="15">
        <f>VLOOKUP($T33,'2020_CapacityTable'!$B$49:$F$71,2)</f>
        <v>0</v>
      </c>
      <c r="AB33" s="15">
        <f>VLOOKUP($T33,'2020_CapacityTable'!$B$49:$F$71,3)</f>
        <v>7300</v>
      </c>
      <c r="AC33" s="15">
        <f>VLOOKUP($T33,'2020_CapacityTable'!$B$49:$F$71,4)</f>
        <v>14800</v>
      </c>
      <c r="AD33" s="15">
        <f>VLOOKUP($T33,'2020_CapacityTable'!$B$49:$F$71,5)</f>
        <v>15600</v>
      </c>
      <c r="AE33" s="35">
        <f>IF(V33&lt;&gt;"STATE",-10%,"")</f>
        <v>-0.1</v>
      </c>
      <c r="AF33" s="36" t="str">
        <f t="shared" si="6"/>
        <v/>
      </c>
      <c r="AG33" s="35">
        <v>-0.2</v>
      </c>
      <c r="AH33" s="35" t="str">
        <f t="shared" si="141"/>
        <v/>
      </c>
      <c r="AI33" s="35"/>
      <c r="AJ33" s="36"/>
      <c r="AK33" s="15">
        <f t="shared" si="8"/>
        <v>0</v>
      </c>
      <c r="AL33" s="15">
        <f t="shared" si="9"/>
        <v>5110</v>
      </c>
      <c r="AM33" s="15">
        <f t="shared" si="10"/>
        <v>10360</v>
      </c>
      <c r="AN33" s="15">
        <f t="shared" si="11"/>
        <v>10920</v>
      </c>
      <c r="AO33" s="3">
        <f t="shared" si="49"/>
        <v>10360</v>
      </c>
      <c r="AP33" s="138">
        <f>VLOOKUP($B33,'2022 counts'!$B$6:$R$304,17,FALSE)</f>
        <v>611</v>
      </c>
      <c r="AQ33" s="11">
        <f t="shared" si="12"/>
        <v>0.06</v>
      </c>
      <c r="AR33" s="2" t="str">
        <f t="shared" si="13"/>
        <v>C</v>
      </c>
      <c r="AS33" s="26">
        <f t="shared" si="50"/>
        <v>0.19</v>
      </c>
      <c r="AT33" s="15">
        <f>VLOOKUP($T33,'2020_CapacityTable'!$B$23:$F$45,2)</f>
        <v>0</v>
      </c>
      <c r="AU33" s="15">
        <f>VLOOKUP($T33,'2020_CapacityTable'!$B$23:$F$45,3)</f>
        <v>370</v>
      </c>
      <c r="AV33" s="15">
        <f>VLOOKUP($T33,'2020_CapacityTable'!$B$23:$F$45,4)</f>
        <v>750</v>
      </c>
      <c r="AW33" s="15">
        <f>VLOOKUP($T33,'2020_CapacityTable'!$B$23:$F$45,5)</f>
        <v>800</v>
      </c>
      <c r="AX33" s="15">
        <f t="shared" si="14"/>
        <v>0</v>
      </c>
      <c r="AY33" s="15">
        <f t="shared" si="15"/>
        <v>259</v>
      </c>
      <c r="AZ33" s="15">
        <f t="shared" si="16"/>
        <v>525</v>
      </c>
      <c r="BA33" s="15">
        <f t="shared" si="17"/>
        <v>560</v>
      </c>
      <c r="BB33" s="3">
        <f t="shared" si="18"/>
        <v>525</v>
      </c>
      <c r="BC33" s="138">
        <f>VLOOKUP($B33,'2022 counts'!$B$6:$AD$304,28,FALSE)</f>
        <v>31</v>
      </c>
      <c r="BD33" s="138">
        <f>VLOOKUP($B33,'2022 counts'!$B$6:$AD$304,29,FALSE)</f>
        <v>40</v>
      </c>
      <c r="BE33" s="11">
        <f t="shared" si="19"/>
        <v>0.08</v>
      </c>
      <c r="BF33" s="2" t="str">
        <f t="shared" si="20"/>
        <v>C</v>
      </c>
      <c r="BG33" s="135">
        <v>0</v>
      </c>
      <c r="BH33" s="135">
        <f>IF($AQ33="","",VLOOKUP($B33, '2022 counts'!$B$6:$T$304,19,FALSE))</f>
        <v>0</v>
      </c>
      <c r="BI33" s="38">
        <f t="shared" si="21"/>
        <v>0.01</v>
      </c>
      <c r="BJ33" s="39" t="str">
        <f t="shared" si="22"/>
        <v>minimum</v>
      </c>
      <c r="BK33" s="15">
        <f>VLOOKUP($U33,'2020_CapacityTable'!$B$49:$F$71,2)</f>
        <v>0</v>
      </c>
      <c r="BL33" s="15">
        <f>VLOOKUP($U33,'2020_CapacityTable'!$B$49:$F$71,3)</f>
        <v>7300</v>
      </c>
      <c r="BM33" s="15">
        <f>VLOOKUP($T33,'2020_CapacityTable'!$B$49:$F$71,4)</f>
        <v>14800</v>
      </c>
      <c r="BN33" s="15">
        <f>VLOOKUP($T33,'2020_CapacityTable'!$B$49:$F$71,5)</f>
        <v>15600</v>
      </c>
      <c r="BO33" s="15">
        <f t="shared" si="23"/>
        <v>0</v>
      </c>
      <c r="BP33" s="15">
        <f t="shared" si="24"/>
        <v>5110</v>
      </c>
      <c r="BQ33" s="15">
        <f t="shared" si="25"/>
        <v>10360</v>
      </c>
      <c r="BR33" s="15">
        <f t="shared" si="26"/>
        <v>10920</v>
      </c>
      <c r="BS33" s="3">
        <f t="shared" si="27"/>
        <v>10360</v>
      </c>
      <c r="BT33" s="40">
        <f>'State of the System - Sumter Co'!AD33</f>
        <v>642</v>
      </c>
      <c r="BU33" s="41">
        <f t="shared" si="28"/>
        <v>0.06</v>
      </c>
      <c r="BV33" s="2" t="str">
        <f t="shared" si="29"/>
        <v>C</v>
      </c>
      <c r="BW33" s="2">
        <f t="shared" si="30"/>
        <v>0.19</v>
      </c>
      <c r="BX33" s="15">
        <f>VLOOKUP($U33,'2020_CapacityTable'!$B$23:$F$45,2)</f>
        <v>0</v>
      </c>
      <c r="BY33" s="15">
        <f>VLOOKUP($U33,'2020_CapacityTable'!$B$23:$F$45,3)</f>
        <v>370</v>
      </c>
      <c r="BZ33" s="15">
        <f>VLOOKUP($U33,'2020_CapacityTable'!$B$23:$F$45,4)</f>
        <v>750</v>
      </c>
      <c r="CA33" s="15">
        <f>VLOOKUP($U33,'2020_CapacityTable'!$B$23:$F$45,5)</f>
        <v>800</v>
      </c>
      <c r="CB33" s="15">
        <f t="shared" si="31"/>
        <v>0</v>
      </c>
      <c r="CC33" s="15">
        <f t="shared" si="32"/>
        <v>259</v>
      </c>
      <c r="CD33" s="15">
        <f t="shared" si="33"/>
        <v>525</v>
      </c>
      <c r="CE33" s="15">
        <f t="shared" si="34"/>
        <v>560</v>
      </c>
      <c r="CF33" s="3">
        <f t="shared" si="35"/>
        <v>525</v>
      </c>
      <c r="CG33" s="2">
        <f>'State of the System - Sumter Co'!AH33</f>
        <v>33</v>
      </c>
      <c r="CH33" s="2">
        <f>'State of the System - Sumter Co'!AI33</f>
        <v>42</v>
      </c>
      <c r="CI33" s="11">
        <f t="shared" si="36"/>
        <v>0.08</v>
      </c>
      <c r="CJ33" s="2" t="str">
        <f t="shared" si="37"/>
        <v>C</v>
      </c>
      <c r="CK33" s="3">
        <f t="shared" si="51"/>
        <v>11794</v>
      </c>
      <c r="CL33" s="11">
        <f t="shared" si="38"/>
        <v>0.05</v>
      </c>
      <c r="CM33" s="11" t="str">
        <f t="shared" si="39"/>
        <v>NOT CONGESTED</v>
      </c>
      <c r="CN33" s="3">
        <f t="shared" si="40"/>
        <v>605</v>
      </c>
      <c r="CO33" s="11">
        <f t="shared" si="41"/>
        <v>7.0000000000000007E-2</v>
      </c>
      <c r="CP33" s="156" t="str">
        <f t="shared" si="42"/>
        <v>NOT CONGESTED</v>
      </c>
      <c r="CQ33" s="2"/>
      <c r="CR33" s="42"/>
      <c r="CS33" s="11" t="str">
        <f t="shared" si="43"/>
        <v/>
      </c>
      <c r="CT33" s="11" t="str">
        <f t="shared" si="44"/>
        <v/>
      </c>
      <c r="CU33" s="11" t="str">
        <f t="shared" si="52"/>
        <v/>
      </c>
      <c r="CV33" s="11" t="str">
        <f t="shared" si="45"/>
        <v/>
      </c>
      <c r="CW33" s="2"/>
      <c r="CX33" s="1"/>
      <c r="CY33" s="145" t="str">
        <f t="shared" si="46"/>
        <v/>
      </c>
      <c r="CZ33" s="32" t="str">
        <f t="shared" si="47"/>
        <v/>
      </c>
    </row>
    <row r="34" spans="1:104" ht="12.75" customHeight="1">
      <c r="A34" s="242">
        <v>3245100</v>
      </c>
      <c r="B34" s="1">
        <f t="shared" si="48"/>
        <v>105</v>
      </c>
      <c r="C34" s="1">
        <v>340</v>
      </c>
      <c r="D34" s="1">
        <f>VLOOKUP(C34,'2022 counts'!$A$6:$B$304,2,FALSE)</f>
        <v>105</v>
      </c>
      <c r="E34" s="5" t="s">
        <v>243</v>
      </c>
      <c r="F34" s="2" t="s">
        <v>6</v>
      </c>
      <c r="G34" s="156">
        <v>45</v>
      </c>
      <c r="H34" s="11">
        <v>1.55814261009</v>
      </c>
      <c r="I34" s="10" t="s">
        <v>43</v>
      </c>
      <c r="J34" s="10" t="s">
        <v>23</v>
      </c>
      <c r="K34" s="10" t="s">
        <v>714</v>
      </c>
      <c r="L34" s="157">
        <v>2</v>
      </c>
      <c r="M34" s="1">
        <f>'State of the System - Sumter Co'!K34</f>
        <v>2</v>
      </c>
      <c r="N34" s="1" t="str">
        <f>IF('State of the System - Sumter Co'!L34="URBAN","U","R")</f>
        <v>U</v>
      </c>
      <c r="O34" s="1" t="str">
        <f>IF('State of the System - Sumter Co'!M34="UNDIVIDED","U",IF('State of the System - Sumter Co'!M34="DIVIDED","D","F"))</f>
        <v>U</v>
      </c>
      <c r="P34" s="1" t="str">
        <f>'State of the System - Sumter Co'!N34</f>
        <v>INTERRUPTED</v>
      </c>
      <c r="Q34" s="1" t="str">
        <f t="shared" si="0"/>
        <v/>
      </c>
      <c r="R34" s="1" t="str">
        <f>'State of the System - Sumter Co'!O34</f>
        <v/>
      </c>
      <c r="S34" s="1" t="str">
        <f t="shared" si="1"/>
        <v>-1</v>
      </c>
      <c r="T34" s="1" t="str">
        <f t="shared" si="2"/>
        <v>U-2U-1</v>
      </c>
      <c r="U34" s="1" t="str">
        <f t="shared" si="140"/>
        <v>U-2U-1</v>
      </c>
      <c r="V34" s="1" t="s">
        <v>10</v>
      </c>
      <c r="W34" s="1" t="s">
        <v>11</v>
      </c>
      <c r="X34" s="1" t="s">
        <v>21</v>
      </c>
      <c r="Y34" s="1" t="str">
        <f>'State of the System - Sumter Co'!R34</f>
        <v>D</v>
      </c>
      <c r="Z34" s="157" t="str">
        <f t="shared" si="4"/>
        <v>Other CMP Network Roadways</v>
      </c>
      <c r="AA34" s="15">
        <f>VLOOKUP($T34,'2020_CapacityTable'!$B$49:$F$71,2)</f>
        <v>0</v>
      </c>
      <c r="AB34" s="15">
        <f>VLOOKUP($T34,'2020_CapacityTable'!$B$49:$F$71,3)</f>
        <v>16800</v>
      </c>
      <c r="AC34" s="15">
        <f>VLOOKUP($T34,'2020_CapacityTable'!$B$49:$F$71,4)</f>
        <v>17700</v>
      </c>
      <c r="AD34" s="15">
        <f>VLOOKUP($T34,'2020_CapacityTable'!$B$49:$F$71,5)</f>
        <v>17700</v>
      </c>
      <c r="AE34" s="35">
        <f>IF(V34&lt;&gt;"STATE",-10%,"")</f>
        <v>-0.1</v>
      </c>
      <c r="AF34" s="36" t="str">
        <f t="shared" si="6"/>
        <v/>
      </c>
      <c r="AG34" s="35">
        <v>-0.2</v>
      </c>
      <c r="AH34" s="35" t="str">
        <f t="shared" si="141"/>
        <v/>
      </c>
      <c r="AI34" s="35"/>
      <c r="AJ34" s="36"/>
      <c r="AK34" s="15">
        <f t="shared" si="8"/>
        <v>0</v>
      </c>
      <c r="AL34" s="15">
        <f t="shared" si="9"/>
        <v>11760</v>
      </c>
      <c r="AM34" s="15">
        <f t="shared" si="10"/>
        <v>12390</v>
      </c>
      <c r="AN34" s="15">
        <f t="shared" si="11"/>
        <v>12390</v>
      </c>
      <c r="AO34" s="3">
        <f t="shared" si="49"/>
        <v>12390</v>
      </c>
      <c r="AP34" s="138">
        <f>VLOOKUP($B34,'2022 counts'!$B$6:$R$304,17,FALSE)</f>
        <v>4654</v>
      </c>
      <c r="AQ34" s="11">
        <f t="shared" si="12"/>
        <v>0.38</v>
      </c>
      <c r="AR34" s="2" t="str">
        <f t="shared" si="13"/>
        <v>C</v>
      </c>
      <c r="AS34" s="26">
        <f t="shared" si="50"/>
        <v>2.65</v>
      </c>
      <c r="AT34" s="15">
        <f>VLOOKUP($T34,'2020_CapacityTable'!$B$23:$F$45,2)</f>
        <v>0</v>
      </c>
      <c r="AU34" s="15">
        <f>VLOOKUP($T34,'2020_CapacityTable'!$B$23:$F$45,3)</f>
        <v>830</v>
      </c>
      <c r="AV34" s="15">
        <f>VLOOKUP($T34,'2020_CapacityTable'!$B$23:$F$45,4)</f>
        <v>880</v>
      </c>
      <c r="AW34" s="15">
        <f>VLOOKUP($T34,'2020_CapacityTable'!$B$23:$F$45,5)</f>
        <v>880</v>
      </c>
      <c r="AX34" s="15">
        <f t="shared" si="14"/>
        <v>0</v>
      </c>
      <c r="AY34" s="15">
        <f t="shared" si="15"/>
        <v>581</v>
      </c>
      <c r="AZ34" s="15">
        <f t="shared" si="16"/>
        <v>616</v>
      </c>
      <c r="BA34" s="15">
        <f t="shared" si="17"/>
        <v>616</v>
      </c>
      <c r="BB34" s="3">
        <f t="shared" si="18"/>
        <v>616</v>
      </c>
      <c r="BC34" s="138">
        <f>VLOOKUP($B34,'2022 counts'!$B$6:$AD$304,28,FALSE)</f>
        <v>210</v>
      </c>
      <c r="BD34" s="138">
        <f>VLOOKUP($B34,'2022 counts'!$B$6:$AD$304,29,FALSE)</f>
        <v>217</v>
      </c>
      <c r="BE34" s="11">
        <f t="shared" si="19"/>
        <v>0.35</v>
      </c>
      <c r="BF34" s="2" t="str">
        <f t="shared" si="20"/>
        <v>C</v>
      </c>
      <c r="BG34" s="135">
        <v>0.13500000000000001</v>
      </c>
      <c r="BH34" s="135">
        <f>IF($AQ34="","",VLOOKUP($B34, '2022 counts'!$B$6:$T$304,19,FALSE))</f>
        <v>0.13500000000000001</v>
      </c>
      <c r="BI34" s="38">
        <v>0.05</v>
      </c>
      <c r="BJ34" s="386">
        <v>-2</v>
      </c>
      <c r="BK34" s="15">
        <f>VLOOKUP($U34,'2020_CapacityTable'!$B$49:$F$71,2)</f>
        <v>0</v>
      </c>
      <c r="BL34" s="15">
        <f>VLOOKUP($U34,'2020_CapacityTable'!$B$49:$F$71,3)</f>
        <v>16800</v>
      </c>
      <c r="BM34" s="15">
        <f>VLOOKUP($T34,'2020_CapacityTable'!$B$49:$F$71,4)</f>
        <v>17700</v>
      </c>
      <c r="BN34" s="15">
        <f>VLOOKUP($T34,'2020_CapacityTable'!$B$49:$F$71,5)</f>
        <v>17700</v>
      </c>
      <c r="BO34" s="15">
        <f t="shared" si="23"/>
        <v>0</v>
      </c>
      <c r="BP34" s="15">
        <f>ROUND(BL34*(1+SUM($AE34)),0)</f>
        <v>15120</v>
      </c>
      <c r="BQ34" s="15">
        <f t="shared" ref="BQ34:BR34" si="142">ROUND(BM34*(1+SUM($AE34)),0)</f>
        <v>15930</v>
      </c>
      <c r="BR34" s="15">
        <f t="shared" si="142"/>
        <v>15930</v>
      </c>
      <c r="BS34" s="3">
        <f t="shared" si="27"/>
        <v>15930</v>
      </c>
      <c r="BT34" s="40">
        <f>'State of the System - Sumter Co'!AD34</f>
        <v>5940</v>
      </c>
      <c r="BU34" s="41">
        <f t="shared" si="28"/>
        <v>0.37</v>
      </c>
      <c r="BV34" s="2" t="str">
        <f t="shared" si="29"/>
        <v>C</v>
      </c>
      <c r="BW34" s="2">
        <f t="shared" si="30"/>
        <v>3.38</v>
      </c>
      <c r="BX34" s="15">
        <f>VLOOKUP($U34,'2020_CapacityTable'!$B$23:$F$45,2)</f>
        <v>0</v>
      </c>
      <c r="BY34" s="15">
        <f>VLOOKUP($U34,'2020_CapacityTable'!$B$23:$F$45,3)</f>
        <v>830</v>
      </c>
      <c r="BZ34" s="15">
        <f>VLOOKUP($U34,'2020_CapacityTable'!$B$23:$F$45,4)</f>
        <v>880</v>
      </c>
      <c r="CA34" s="15">
        <f>VLOOKUP($U34,'2020_CapacityTable'!$B$23:$F$45,5)</f>
        <v>880</v>
      </c>
      <c r="CB34" s="15">
        <f t="shared" si="31"/>
        <v>0</v>
      </c>
      <c r="CC34" s="15">
        <f>ROUND(BY34*(1+SUM($AE34)),0)</f>
        <v>747</v>
      </c>
      <c r="CD34" s="15">
        <f t="shared" ref="CD34:CE34" si="143">ROUND(BZ34*(1+SUM($AE34)),0)</f>
        <v>792</v>
      </c>
      <c r="CE34" s="15">
        <f t="shared" si="143"/>
        <v>792</v>
      </c>
      <c r="CF34" s="3">
        <f t="shared" si="35"/>
        <v>792</v>
      </c>
      <c r="CG34" s="2">
        <f>'State of the System - Sumter Co'!AH34</f>
        <v>268</v>
      </c>
      <c r="CH34" s="2">
        <f>'State of the System - Sumter Co'!AI34</f>
        <v>277</v>
      </c>
      <c r="CI34" s="11">
        <f t="shared" si="36"/>
        <v>0.35</v>
      </c>
      <c r="CJ34" s="2" t="str">
        <f t="shared" si="37"/>
        <v>C</v>
      </c>
      <c r="CK34" s="3">
        <f t="shared" si="51"/>
        <v>13381</v>
      </c>
      <c r="CL34" s="11">
        <f t="shared" si="38"/>
        <v>0.44</v>
      </c>
      <c r="CM34" s="11" t="str">
        <f t="shared" si="39"/>
        <v>NOT CONGESTED</v>
      </c>
      <c r="CN34" s="3">
        <f t="shared" si="40"/>
        <v>665</v>
      </c>
      <c r="CO34" s="11">
        <f t="shared" si="41"/>
        <v>0.42</v>
      </c>
      <c r="CP34" s="156" t="str">
        <f t="shared" si="42"/>
        <v>NOT CONGESTED</v>
      </c>
      <c r="CQ34" s="2"/>
      <c r="CR34" s="42"/>
      <c r="CS34" s="11" t="str">
        <f t="shared" si="43"/>
        <v/>
      </c>
      <c r="CT34" s="11" t="str">
        <f t="shared" si="44"/>
        <v/>
      </c>
      <c r="CU34" s="11" t="str">
        <f t="shared" si="52"/>
        <v/>
      </c>
      <c r="CV34" s="11" t="str">
        <f t="shared" si="45"/>
        <v/>
      </c>
      <c r="CW34" s="2"/>
      <c r="CX34" s="1"/>
      <c r="CY34" s="145" t="str">
        <f t="shared" si="46"/>
        <v/>
      </c>
      <c r="CZ34" s="32" t="str">
        <f t="shared" si="47"/>
        <v/>
      </c>
    </row>
    <row r="35" spans="1:104" ht="12.75" customHeight="1">
      <c r="A35" s="1">
        <v>3245110</v>
      </c>
      <c r="B35" s="1">
        <f t="shared" si="48"/>
        <v>106</v>
      </c>
      <c r="C35" s="1">
        <v>342</v>
      </c>
      <c r="D35" s="1">
        <f>VLOOKUP(C35,'2022 counts'!$A$6:$B$304,2,FALSE)</f>
        <v>106</v>
      </c>
      <c r="E35" s="5" t="s">
        <v>243</v>
      </c>
      <c r="F35" s="2" t="s">
        <v>6</v>
      </c>
      <c r="G35" s="156">
        <v>45</v>
      </c>
      <c r="H35" s="11">
        <v>2.2559614768</v>
      </c>
      <c r="I35" s="10" t="s">
        <v>43</v>
      </c>
      <c r="J35" s="10" t="s">
        <v>714</v>
      </c>
      <c r="K35" s="10" t="s">
        <v>716</v>
      </c>
      <c r="L35" s="157">
        <v>2</v>
      </c>
      <c r="M35" s="1">
        <f>'State of the System - Sumter Co'!K35</f>
        <v>2</v>
      </c>
      <c r="N35" s="1" t="str">
        <f>IF('State of the System - Sumter Co'!L35="URBAN","U","R")</f>
        <v>U</v>
      </c>
      <c r="O35" s="1" t="str">
        <f>IF('State of the System - Sumter Co'!M35="UNDIVIDED","U",IF('State of the System - Sumter Co'!M35="DIVIDED","D","F"))</f>
        <v>U</v>
      </c>
      <c r="P35" s="1" t="str">
        <f>'State of the System - Sumter Co'!N35</f>
        <v>UNINTERRUPTED</v>
      </c>
      <c r="Q35" s="1" t="str">
        <f t="shared" si="0"/>
        <v/>
      </c>
      <c r="R35" s="1" t="str">
        <f>'State of the System - Sumter Co'!O35</f>
        <v/>
      </c>
      <c r="S35" s="1" t="str">
        <f t="shared" si="1"/>
        <v>-x</v>
      </c>
      <c r="T35" s="1" t="str">
        <f t="shared" si="2"/>
        <v>U-2U-x</v>
      </c>
      <c r="U35" s="1" t="str">
        <f t="shared" si="140"/>
        <v>U-2U-x</v>
      </c>
      <c r="V35" s="1" t="s">
        <v>10</v>
      </c>
      <c r="W35" s="1" t="s">
        <v>11</v>
      </c>
      <c r="X35" s="1" t="s">
        <v>21</v>
      </c>
      <c r="Y35" s="1" t="str">
        <f>'State of the System - Sumter Co'!R35</f>
        <v>D</v>
      </c>
      <c r="Z35" s="157" t="str">
        <f t="shared" si="4"/>
        <v>Other CMP Network Roadways</v>
      </c>
      <c r="AA35" s="15">
        <f>VLOOKUP($T35,'2020_CapacityTable'!$B$49:$F$71,2)</f>
        <v>11700</v>
      </c>
      <c r="AB35" s="15">
        <f>VLOOKUP($T35,'2020_CapacityTable'!$B$49:$F$71,3)</f>
        <v>18000</v>
      </c>
      <c r="AC35" s="15">
        <f>VLOOKUP($T35,'2020_CapacityTable'!$B$49:$F$71,4)</f>
        <v>24200</v>
      </c>
      <c r="AD35" s="15">
        <f>VLOOKUP($T35,'2020_CapacityTable'!$B$49:$F$71,5)</f>
        <v>32600</v>
      </c>
      <c r="AE35" s="35"/>
      <c r="AF35" s="36" t="str">
        <f t="shared" si="6"/>
        <v/>
      </c>
      <c r="AG35" s="35" t="str">
        <f>IF(AND(L35=2,P35="interrupted",O35="U"),"LOOK","")</f>
        <v/>
      </c>
      <c r="AH35" s="35" t="str">
        <f t="shared" si="141"/>
        <v/>
      </c>
      <c r="AI35" s="35"/>
      <c r="AJ35" s="36"/>
      <c r="AK35" s="15">
        <f t="shared" si="8"/>
        <v>11700</v>
      </c>
      <c r="AL35" s="15">
        <f t="shared" si="9"/>
        <v>18000</v>
      </c>
      <c r="AM35" s="15">
        <f t="shared" si="10"/>
        <v>24200</v>
      </c>
      <c r="AN35" s="15">
        <f t="shared" si="11"/>
        <v>32600</v>
      </c>
      <c r="AO35" s="3">
        <f t="shared" si="49"/>
        <v>24200</v>
      </c>
      <c r="AP35" s="138">
        <f>VLOOKUP($B35,'2022 counts'!$B$6:$R$304,17,FALSE)</f>
        <v>3893</v>
      </c>
      <c r="AQ35" s="11">
        <f t="shared" si="12"/>
        <v>0.16</v>
      </c>
      <c r="AR35" s="2" t="str">
        <f t="shared" si="13"/>
        <v>B</v>
      </c>
      <c r="AS35" s="26">
        <f t="shared" si="50"/>
        <v>3.21</v>
      </c>
      <c r="AT35" s="15">
        <f>VLOOKUP($T35,'2020_CapacityTable'!$B$23:$F$45,2)</f>
        <v>580</v>
      </c>
      <c r="AU35" s="15">
        <f>VLOOKUP($T35,'2020_CapacityTable'!$B$23:$F$45,3)</f>
        <v>890</v>
      </c>
      <c r="AV35" s="15">
        <f>VLOOKUP($T35,'2020_CapacityTable'!$B$23:$F$45,4)</f>
        <v>1200</v>
      </c>
      <c r="AW35" s="15">
        <f>VLOOKUP($T35,'2020_CapacityTable'!$B$23:$F$45,5)</f>
        <v>1610</v>
      </c>
      <c r="AX35" s="15">
        <f t="shared" si="14"/>
        <v>580</v>
      </c>
      <c r="AY35" s="15">
        <f t="shared" si="15"/>
        <v>890</v>
      </c>
      <c r="AZ35" s="15">
        <f t="shared" si="16"/>
        <v>1200</v>
      </c>
      <c r="BA35" s="15">
        <f t="shared" si="17"/>
        <v>1610</v>
      </c>
      <c r="BB35" s="3">
        <f t="shared" si="18"/>
        <v>1200</v>
      </c>
      <c r="BC35" s="138">
        <f>VLOOKUP($B35,'2022 counts'!$B$6:$AD$304,28,FALSE)</f>
        <v>190</v>
      </c>
      <c r="BD35" s="138">
        <f>VLOOKUP($B35,'2022 counts'!$B$6:$AD$304,29,FALSE)</f>
        <v>179</v>
      </c>
      <c r="BE35" s="11">
        <f t="shared" si="19"/>
        <v>0.16</v>
      </c>
      <c r="BF35" s="2" t="str">
        <f t="shared" si="20"/>
        <v>B</v>
      </c>
      <c r="BG35" s="135">
        <v>0.04</v>
      </c>
      <c r="BH35" s="135">
        <f>IF($AQ35="","",VLOOKUP($B35, '2022 counts'!$B$6:$T$304,19,FALSE))</f>
        <v>0.04</v>
      </c>
      <c r="BI35" s="38">
        <f t="shared" si="21"/>
        <v>0.04</v>
      </c>
      <c r="BJ35" s="39" t="str">
        <f t="shared" si="22"/>
        <v/>
      </c>
      <c r="BK35" s="15">
        <f>VLOOKUP($U35,'2020_CapacityTable'!$B$49:$F$71,2)</f>
        <v>11700</v>
      </c>
      <c r="BL35" s="15">
        <f>VLOOKUP($U35,'2020_CapacityTable'!$B$49:$F$71,3)</f>
        <v>18000</v>
      </c>
      <c r="BM35" s="15">
        <f>VLOOKUP($T35,'2020_CapacityTable'!$B$49:$F$71,4)</f>
        <v>24200</v>
      </c>
      <c r="BN35" s="15">
        <f>VLOOKUP($T35,'2020_CapacityTable'!$B$49:$F$71,5)</f>
        <v>32600</v>
      </c>
      <c r="BO35" s="15">
        <f t="shared" si="23"/>
        <v>11700</v>
      </c>
      <c r="BP35" s="15">
        <f t="shared" si="24"/>
        <v>18000</v>
      </c>
      <c r="BQ35" s="15">
        <f t="shared" si="25"/>
        <v>24200</v>
      </c>
      <c r="BR35" s="15">
        <f t="shared" si="26"/>
        <v>32600</v>
      </c>
      <c r="BS35" s="3">
        <f t="shared" si="27"/>
        <v>24200</v>
      </c>
      <c r="BT35" s="40">
        <f>'State of the System - Sumter Co'!AD35</f>
        <v>4736</v>
      </c>
      <c r="BU35" s="41">
        <f t="shared" si="28"/>
        <v>0.2</v>
      </c>
      <c r="BV35" s="2" t="str">
        <f t="shared" si="29"/>
        <v>B</v>
      </c>
      <c r="BW35" s="2">
        <f t="shared" si="30"/>
        <v>3.9</v>
      </c>
      <c r="BX35" s="15">
        <f>VLOOKUP($U35,'2020_CapacityTable'!$B$23:$F$45,2)</f>
        <v>580</v>
      </c>
      <c r="BY35" s="15">
        <f>VLOOKUP($U35,'2020_CapacityTable'!$B$23:$F$45,3)</f>
        <v>890</v>
      </c>
      <c r="BZ35" s="15">
        <f>VLOOKUP($U35,'2020_CapacityTable'!$B$23:$F$45,4)</f>
        <v>1200</v>
      </c>
      <c r="CA35" s="15">
        <f>VLOOKUP($U35,'2020_CapacityTable'!$B$23:$F$45,5)</f>
        <v>1610</v>
      </c>
      <c r="CB35" s="15">
        <f t="shared" si="31"/>
        <v>580</v>
      </c>
      <c r="CC35" s="15">
        <f t="shared" si="32"/>
        <v>890</v>
      </c>
      <c r="CD35" s="15">
        <f t="shared" si="33"/>
        <v>1200</v>
      </c>
      <c r="CE35" s="15">
        <f t="shared" si="34"/>
        <v>1610</v>
      </c>
      <c r="CF35" s="3">
        <f t="shared" si="35"/>
        <v>1200</v>
      </c>
      <c r="CG35" s="2">
        <f>'State of the System - Sumter Co'!AH35</f>
        <v>231</v>
      </c>
      <c r="CH35" s="2">
        <f>'State of the System - Sumter Co'!AI35</f>
        <v>218</v>
      </c>
      <c r="CI35" s="11">
        <f t="shared" si="36"/>
        <v>0.19</v>
      </c>
      <c r="CJ35" s="2" t="str">
        <f t="shared" si="37"/>
        <v>B</v>
      </c>
      <c r="CK35" s="3">
        <f t="shared" si="51"/>
        <v>35208</v>
      </c>
      <c r="CL35" s="11">
        <f t="shared" si="38"/>
        <v>0.13</v>
      </c>
      <c r="CM35" s="11" t="str">
        <f t="shared" si="39"/>
        <v>NOT CONGESTED</v>
      </c>
      <c r="CN35" s="3">
        <f t="shared" si="40"/>
        <v>1739</v>
      </c>
      <c r="CO35" s="11">
        <f t="shared" si="41"/>
        <v>0.13</v>
      </c>
      <c r="CP35" s="156" t="str">
        <f t="shared" si="42"/>
        <v>NOT CONGESTED</v>
      </c>
      <c r="CQ35" s="2"/>
      <c r="CR35" s="42"/>
      <c r="CS35" s="11" t="str">
        <f t="shared" si="43"/>
        <v/>
      </c>
      <c r="CT35" s="11" t="str">
        <f t="shared" si="44"/>
        <v/>
      </c>
      <c r="CU35" s="11" t="str">
        <f t="shared" si="52"/>
        <v/>
      </c>
      <c r="CV35" s="11" t="str">
        <f t="shared" si="45"/>
        <v/>
      </c>
      <c r="CW35" s="2"/>
      <c r="CX35" s="1"/>
      <c r="CY35" s="145" t="str">
        <f t="shared" si="46"/>
        <v/>
      </c>
      <c r="CZ35" s="32" t="str">
        <f t="shared" si="47"/>
        <v/>
      </c>
    </row>
    <row r="36" spans="1:104" ht="12.75" customHeight="1">
      <c r="A36" s="1">
        <v>3248000</v>
      </c>
      <c r="B36" s="1">
        <f t="shared" si="48"/>
        <v>90</v>
      </c>
      <c r="C36" s="1">
        <v>273</v>
      </c>
      <c r="D36" s="1">
        <f>VLOOKUP(C36,'2022 counts'!$A$6:$B$304,2,FALSE)</f>
        <v>90</v>
      </c>
      <c r="E36" s="1"/>
      <c r="F36" s="2" t="s">
        <v>6</v>
      </c>
      <c r="G36" s="156">
        <v>35</v>
      </c>
      <c r="H36" s="11">
        <v>0.285765512354</v>
      </c>
      <c r="I36" s="10" t="s">
        <v>54</v>
      </c>
      <c r="J36" s="10" t="s">
        <v>716</v>
      </c>
      <c r="K36" s="10" t="s">
        <v>106</v>
      </c>
      <c r="L36" s="157">
        <v>4</v>
      </c>
      <c r="M36" s="1">
        <f>'State of the System - Sumter Co'!K36</f>
        <v>4</v>
      </c>
      <c r="N36" s="1" t="str">
        <f>IF('State of the System - Sumter Co'!L36="URBAN","U","R")</f>
        <v>U</v>
      </c>
      <c r="O36" s="1" t="str">
        <f>IF('State of the System - Sumter Co'!M36="UNDIVIDED","U",IF('State of the System - Sumter Co'!M36="DIVIDED","D","F"))</f>
        <v>D</v>
      </c>
      <c r="P36" s="1" t="str">
        <f>'State of the System - Sumter Co'!N36</f>
        <v>INTERRUPTED</v>
      </c>
      <c r="Q36" s="1" t="str">
        <f t="shared" si="0"/>
        <v/>
      </c>
      <c r="R36" s="1" t="str">
        <f>'State of the System - Sumter Co'!O36</f>
        <v/>
      </c>
      <c r="S36" s="1" t="str">
        <f t="shared" ref="S36:S67" si="144">IF(N36="r","",IF(P36="interrupted",IF(G36&lt;37.5,"-2","-1"),"-x"))</f>
        <v>-2</v>
      </c>
      <c r="T36" s="1" t="str">
        <f t="shared" si="2"/>
        <v>U-4D-2</v>
      </c>
      <c r="U36" s="1" t="str">
        <f t="shared" si="140"/>
        <v>U-4D-2</v>
      </c>
      <c r="V36" s="1" t="s">
        <v>10</v>
      </c>
      <c r="W36" s="1" t="s">
        <v>25</v>
      </c>
      <c r="X36" s="1" t="s">
        <v>21</v>
      </c>
      <c r="Y36" s="1" t="str">
        <f>'State of the System - Sumter Co'!R36</f>
        <v>D</v>
      </c>
      <c r="Z36" s="157" t="str">
        <f t="shared" si="4"/>
        <v>Other CMP Network Roadways</v>
      </c>
      <c r="AA36" s="15">
        <f>VLOOKUP($T36,'2020_CapacityTable'!$B$49:$F$71,2)</f>
        <v>0</v>
      </c>
      <c r="AB36" s="15">
        <f>VLOOKUP($T36,'2020_CapacityTable'!$B$49:$F$71,3)</f>
        <v>14500</v>
      </c>
      <c r="AC36" s="15">
        <f>VLOOKUP($T36,'2020_CapacityTable'!$B$49:$F$71,4)</f>
        <v>32400</v>
      </c>
      <c r="AD36" s="15">
        <f>VLOOKUP($T36,'2020_CapacityTable'!$B$49:$F$71,5)</f>
        <v>33800</v>
      </c>
      <c r="AE36" s="35">
        <f t="shared" ref="AE36:AE64" si="145">IF(V36&lt;&gt;"STATE",-10%,"")</f>
        <v>-0.1</v>
      </c>
      <c r="AF36" s="36" t="str">
        <f t="shared" si="6"/>
        <v/>
      </c>
      <c r="AG36" s="35" t="str">
        <f>IF(AND(L36=2,P36="interrupted",O36="U"),"LOOK","")</f>
        <v/>
      </c>
      <c r="AH36" s="35" t="str">
        <f t="shared" si="141"/>
        <v/>
      </c>
      <c r="AI36" s="35"/>
      <c r="AJ36" s="36"/>
      <c r="AK36" s="15">
        <f t="shared" si="8"/>
        <v>0</v>
      </c>
      <c r="AL36" s="15">
        <f t="shared" si="9"/>
        <v>13050</v>
      </c>
      <c r="AM36" s="15">
        <f t="shared" si="10"/>
        <v>29160</v>
      </c>
      <c r="AN36" s="15">
        <f t="shared" si="11"/>
        <v>30420</v>
      </c>
      <c r="AO36" s="3">
        <f t="shared" si="49"/>
        <v>29160</v>
      </c>
      <c r="AP36" s="138">
        <f>VLOOKUP($B36,'2022 counts'!$B$6:$R$304,17,FALSE)</f>
        <v>7098</v>
      </c>
      <c r="AQ36" s="11">
        <f t="shared" si="12"/>
        <v>0.24</v>
      </c>
      <c r="AR36" s="2" t="str">
        <f t="shared" si="13"/>
        <v>C</v>
      </c>
      <c r="AS36" s="26">
        <f t="shared" si="50"/>
        <v>0.74</v>
      </c>
      <c r="AT36" s="15">
        <f>VLOOKUP($T36,'2020_CapacityTable'!$B$23:$F$45,2)</f>
        <v>0</v>
      </c>
      <c r="AU36" s="15">
        <f>VLOOKUP($T36,'2020_CapacityTable'!$B$23:$F$45,3)</f>
        <v>730</v>
      </c>
      <c r="AV36" s="15">
        <f>VLOOKUP($T36,'2020_CapacityTable'!$B$23:$F$45,4)</f>
        <v>1630</v>
      </c>
      <c r="AW36" s="15">
        <f>VLOOKUP($T36,'2020_CapacityTable'!$B$23:$F$45,5)</f>
        <v>1700</v>
      </c>
      <c r="AX36" s="15">
        <f t="shared" si="14"/>
        <v>0</v>
      </c>
      <c r="AY36" s="15">
        <f t="shared" si="15"/>
        <v>657</v>
      </c>
      <c r="AZ36" s="15">
        <f t="shared" si="16"/>
        <v>1467</v>
      </c>
      <c r="BA36" s="15">
        <f t="shared" si="17"/>
        <v>1530</v>
      </c>
      <c r="BB36" s="3">
        <f t="shared" ref="BB36:BB67" si="146">IF(Y36="","",IF(Y36="B",AX36,IF(Y36="C",AY36,IF(Y36="D",AZ36,BA36))))</f>
        <v>1467</v>
      </c>
      <c r="BC36" s="138">
        <f>VLOOKUP($B36,'2022 counts'!$B$6:$AD$304,28,FALSE)</f>
        <v>376</v>
      </c>
      <c r="BD36" s="138">
        <f>VLOOKUP($B36,'2022 counts'!$B$6:$AD$304,29,FALSE)</f>
        <v>317</v>
      </c>
      <c r="BE36" s="11">
        <f t="shared" si="19"/>
        <v>0.26</v>
      </c>
      <c r="BF36" s="2" t="str">
        <f t="shared" si="20"/>
        <v>C</v>
      </c>
      <c r="BG36" s="135">
        <v>5.0000000000000001E-3</v>
      </c>
      <c r="BH36" s="135">
        <f>IF($AQ36="","",VLOOKUP($B36, '2022 counts'!$B$6:$T$304,19,FALSE))</f>
        <v>5.0000000000000001E-3</v>
      </c>
      <c r="BI36" s="38">
        <f t="shared" si="21"/>
        <v>0.01</v>
      </c>
      <c r="BJ36" s="39" t="str">
        <f t="shared" si="22"/>
        <v>minimum</v>
      </c>
      <c r="BK36" s="15">
        <f>VLOOKUP($U36,'2020_CapacityTable'!$B$49:$F$71,2)</f>
        <v>0</v>
      </c>
      <c r="BL36" s="15">
        <f>VLOOKUP($U36,'2020_CapacityTable'!$B$49:$F$71,3)</f>
        <v>14500</v>
      </c>
      <c r="BM36" s="15">
        <f>VLOOKUP($T36,'2020_CapacityTable'!$B$49:$F$71,4)</f>
        <v>32400</v>
      </c>
      <c r="BN36" s="15">
        <f>VLOOKUP($T36,'2020_CapacityTable'!$B$49:$F$71,5)</f>
        <v>33800</v>
      </c>
      <c r="BO36" s="15">
        <f t="shared" si="23"/>
        <v>0</v>
      </c>
      <c r="BP36" s="15">
        <f t="shared" si="24"/>
        <v>13050</v>
      </c>
      <c r="BQ36" s="15">
        <f t="shared" si="25"/>
        <v>29160</v>
      </c>
      <c r="BR36" s="15">
        <f t="shared" si="26"/>
        <v>30420</v>
      </c>
      <c r="BS36" s="3">
        <f t="shared" ref="BS36:BS67" si="147">IF($Y36="","",IF($Y36="B",BO36,IF($Y36="C",BP36,IF($Y36="D",BQ36,BR36))))</f>
        <v>29160</v>
      </c>
      <c r="BT36" s="40">
        <f>'State of the System - Sumter Co'!AD36</f>
        <v>7460</v>
      </c>
      <c r="BU36" s="41">
        <f t="shared" si="28"/>
        <v>0.26</v>
      </c>
      <c r="BV36" s="2" t="str">
        <f t="shared" si="29"/>
        <v>C</v>
      </c>
      <c r="BW36" s="2">
        <f t="shared" si="30"/>
        <v>0.78</v>
      </c>
      <c r="BX36" s="15">
        <f>VLOOKUP($U36,'2020_CapacityTable'!$B$23:$F$45,2)</f>
        <v>0</v>
      </c>
      <c r="BY36" s="15">
        <f>VLOOKUP($U36,'2020_CapacityTable'!$B$23:$F$45,3)</f>
        <v>730</v>
      </c>
      <c r="BZ36" s="15">
        <f>VLOOKUP($U36,'2020_CapacityTable'!$B$23:$F$45,4)</f>
        <v>1630</v>
      </c>
      <c r="CA36" s="15">
        <f>VLOOKUP($U36,'2020_CapacityTable'!$B$23:$F$45,5)</f>
        <v>1700</v>
      </c>
      <c r="CB36" s="15">
        <f t="shared" si="31"/>
        <v>0</v>
      </c>
      <c r="CC36" s="15">
        <f t="shared" si="32"/>
        <v>657</v>
      </c>
      <c r="CD36" s="15">
        <f t="shared" si="33"/>
        <v>1467</v>
      </c>
      <c r="CE36" s="15">
        <f t="shared" si="34"/>
        <v>1530</v>
      </c>
      <c r="CF36" s="3">
        <f t="shared" ref="CF36:CF67" si="148">IF($Y36="","",IF($Y36="B",CB36,IF($Y36="C",CC36,IF($Y36="D",CD36,CE36))))</f>
        <v>1467</v>
      </c>
      <c r="CG36" s="2">
        <f>'State of the System - Sumter Co'!AH36</f>
        <v>395</v>
      </c>
      <c r="CH36" s="2">
        <f>'State of the System - Sumter Co'!AI36</f>
        <v>333</v>
      </c>
      <c r="CI36" s="11">
        <f t="shared" si="36"/>
        <v>0.27</v>
      </c>
      <c r="CJ36" s="2" t="str">
        <f t="shared" ref="CJ36:CJ67" si="149">IF(OR(CI36="",CI36="-",CI36=0),"",IF(MAX(CG36,CH36)&lt;=$AX36,"B",IF(MAX(CG36,CH36)&lt;=$AY36,"C",IF(MAX(CG36,CH36)&lt;=$AZ36,"D",IF(MAX(CG36,CH36)&lt;=$BA36,"E","F")))))</f>
        <v>C</v>
      </c>
      <c r="CK36" s="3">
        <f t="shared" si="51"/>
        <v>32854</v>
      </c>
      <c r="CL36" s="11">
        <f t="shared" si="38"/>
        <v>0.23</v>
      </c>
      <c r="CM36" s="11" t="str">
        <f t="shared" si="39"/>
        <v>NOT CONGESTED</v>
      </c>
      <c r="CN36" s="3">
        <f t="shared" si="40"/>
        <v>1652</v>
      </c>
      <c r="CO36" s="11">
        <f t="shared" si="41"/>
        <v>0.24</v>
      </c>
      <c r="CP36" s="156" t="str">
        <f t="shared" ref="CP36:CP67" si="150">IF(OR(CO36="",CO36=0),"",IF(OR(BC36&gt;CN36,BD36&gt;CN36),"EXTREMELY (2020)",IF(CO36&gt;1,"EXTREMELY (2025)",IF(BE36&gt;1,"CONGESTED (2020)",IF(CI36&gt;1,"CONGESTED (2025)",IF(OR(BE36&gt;=0.9,CI36&gt;=0.9),"APPROACHING CONGESTION","NOT CONGESTED"))))))</f>
        <v>NOT CONGESTED</v>
      </c>
      <c r="CQ36" s="3"/>
      <c r="CR36" s="3"/>
      <c r="CS36" s="11" t="str">
        <f t="shared" si="43"/>
        <v/>
      </c>
      <c r="CT36" s="11" t="str">
        <f t="shared" ref="CT36:CT67" si="151">IF(OR(BT36="",BV36="",BU36&lt;1),"",ROUND(H36,2))</f>
        <v/>
      </c>
      <c r="CU36" s="11" t="str">
        <f t="shared" si="52"/>
        <v/>
      </c>
      <c r="CV36" s="11" t="str">
        <f t="shared" si="45"/>
        <v/>
      </c>
      <c r="CW36" s="2"/>
      <c r="CX36" s="1"/>
      <c r="CY36" s="145" t="str">
        <f t="shared" si="46"/>
        <v/>
      </c>
      <c r="CZ36" s="32" t="str">
        <f t="shared" si="47"/>
        <v/>
      </c>
    </row>
    <row r="37" spans="1:104" ht="12.75" customHeight="1">
      <c r="A37" s="1">
        <v>3248102</v>
      </c>
      <c r="B37" s="1">
        <f t="shared" si="48"/>
        <v>101</v>
      </c>
      <c r="C37" s="1">
        <v>462</v>
      </c>
      <c r="D37" s="1">
        <f>VLOOKUP(C37,'2022 counts'!$A$6:$B$304,2,FALSE)</f>
        <v>101</v>
      </c>
      <c r="E37" s="5" t="s">
        <v>243</v>
      </c>
      <c r="F37" s="2" t="s">
        <v>6</v>
      </c>
      <c r="G37" s="156">
        <v>35</v>
      </c>
      <c r="H37" s="11">
        <v>1.2495490380000001</v>
      </c>
      <c r="I37" s="10" t="s">
        <v>46</v>
      </c>
      <c r="J37" s="10" t="s">
        <v>113</v>
      </c>
      <c r="K37" s="10" t="s">
        <v>716</v>
      </c>
      <c r="L37" s="157">
        <v>2</v>
      </c>
      <c r="M37" s="1">
        <f>'State of the System - Sumter Co'!K37</f>
        <v>2</v>
      </c>
      <c r="N37" s="1" t="str">
        <f>IF('State of the System - Sumter Co'!L37="URBAN","U","R")</f>
        <v>U</v>
      </c>
      <c r="O37" s="1" t="str">
        <f>IF('State of the System - Sumter Co'!M37="UNDIVIDED","U",IF('State of the System - Sumter Co'!M37="DIVIDED","D","F"))</f>
        <v>U</v>
      </c>
      <c r="P37" s="1" t="str">
        <f>'State of the System - Sumter Co'!N37</f>
        <v>INTERRUPTED</v>
      </c>
      <c r="Q37" s="1" t="str">
        <f t="shared" si="0"/>
        <v/>
      </c>
      <c r="R37" s="1" t="str">
        <f>'State of the System - Sumter Co'!O37</f>
        <v/>
      </c>
      <c r="S37" s="1" t="str">
        <f t="shared" si="144"/>
        <v>-2</v>
      </c>
      <c r="T37" s="1" t="str">
        <f t="shared" si="2"/>
        <v>U-2U-2</v>
      </c>
      <c r="U37" s="1" t="str">
        <f t="shared" si="140"/>
        <v>U-2U-2</v>
      </c>
      <c r="V37" s="1" t="s">
        <v>10</v>
      </c>
      <c r="W37" s="1" t="s">
        <v>25</v>
      </c>
      <c r="X37" s="1" t="s">
        <v>21</v>
      </c>
      <c r="Y37" s="1" t="str">
        <f>'State of the System - Sumter Co'!R37</f>
        <v>D</v>
      </c>
      <c r="Z37" s="157" t="str">
        <f t="shared" si="4"/>
        <v>Other CMP Network Roadways</v>
      </c>
      <c r="AA37" s="15">
        <f>VLOOKUP($T37,'2020_CapacityTable'!$B$49:$F$71,2)</f>
        <v>0</v>
      </c>
      <c r="AB37" s="15">
        <f>VLOOKUP($T37,'2020_CapacityTable'!$B$49:$F$71,3)</f>
        <v>7300</v>
      </c>
      <c r="AC37" s="15">
        <f>VLOOKUP($T37,'2020_CapacityTable'!$B$49:$F$71,4)</f>
        <v>14800</v>
      </c>
      <c r="AD37" s="15">
        <f>VLOOKUP($T37,'2020_CapacityTable'!$B$49:$F$71,5)</f>
        <v>15600</v>
      </c>
      <c r="AE37" s="35">
        <f t="shared" si="145"/>
        <v>-0.1</v>
      </c>
      <c r="AF37" s="36" t="str">
        <f t="shared" si="6"/>
        <v/>
      </c>
      <c r="AG37" s="35">
        <v>-0.2</v>
      </c>
      <c r="AH37" s="35" t="str">
        <f t="shared" si="141"/>
        <v/>
      </c>
      <c r="AI37" s="35"/>
      <c r="AJ37" s="36"/>
      <c r="AK37" s="15">
        <f t="shared" si="8"/>
        <v>0</v>
      </c>
      <c r="AL37" s="15">
        <f t="shared" si="9"/>
        <v>5110</v>
      </c>
      <c r="AM37" s="15">
        <f t="shared" si="10"/>
        <v>10360</v>
      </c>
      <c r="AN37" s="15">
        <f t="shared" si="11"/>
        <v>10920</v>
      </c>
      <c r="AO37" s="3">
        <f t="shared" ref="AO37:AO68" si="152">IF(Y37="","",IF(Y37="B",AK37,IF(Y37="C",AL37,IF(Y37="D",AM37,AN37))))</f>
        <v>10360</v>
      </c>
      <c r="AP37" s="138">
        <f>VLOOKUP($B37,'2022 counts'!$B$6:$R$304,17,FALSE)</f>
        <v>1363</v>
      </c>
      <c r="AQ37" s="11">
        <f t="shared" si="12"/>
        <v>0.13</v>
      </c>
      <c r="AR37" s="2" t="str">
        <f t="shared" si="13"/>
        <v>C</v>
      </c>
      <c r="AS37" s="26">
        <f t="shared" si="50"/>
        <v>0.62</v>
      </c>
      <c r="AT37" s="15">
        <f>VLOOKUP($T37,'2020_CapacityTable'!$B$23:$F$45,2)</f>
        <v>0</v>
      </c>
      <c r="AU37" s="15">
        <f>VLOOKUP($T37,'2020_CapacityTable'!$B$23:$F$45,3)</f>
        <v>370</v>
      </c>
      <c r="AV37" s="15">
        <f>VLOOKUP($T37,'2020_CapacityTable'!$B$23:$F$45,4)</f>
        <v>750</v>
      </c>
      <c r="AW37" s="15">
        <f>VLOOKUP($T37,'2020_CapacityTable'!$B$23:$F$45,5)</f>
        <v>800</v>
      </c>
      <c r="AX37" s="15">
        <f t="shared" si="14"/>
        <v>0</v>
      </c>
      <c r="AY37" s="15">
        <f t="shared" si="15"/>
        <v>259</v>
      </c>
      <c r="AZ37" s="15">
        <f t="shared" si="16"/>
        <v>525</v>
      </c>
      <c r="BA37" s="15">
        <f t="shared" si="17"/>
        <v>560</v>
      </c>
      <c r="BB37" s="3">
        <f t="shared" si="146"/>
        <v>525</v>
      </c>
      <c r="BC37" s="138">
        <f>VLOOKUP($B37,'2022 counts'!$B$6:$AD$304,28,FALSE)</f>
        <v>109</v>
      </c>
      <c r="BD37" s="138">
        <f>VLOOKUP($B37,'2022 counts'!$B$6:$AD$304,29,FALSE)</f>
        <v>80</v>
      </c>
      <c r="BE37" s="11">
        <f t="shared" si="19"/>
        <v>0.21</v>
      </c>
      <c r="BF37" s="2" t="str">
        <f t="shared" si="20"/>
        <v>C</v>
      </c>
      <c r="BG37" s="135">
        <v>9.7500000000000003E-2</v>
      </c>
      <c r="BH37" s="135">
        <f>IF($AQ37="","",VLOOKUP($B37, '2022 counts'!$B$6:$T$304,19,FALSE))</f>
        <v>9.7500000000000003E-2</v>
      </c>
      <c r="BI37" s="38">
        <v>0.05</v>
      </c>
      <c r="BJ37" s="386">
        <v>-2</v>
      </c>
      <c r="BK37" s="15">
        <f>VLOOKUP($U37,'2020_CapacityTable'!$B$49:$F$71,2)</f>
        <v>0</v>
      </c>
      <c r="BL37" s="15">
        <f>VLOOKUP($U37,'2020_CapacityTable'!$B$49:$F$71,3)</f>
        <v>7300</v>
      </c>
      <c r="BM37" s="15">
        <f>VLOOKUP($T37,'2020_CapacityTable'!$B$49:$F$71,4)</f>
        <v>14800</v>
      </c>
      <c r="BN37" s="15">
        <f>VLOOKUP($T37,'2020_CapacityTable'!$B$49:$F$71,5)</f>
        <v>15600</v>
      </c>
      <c r="BO37" s="15">
        <f t="shared" si="23"/>
        <v>0</v>
      </c>
      <c r="BP37" s="15">
        <f t="shared" si="24"/>
        <v>5110</v>
      </c>
      <c r="BQ37" s="15">
        <f t="shared" si="25"/>
        <v>10360</v>
      </c>
      <c r="BR37" s="15">
        <f t="shared" si="26"/>
        <v>10920</v>
      </c>
      <c r="BS37" s="3">
        <f t="shared" si="147"/>
        <v>10360</v>
      </c>
      <c r="BT37" s="40">
        <f>'State of the System - Sumter Co'!AD37</f>
        <v>1740</v>
      </c>
      <c r="BU37" s="41">
        <f t="shared" si="28"/>
        <v>0.17</v>
      </c>
      <c r="BV37" s="2" t="str">
        <f t="shared" si="29"/>
        <v>C</v>
      </c>
      <c r="BW37" s="2">
        <f t="shared" si="30"/>
        <v>0.79</v>
      </c>
      <c r="BX37" s="15">
        <f>VLOOKUP($U37,'2020_CapacityTable'!$B$23:$F$45,2)</f>
        <v>0</v>
      </c>
      <c r="BY37" s="15">
        <f>VLOOKUP($U37,'2020_CapacityTable'!$B$23:$F$45,3)</f>
        <v>370</v>
      </c>
      <c r="BZ37" s="15">
        <f>VLOOKUP($U37,'2020_CapacityTable'!$B$23:$F$45,4)</f>
        <v>750</v>
      </c>
      <c r="CA37" s="15">
        <f>VLOOKUP($U37,'2020_CapacityTable'!$B$23:$F$45,5)</f>
        <v>800</v>
      </c>
      <c r="CB37" s="15">
        <f t="shared" si="31"/>
        <v>0</v>
      </c>
      <c r="CC37" s="15">
        <f t="shared" si="32"/>
        <v>259</v>
      </c>
      <c r="CD37" s="15">
        <f t="shared" si="33"/>
        <v>525</v>
      </c>
      <c r="CE37" s="15">
        <f t="shared" si="34"/>
        <v>560</v>
      </c>
      <c r="CF37" s="3">
        <f t="shared" si="148"/>
        <v>525</v>
      </c>
      <c r="CG37" s="2">
        <f>'State of the System - Sumter Co'!AH37</f>
        <v>139</v>
      </c>
      <c r="CH37" s="2">
        <f>'State of the System - Sumter Co'!AI37</f>
        <v>102</v>
      </c>
      <c r="CI37" s="11">
        <f t="shared" si="36"/>
        <v>0.26</v>
      </c>
      <c r="CJ37" s="2" t="str">
        <f t="shared" si="149"/>
        <v>C</v>
      </c>
      <c r="CK37" s="3">
        <f t="shared" si="51"/>
        <v>11794</v>
      </c>
      <c r="CL37" s="11">
        <f t="shared" si="38"/>
        <v>0.15</v>
      </c>
      <c r="CM37" s="11" t="str">
        <f t="shared" si="39"/>
        <v>NOT CONGESTED</v>
      </c>
      <c r="CN37" s="3">
        <f t="shared" si="40"/>
        <v>605</v>
      </c>
      <c r="CO37" s="11">
        <f t="shared" si="41"/>
        <v>0.23</v>
      </c>
      <c r="CP37" s="156" t="str">
        <f t="shared" si="150"/>
        <v>NOT CONGESTED</v>
      </c>
      <c r="CQ37" s="2"/>
      <c r="CR37" s="42"/>
      <c r="CS37" s="11" t="str">
        <f t="shared" si="43"/>
        <v/>
      </c>
      <c r="CT37" s="11" t="str">
        <f t="shared" si="151"/>
        <v/>
      </c>
      <c r="CU37" s="11" t="str">
        <f t="shared" si="52"/>
        <v/>
      </c>
      <c r="CV37" s="11" t="str">
        <f t="shared" si="45"/>
        <v/>
      </c>
      <c r="CW37" s="2"/>
      <c r="CX37" s="1"/>
      <c r="CY37" s="145" t="str">
        <f t="shared" si="46"/>
        <v/>
      </c>
      <c r="CZ37" s="32" t="str">
        <f t="shared" si="47"/>
        <v/>
      </c>
    </row>
    <row r="38" spans="1:104" ht="12.75" customHeight="1">
      <c r="A38" s="1">
        <v>3248105</v>
      </c>
      <c r="B38" s="1">
        <f t="shared" si="48"/>
        <v>100</v>
      </c>
      <c r="C38" s="1">
        <v>120</v>
      </c>
      <c r="D38" s="1">
        <f>VLOOKUP(C38,'2022 counts'!$A$6:$B$304,2,FALSE)</f>
        <v>100</v>
      </c>
      <c r="E38" s="5" t="s">
        <v>243</v>
      </c>
      <c r="F38" s="2" t="s">
        <v>6</v>
      </c>
      <c r="G38" s="156">
        <v>45</v>
      </c>
      <c r="H38" s="11">
        <v>1.5070251835499999</v>
      </c>
      <c r="I38" s="10" t="s">
        <v>46</v>
      </c>
      <c r="J38" s="10" t="s">
        <v>711</v>
      </c>
      <c r="K38" s="10" t="s">
        <v>113</v>
      </c>
      <c r="L38" s="157">
        <v>2</v>
      </c>
      <c r="M38" s="1">
        <f>'State of the System - Sumter Co'!K38</f>
        <v>2</v>
      </c>
      <c r="N38" s="1" t="str">
        <f>IF('State of the System - Sumter Co'!L38="URBAN","U","R")</f>
        <v>U</v>
      </c>
      <c r="O38" s="1" t="str">
        <f>IF('State of the System - Sumter Co'!M38="UNDIVIDED","U",IF('State of the System - Sumter Co'!M38="DIVIDED","D","F"))</f>
        <v>U</v>
      </c>
      <c r="P38" s="1" t="str">
        <f>'State of the System - Sumter Co'!N38</f>
        <v>INTERRUPTED</v>
      </c>
      <c r="Q38" s="1" t="str">
        <f t="shared" si="0"/>
        <v/>
      </c>
      <c r="R38" s="1" t="str">
        <f>'State of the System - Sumter Co'!O38</f>
        <v/>
      </c>
      <c r="S38" s="1" t="str">
        <f t="shared" si="144"/>
        <v>-1</v>
      </c>
      <c r="T38" s="1" t="str">
        <f t="shared" si="2"/>
        <v>U-2U-1</v>
      </c>
      <c r="U38" s="1" t="str">
        <f t="shared" si="140"/>
        <v>U-2U-1</v>
      </c>
      <c r="V38" s="1" t="s">
        <v>25</v>
      </c>
      <c r="W38" s="1" t="s">
        <v>11</v>
      </c>
      <c r="X38" s="1" t="s">
        <v>21</v>
      </c>
      <c r="Y38" s="1" t="str">
        <f>'State of the System - Sumter Co'!R38</f>
        <v>D</v>
      </c>
      <c r="Z38" s="157" t="str">
        <f t="shared" si="4"/>
        <v>Other CMP Network Roadways</v>
      </c>
      <c r="AA38" s="15">
        <f>VLOOKUP($T38,'2020_CapacityTable'!$B$49:$F$71,2)</f>
        <v>0</v>
      </c>
      <c r="AB38" s="15">
        <f>VLOOKUP($T38,'2020_CapacityTable'!$B$49:$F$71,3)</f>
        <v>16800</v>
      </c>
      <c r="AC38" s="15">
        <f>VLOOKUP($T38,'2020_CapacityTable'!$B$49:$F$71,4)</f>
        <v>17700</v>
      </c>
      <c r="AD38" s="15">
        <f>VLOOKUP($T38,'2020_CapacityTable'!$B$49:$F$71,5)</f>
        <v>17700</v>
      </c>
      <c r="AE38" s="35">
        <f t="shared" si="145"/>
        <v>-0.1</v>
      </c>
      <c r="AF38" s="36" t="str">
        <f t="shared" si="6"/>
        <v/>
      </c>
      <c r="AG38" s="35">
        <v>-0.2</v>
      </c>
      <c r="AH38" s="35" t="str">
        <f t="shared" si="141"/>
        <v/>
      </c>
      <c r="AI38" s="35"/>
      <c r="AJ38" s="36"/>
      <c r="AK38" s="15">
        <f t="shared" si="8"/>
        <v>0</v>
      </c>
      <c r="AL38" s="15">
        <f t="shared" si="9"/>
        <v>11760</v>
      </c>
      <c r="AM38" s="15">
        <f t="shared" si="10"/>
        <v>12390</v>
      </c>
      <c r="AN38" s="15">
        <f t="shared" si="11"/>
        <v>12390</v>
      </c>
      <c r="AO38" s="3">
        <f t="shared" si="152"/>
        <v>12390</v>
      </c>
      <c r="AP38" s="138">
        <f>VLOOKUP($B38,'2022 counts'!$B$6:$R$304,17,FALSE)</f>
        <v>2491</v>
      </c>
      <c r="AQ38" s="11">
        <f t="shared" si="12"/>
        <v>0.2</v>
      </c>
      <c r="AR38" s="2" t="str">
        <f t="shared" si="13"/>
        <v>C</v>
      </c>
      <c r="AS38" s="26">
        <f t="shared" si="50"/>
        <v>1.37</v>
      </c>
      <c r="AT38" s="15">
        <f>VLOOKUP($T38,'2020_CapacityTable'!$B$23:$F$45,2)</f>
        <v>0</v>
      </c>
      <c r="AU38" s="15">
        <f>VLOOKUP($T38,'2020_CapacityTable'!$B$23:$F$45,3)</f>
        <v>830</v>
      </c>
      <c r="AV38" s="15">
        <f>VLOOKUP($T38,'2020_CapacityTable'!$B$23:$F$45,4)</f>
        <v>880</v>
      </c>
      <c r="AW38" s="15">
        <f>VLOOKUP($T38,'2020_CapacityTable'!$B$23:$F$45,5)</f>
        <v>880</v>
      </c>
      <c r="AX38" s="15">
        <f t="shared" si="14"/>
        <v>0</v>
      </c>
      <c r="AY38" s="15">
        <f t="shared" si="15"/>
        <v>581</v>
      </c>
      <c r="AZ38" s="15">
        <f t="shared" si="16"/>
        <v>616</v>
      </c>
      <c r="BA38" s="15">
        <f t="shared" si="17"/>
        <v>616</v>
      </c>
      <c r="BB38" s="3">
        <f t="shared" si="146"/>
        <v>616</v>
      </c>
      <c r="BC38" s="138">
        <f>VLOOKUP($B38,'2022 counts'!$B$6:$AD$304,28,FALSE)</f>
        <v>266</v>
      </c>
      <c r="BD38" s="138">
        <f>VLOOKUP($B38,'2022 counts'!$B$6:$AD$304,29,FALSE)</f>
        <v>220</v>
      </c>
      <c r="BE38" s="11">
        <f t="shared" si="19"/>
        <v>0.43</v>
      </c>
      <c r="BF38" s="2" t="str">
        <f t="shared" si="20"/>
        <v>C</v>
      </c>
      <c r="BG38" s="135">
        <v>0.16</v>
      </c>
      <c r="BH38" s="135">
        <f>IF($AQ38="","",VLOOKUP($B38, '2022 counts'!$B$6:$T$304,19,FALSE))</f>
        <v>0.16</v>
      </c>
      <c r="BI38" s="38">
        <v>0.05</v>
      </c>
      <c r="BJ38" s="386">
        <v>-2</v>
      </c>
      <c r="BK38" s="15">
        <f>VLOOKUP($U38,'2020_CapacityTable'!$B$49:$F$71,2)</f>
        <v>0</v>
      </c>
      <c r="BL38" s="15">
        <f>VLOOKUP($U38,'2020_CapacityTable'!$B$49:$F$71,3)</f>
        <v>16800</v>
      </c>
      <c r="BM38" s="15">
        <f>VLOOKUP($T38,'2020_CapacityTable'!$B$49:$F$71,4)</f>
        <v>17700</v>
      </c>
      <c r="BN38" s="15">
        <f>VLOOKUP($T38,'2020_CapacityTable'!$B$49:$F$71,5)</f>
        <v>17700</v>
      </c>
      <c r="BO38" s="15">
        <f t="shared" si="23"/>
        <v>0</v>
      </c>
      <c r="BP38" s="15">
        <f t="shared" si="24"/>
        <v>11760</v>
      </c>
      <c r="BQ38" s="15">
        <f t="shared" si="25"/>
        <v>12390</v>
      </c>
      <c r="BR38" s="15">
        <f t="shared" si="26"/>
        <v>12390</v>
      </c>
      <c r="BS38" s="3">
        <f t="shared" si="147"/>
        <v>12390</v>
      </c>
      <c r="BT38" s="40">
        <f>'State of the System - Sumter Co'!AD38</f>
        <v>3179</v>
      </c>
      <c r="BU38" s="41">
        <f t="shared" si="28"/>
        <v>0.26</v>
      </c>
      <c r="BV38" s="2" t="str">
        <f t="shared" si="29"/>
        <v>C</v>
      </c>
      <c r="BW38" s="2">
        <f t="shared" si="30"/>
        <v>1.75</v>
      </c>
      <c r="BX38" s="15">
        <f>VLOOKUP($U38,'2020_CapacityTable'!$B$23:$F$45,2)</f>
        <v>0</v>
      </c>
      <c r="BY38" s="15">
        <f>VLOOKUP($U38,'2020_CapacityTable'!$B$23:$F$45,3)</f>
        <v>830</v>
      </c>
      <c r="BZ38" s="15">
        <f>VLOOKUP($U38,'2020_CapacityTable'!$B$23:$F$45,4)</f>
        <v>880</v>
      </c>
      <c r="CA38" s="15">
        <f>VLOOKUP($U38,'2020_CapacityTable'!$B$23:$F$45,5)</f>
        <v>880</v>
      </c>
      <c r="CB38" s="15">
        <f t="shared" si="31"/>
        <v>0</v>
      </c>
      <c r="CC38" s="15">
        <f t="shared" si="32"/>
        <v>581</v>
      </c>
      <c r="CD38" s="15">
        <f t="shared" si="33"/>
        <v>616</v>
      </c>
      <c r="CE38" s="15">
        <f t="shared" si="34"/>
        <v>616</v>
      </c>
      <c r="CF38" s="3">
        <f t="shared" si="148"/>
        <v>616</v>
      </c>
      <c r="CG38" s="2">
        <f>'State of the System - Sumter Co'!AH38</f>
        <v>339</v>
      </c>
      <c r="CH38" s="2">
        <f>'State of the System - Sumter Co'!AI38</f>
        <v>281</v>
      </c>
      <c r="CI38" s="11">
        <f t="shared" si="36"/>
        <v>0.55000000000000004</v>
      </c>
      <c r="CJ38" s="2" t="str">
        <f t="shared" si="149"/>
        <v>C</v>
      </c>
      <c r="CK38" s="3">
        <f t="shared" si="51"/>
        <v>13381</v>
      </c>
      <c r="CL38" s="11">
        <f t="shared" si="38"/>
        <v>0.24</v>
      </c>
      <c r="CM38" s="11" t="str">
        <f t="shared" si="39"/>
        <v>NOT CONGESTED</v>
      </c>
      <c r="CN38" s="3">
        <f t="shared" si="40"/>
        <v>665</v>
      </c>
      <c r="CO38" s="11">
        <f t="shared" si="41"/>
        <v>0.51</v>
      </c>
      <c r="CP38" s="156" t="str">
        <f t="shared" si="150"/>
        <v>NOT CONGESTED</v>
      </c>
      <c r="CQ38" s="2"/>
      <c r="CR38" s="42"/>
      <c r="CS38" s="11" t="str">
        <f t="shared" si="43"/>
        <v/>
      </c>
      <c r="CT38" s="11" t="str">
        <f t="shared" si="151"/>
        <v/>
      </c>
      <c r="CU38" s="11" t="str">
        <f t="shared" si="52"/>
        <v/>
      </c>
      <c r="CV38" s="11" t="str">
        <f t="shared" si="45"/>
        <v/>
      </c>
      <c r="CW38" s="2"/>
      <c r="CX38" s="1"/>
      <c r="CY38" s="145" t="str">
        <f t="shared" si="46"/>
        <v/>
      </c>
      <c r="CZ38" s="32" t="str">
        <f t="shared" si="47"/>
        <v/>
      </c>
    </row>
    <row r="39" spans="1:104" ht="12.75" customHeight="1">
      <c r="A39" s="1">
        <v>3248110</v>
      </c>
      <c r="B39" s="1">
        <f t="shared" si="48"/>
        <v>103</v>
      </c>
      <c r="C39" s="1">
        <v>1402</v>
      </c>
      <c r="D39" s="1">
        <f>VLOOKUP(C39,'2022 counts'!$A$6:$B$304,2,FALSE)</f>
        <v>103</v>
      </c>
      <c r="E39" s="1"/>
      <c r="F39" s="2" t="s">
        <v>6</v>
      </c>
      <c r="G39" s="156">
        <v>35</v>
      </c>
      <c r="H39" s="11">
        <v>1.25596122383</v>
      </c>
      <c r="I39" s="10" t="s">
        <v>46</v>
      </c>
      <c r="J39" s="10" t="s">
        <v>716</v>
      </c>
      <c r="K39" s="10" t="s">
        <v>114</v>
      </c>
      <c r="L39" s="157">
        <v>2</v>
      </c>
      <c r="M39" s="1">
        <f>'State of the System - Sumter Co'!K39</f>
        <v>2</v>
      </c>
      <c r="N39" s="1" t="str">
        <f>IF('State of the System - Sumter Co'!L39="URBAN","U","R")</f>
        <v>U</v>
      </c>
      <c r="O39" s="1" t="str">
        <f>IF('State of the System - Sumter Co'!M39="UNDIVIDED","U",IF('State of the System - Sumter Co'!M39="DIVIDED","D","F"))</f>
        <v>U</v>
      </c>
      <c r="P39" s="1" t="str">
        <f>'State of the System - Sumter Co'!N39</f>
        <v>INTERRUPTED</v>
      </c>
      <c r="Q39" s="1" t="str">
        <f t="shared" si="0"/>
        <v/>
      </c>
      <c r="R39" s="1" t="str">
        <f>'State of the System - Sumter Co'!O39</f>
        <v/>
      </c>
      <c r="S39" s="1" t="str">
        <f t="shared" si="144"/>
        <v>-2</v>
      </c>
      <c r="T39" s="1" t="str">
        <f t="shared" si="2"/>
        <v>U-2U-2</v>
      </c>
      <c r="U39" s="1" t="str">
        <f t="shared" si="140"/>
        <v>U-2U-2</v>
      </c>
      <c r="V39" s="1" t="s">
        <v>10</v>
      </c>
      <c r="W39" s="1" t="s">
        <v>25</v>
      </c>
      <c r="X39" s="1" t="s">
        <v>21</v>
      </c>
      <c r="Y39" s="1" t="str">
        <f>'State of the System - Sumter Co'!R39</f>
        <v>D</v>
      </c>
      <c r="Z39" s="157" t="str">
        <f t="shared" si="4"/>
        <v>Other CMP Network Roadways</v>
      </c>
      <c r="AA39" s="15">
        <f>VLOOKUP($T39,'2020_CapacityTable'!$B$49:$F$71,2)</f>
        <v>0</v>
      </c>
      <c r="AB39" s="15">
        <f>VLOOKUP($T39,'2020_CapacityTable'!$B$49:$F$71,3)</f>
        <v>7300</v>
      </c>
      <c r="AC39" s="15">
        <f>VLOOKUP($T39,'2020_CapacityTable'!$B$49:$F$71,4)</f>
        <v>14800</v>
      </c>
      <c r="AD39" s="15">
        <f>VLOOKUP($T39,'2020_CapacityTable'!$B$49:$F$71,5)</f>
        <v>15600</v>
      </c>
      <c r="AE39" s="35">
        <f t="shared" si="145"/>
        <v>-0.1</v>
      </c>
      <c r="AF39" s="36" t="str">
        <f t="shared" si="6"/>
        <v/>
      </c>
      <c r="AG39" s="35">
        <v>-0.2</v>
      </c>
      <c r="AH39" s="35" t="str">
        <f t="shared" si="141"/>
        <v/>
      </c>
      <c r="AI39" s="35"/>
      <c r="AJ39" s="36"/>
      <c r="AK39" s="15">
        <f t="shared" si="8"/>
        <v>0</v>
      </c>
      <c r="AL39" s="15">
        <f t="shared" si="9"/>
        <v>5110</v>
      </c>
      <c r="AM39" s="15">
        <f t="shared" si="10"/>
        <v>10360</v>
      </c>
      <c r="AN39" s="15">
        <f t="shared" si="11"/>
        <v>10920</v>
      </c>
      <c r="AO39" s="3">
        <f t="shared" si="152"/>
        <v>10360</v>
      </c>
      <c r="AP39" s="138">
        <f>VLOOKUP($B39,'2022 counts'!$B$6:$R$304,17,FALSE)</f>
        <v>1272</v>
      </c>
      <c r="AQ39" s="11">
        <f t="shared" si="12"/>
        <v>0.12</v>
      </c>
      <c r="AR39" s="2" t="str">
        <f t="shared" si="13"/>
        <v>C</v>
      </c>
      <c r="AS39" s="26">
        <f t="shared" si="50"/>
        <v>0.57999999999999996</v>
      </c>
      <c r="AT39" s="15">
        <f>VLOOKUP($T39,'2020_CapacityTable'!$B$23:$F$45,2)</f>
        <v>0</v>
      </c>
      <c r="AU39" s="15">
        <f>VLOOKUP($T39,'2020_CapacityTable'!$B$23:$F$45,3)</f>
        <v>370</v>
      </c>
      <c r="AV39" s="15">
        <f>VLOOKUP($T39,'2020_CapacityTable'!$B$23:$F$45,4)</f>
        <v>750</v>
      </c>
      <c r="AW39" s="15">
        <f>VLOOKUP($T39,'2020_CapacityTable'!$B$23:$F$45,5)</f>
        <v>800</v>
      </c>
      <c r="AX39" s="15">
        <f t="shared" si="14"/>
        <v>0</v>
      </c>
      <c r="AY39" s="15">
        <f t="shared" si="15"/>
        <v>259</v>
      </c>
      <c r="AZ39" s="15">
        <f t="shared" si="16"/>
        <v>525</v>
      </c>
      <c r="BA39" s="15">
        <f t="shared" si="17"/>
        <v>560</v>
      </c>
      <c r="BB39" s="3">
        <f t="shared" si="146"/>
        <v>525</v>
      </c>
      <c r="BC39" s="138">
        <f>VLOOKUP($B39,'2022 counts'!$B$6:$AD$304,28,FALSE)</f>
        <v>191</v>
      </c>
      <c r="BD39" s="138">
        <f>VLOOKUP($B39,'2022 counts'!$B$6:$AD$304,29,FALSE)</f>
        <v>40</v>
      </c>
      <c r="BE39" s="11">
        <f t="shared" si="19"/>
        <v>0.36</v>
      </c>
      <c r="BF39" s="2" t="str">
        <f t="shared" si="20"/>
        <v>C</v>
      </c>
      <c r="BG39" s="135">
        <v>0</v>
      </c>
      <c r="BH39" s="135">
        <f>IF($AQ39="","",VLOOKUP($B39, '2022 counts'!$B$6:$T$304,19,FALSE))</f>
        <v>0</v>
      </c>
      <c r="BI39" s="38">
        <f t="shared" si="21"/>
        <v>0.01</v>
      </c>
      <c r="BJ39" s="39" t="str">
        <f t="shared" si="22"/>
        <v>minimum</v>
      </c>
      <c r="BK39" s="15">
        <f>VLOOKUP($U39,'2020_CapacityTable'!$B$49:$F$71,2)</f>
        <v>0</v>
      </c>
      <c r="BL39" s="15">
        <f>VLOOKUP($U39,'2020_CapacityTable'!$B$49:$F$71,3)</f>
        <v>7300</v>
      </c>
      <c r="BM39" s="15">
        <f>VLOOKUP($T39,'2020_CapacityTable'!$B$49:$F$71,4)</f>
        <v>14800</v>
      </c>
      <c r="BN39" s="15">
        <f>VLOOKUP($T39,'2020_CapacityTable'!$B$49:$F$71,5)</f>
        <v>15600</v>
      </c>
      <c r="BO39" s="15">
        <f t="shared" si="23"/>
        <v>0</v>
      </c>
      <c r="BP39" s="15">
        <f t="shared" si="24"/>
        <v>5110</v>
      </c>
      <c r="BQ39" s="15">
        <f t="shared" si="25"/>
        <v>10360</v>
      </c>
      <c r="BR39" s="15">
        <f t="shared" si="26"/>
        <v>10920</v>
      </c>
      <c r="BS39" s="3">
        <f t="shared" si="147"/>
        <v>10360</v>
      </c>
      <c r="BT39" s="40">
        <f>'State of the System - Sumter Co'!AD39</f>
        <v>1337</v>
      </c>
      <c r="BU39" s="41">
        <f t="shared" si="28"/>
        <v>0.13</v>
      </c>
      <c r="BV39" s="2" t="str">
        <f t="shared" si="29"/>
        <v>C</v>
      </c>
      <c r="BW39" s="2">
        <f t="shared" si="30"/>
        <v>0.61</v>
      </c>
      <c r="BX39" s="15">
        <f>VLOOKUP($U39,'2020_CapacityTable'!$B$23:$F$45,2)</f>
        <v>0</v>
      </c>
      <c r="BY39" s="15">
        <f>VLOOKUP($U39,'2020_CapacityTable'!$B$23:$F$45,3)</f>
        <v>370</v>
      </c>
      <c r="BZ39" s="15">
        <f>VLOOKUP($U39,'2020_CapacityTable'!$B$23:$F$45,4)</f>
        <v>750</v>
      </c>
      <c r="CA39" s="15">
        <f>VLOOKUP($U39,'2020_CapacityTable'!$B$23:$F$45,5)</f>
        <v>800</v>
      </c>
      <c r="CB39" s="15">
        <f t="shared" si="31"/>
        <v>0</v>
      </c>
      <c r="CC39" s="15">
        <f t="shared" si="32"/>
        <v>259</v>
      </c>
      <c r="CD39" s="15">
        <f t="shared" si="33"/>
        <v>525</v>
      </c>
      <c r="CE39" s="15">
        <f t="shared" si="34"/>
        <v>560</v>
      </c>
      <c r="CF39" s="3">
        <f t="shared" si="148"/>
        <v>525</v>
      </c>
      <c r="CG39" s="2">
        <f>'State of the System - Sumter Co'!AH39</f>
        <v>201</v>
      </c>
      <c r="CH39" s="2">
        <f>'State of the System - Sumter Co'!AI39</f>
        <v>42</v>
      </c>
      <c r="CI39" s="11">
        <f t="shared" si="36"/>
        <v>0.38</v>
      </c>
      <c r="CJ39" s="2" t="str">
        <f t="shared" si="149"/>
        <v>C</v>
      </c>
      <c r="CK39" s="3">
        <f t="shared" si="51"/>
        <v>11794</v>
      </c>
      <c r="CL39" s="11">
        <f t="shared" si="38"/>
        <v>0.11</v>
      </c>
      <c r="CM39" s="11" t="str">
        <f t="shared" si="39"/>
        <v>NOT CONGESTED</v>
      </c>
      <c r="CN39" s="3">
        <f t="shared" si="40"/>
        <v>605</v>
      </c>
      <c r="CO39" s="11">
        <f t="shared" si="41"/>
        <v>0.33</v>
      </c>
      <c r="CP39" s="156" t="str">
        <f t="shared" si="150"/>
        <v>NOT CONGESTED</v>
      </c>
      <c r="CQ39" s="2"/>
      <c r="CR39" s="42"/>
      <c r="CS39" s="11" t="str">
        <f t="shared" si="43"/>
        <v/>
      </c>
      <c r="CT39" s="11" t="str">
        <f t="shared" si="151"/>
        <v/>
      </c>
      <c r="CU39" s="11" t="str">
        <f t="shared" si="52"/>
        <v/>
      </c>
      <c r="CV39" s="11" t="str">
        <f t="shared" si="45"/>
        <v/>
      </c>
      <c r="CW39" s="2"/>
      <c r="CX39" s="1"/>
      <c r="CY39" s="145" t="str">
        <f t="shared" si="46"/>
        <v/>
      </c>
      <c r="CZ39" s="32" t="str">
        <f t="shared" si="47"/>
        <v/>
      </c>
    </row>
    <row r="40" spans="1:104" ht="12.75" customHeight="1">
      <c r="A40" s="1">
        <v>3248400</v>
      </c>
      <c r="B40" s="1">
        <f t="shared" si="48"/>
        <v>94</v>
      </c>
      <c r="C40" s="1">
        <v>468</v>
      </c>
      <c r="D40" s="1">
        <f>VLOOKUP(C40,'2022 counts'!$A$6:$B$304,2,FALSE)</f>
        <v>94</v>
      </c>
      <c r="E40" s="1"/>
      <c r="F40" s="2" t="s">
        <v>6</v>
      </c>
      <c r="G40" s="156">
        <v>35</v>
      </c>
      <c r="H40" s="11">
        <v>1.31388845148</v>
      </c>
      <c r="I40" s="10" t="s">
        <v>108</v>
      </c>
      <c r="J40" s="10" t="s">
        <v>40</v>
      </c>
      <c r="K40" s="10" t="s">
        <v>54</v>
      </c>
      <c r="L40" s="157">
        <v>2</v>
      </c>
      <c r="M40" s="1">
        <f>'State of the System - Sumter Co'!K40</f>
        <v>2</v>
      </c>
      <c r="N40" s="1" t="str">
        <f>IF('State of the System - Sumter Co'!L40="URBAN","U","R")</f>
        <v>U</v>
      </c>
      <c r="O40" s="1" t="str">
        <f>IF('State of the System - Sumter Co'!M40="UNDIVIDED","U",IF('State of the System - Sumter Co'!M40="DIVIDED","D","F"))</f>
        <v>U</v>
      </c>
      <c r="P40" s="1" t="str">
        <f>'State of the System - Sumter Co'!N40</f>
        <v>INTERRUPTED</v>
      </c>
      <c r="Q40" s="1" t="str">
        <f t="shared" si="0"/>
        <v/>
      </c>
      <c r="R40" s="1" t="str">
        <f>'State of the System - Sumter Co'!O40</f>
        <v/>
      </c>
      <c r="S40" s="1" t="str">
        <f t="shared" si="144"/>
        <v>-2</v>
      </c>
      <c r="T40" s="1" t="str">
        <f t="shared" si="2"/>
        <v>U-2U-2</v>
      </c>
      <c r="U40" s="1" t="str">
        <f t="shared" si="140"/>
        <v>U-2U-2</v>
      </c>
      <c r="V40" s="1" t="s">
        <v>10</v>
      </c>
      <c r="W40" s="1" t="s">
        <v>11</v>
      </c>
      <c r="X40" s="1" t="s">
        <v>21</v>
      </c>
      <c r="Y40" s="1" t="str">
        <f>'State of the System - Sumter Co'!R40</f>
        <v>C</v>
      </c>
      <c r="Z40" s="157" t="str">
        <f t="shared" si="4"/>
        <v>Other CMP Network Roadways</v>
      </c>
      <c r="AA40" s="15">
        <f>VLOOKUP($T40,'2020_CapacityTable'!$B$49:$F$71,2)</f>
        <v>0</v>
      </c>
      <c r="AB40" s="15">
        <f>VLOOKUP($T40,'2020_CapacityTable'!$B$49:$F$71,3)</f>
        <v>7300</v>
      </c>
      <c r="AC40" s="15">
        <f>VLOOKUP($T40,'2020_CapacityTable'!$B$49:$F$71,4)</f>
        <v>14800</v>
      </c>
      <c r="AD40" s="15">
        <f>VLOOKUP($T40,'2020_CapacityTable'!$B$49:$F$71,5)</f>
        <v>15600</v>
      </c>
      <c r="AE40" s="35">
        <f t="shared" si="145"/>
        <v>-0.1</v>
      </c>
      <c r="AF40" s="36" t="str">
        <f t="shared" si="6"/>
        <v/>
      </c>
      <c r="AG40" s="35">
        <v>-0.2</v>
      </c>
      <c r="AH40" s="35" t="str">
        <f t="shared" si="141"/>
        <v/>
      </c>
      <c r="AI40" s="35"/>
      <c r="AJ40" s="36"/>
      <c r="AK40" s="15">
        <f t="shared" si="8"/>
        <v>0</v>
      </c>
      <c r="AL40" s="15">
        <f t="shared" si="9"/>
        <v>5110</v>
      </c>
      <c r="AM40" s="15">
        <f t="shared" si="10"/>
        <v>10360</v>
      </c>
      <c r="AN40" s="15">
        <f t="shared" si="11"/>
        <v>10920</v>
      </c>
      <c r="AO40" s="3">
        <f t="shared" si="152"/>
        <v>5110</v>
      </c>
      <c r="AP40" s="138">
        <f>VLOOKUP($B40,'2022 counts'!$B$6:$R$304,17,FALSE)</f>
        <v>3208</v>
      </c>
      <c r="AQ40" s="11">
        <f t="shared" si="12"/>
        <v>0.63</v>
      </c>
      <c r="AR40" s="2" t="str">
        <f t="shared" si="13"/>
        <v>C</v>
      </c>
      <c r="AS40" s="26">
        <f t="shared" si="50"/>
        <v>1.54</v>
      </c>
      <c r="AT40" s="15">
        <f>VLOOKUP($T40,'2020_CapacityTable'!$B$23:$F$45,2)</f>
        <v>0</v>
      </c>
      <c r="AU40" s="15">
        <f>VLOOKUP($T40,'2020_CapacityTable'!$B$23:$F$45,3)</f>
        <v>370</v>
      </c>
      <c r="AV40" s="15">
        <f>VLOOKUP($T40,'2020_CapacityTable'!$B$23:$F$45,4)</f>
        <v>750</v>
      </c>
      <c r="AW40" s="15">
        <f>VLOOKUP($T40,'2020_CapacityTable'!$B$23:$F$45,5)</f>
        <v>800</v>
      </c>
      <c r="AX40" s="15">
        <f t="shared" si="14"/>
        <v>0</v>
      </c>
      <c r="AY40" s="15">
        <f t="shared" si="15"/>
        <v>259</v>
      </c>
      <c r="AZ40" s="15">
        <f t="shared" si="16"/>
        <v>525</v>
      </c>
      <c r="BA40" s="15">
        <f t="shared" si="17"/>
        <v>560</v>
      </c>
      <c r="BB40" s="3">
        <f t="shared" si="146"/>
        <v>259</v>
      </c>
      <c r="BC40" s="138">
        <f>VLOOKUP($B40,'2022 counts'!$B$6:$AD$304,28,FALSE)</f>
        <v>108</v>
      </c>
      <c r="BD40" s="138">
        <f>VLOOKUP($B40,'2022 counts'!$B$6:$AD$304,29,FALSE)</f>
        <v>242</v>
      </c>
      <c r="BE40" s="11">
        <f t="shared" si="19"/>
        <v>0.93</v>
      </c>
      <c r="BF40" s="2" t="str">
        <f t="shared" si="20"/>
        <v>C</v>
      </c>
      <c r="BG40" s="135">
        <v>6.25E-2</v>
      </c>
      <c r="BH40" s="135">
        <f>IF($AQ40="","",VLOOKUP($B40, '2022 counts'!$B$6:$T$304,19,FALSE))</f>
        <v>2.75E-2</v>
      </c>
      <c r="BI40" s="38">
        <f t="shared" si="21"/>
        <v>2.75E-2</v>
      </c>
      <c r="BJ40" s="39" t="str">
        <f t="shared" si="22"/>
        <v>(1)</v>
      </c>
      <c r="BK40" s="15">
        <f>VLOOKUP($U40,'2020_CapacityTable'!$B$49:$F$71,2)</f>
        <v>0</v>
      </c>
      <c r="BL40" s="15">
        <f>VLOOKUP($U40,'2020_CapacityTable'!$B$49:$F$71,3)</f>
        <v>7300</v>
      </c>
      <c r="BM40" s="15">
        <f>VLOOKUP($T40,'2020_CapacityTable'!$B$49:$F$71,4)</f>
        <v>14800</v>
      </c>
      <c r="BN40" s="15">
        <f>VLOOKUP($T40,'2020_CapacityTable'!$B$49:$F$71,5)</f>
        <v>15600</v>
      </c>
      <c r="BO40" s="15">
        <f t="shared" si="23"/>
        <v>0</v>
      </c>
      <c r="BP40" s="15">
        <f t="shared" si="24"/>
        <v>5110</v>
      </c>
      <c r="BQ40" s="15">
        <f t="shared" si="25"/>
        <v>10360</v>
      </c>
      <c r="BR40" s="15">
        <f t="shared" si="26"/>
        <v>10920</v>
      </c>
      <c r="BS40" s="3">
        <f t="shared" si="147"/>
        <v>5110</v>
      </c>
      <c r="BT40" s="40">
        <f>'State of the System - Sumter Co'!AD40</f>
        <v>3674</v>
      </c>
      <c r="BU40" s="41">
        <f t="shared" si="28"/>
        <v>0.72</v>
      </c>
      <c r="BV40" s="2" t="str">
        <f t="shared" si="29"/>
        <v>C</v>
      </c>
      <c r="BW40" s="2">
        <f t="shared" si="30"/>
        <v>1.76</v>
      </c>
      <c r="BX40" s="15">
        <f>VLOOKUP($U40,'2020_CapacityTable'!$B$23:$F$45,2)</f>
        <v>0</v>
      </c>
      <c r="BY40" s="15">
        <f>VLOOKUP($U40,'2020_CapacityTable'!$B$23:$F$45,3)</f>
        <v>370</v>
      </c>
      <c r="BZ40" s="15">
        <f>VLOOKUP($U40,'2020_CapacityTable'!$B$23:$F$45,4)</f>
        <v>750</v>
      </c>
      <c r="CA40" s="15">
        <f>VLOOKUP($U40,'2020_CapacityTable'!$B$23:$F$45,5)</f>
        <v>800</v>
      </c>
      <c r="CB40" s="15">
        <f t="shared" si="31"/>
        <v>0</v>
      </c>
      <c r="CC40" s="15">
        <f t="shared" si="32"/>
        <v>259</v>
      </c>
      <c r="CD40" s="15">
        <f t="shared" si="33"/>
        <v>525</v>
      </c>
      <c r="CE40" s="15">
        <f t="shared" si="34"/>
        <v>560</v>
      </c>
      <c r="CF40" s="3">
        <f t="shared" si="148"/>
        <v>259</v>
      </c>
      <c r="CG40" s="2">
        <f>'State of the System - Sumter Co'!AH40</f>
        <v>124</v>
      </c>
      <c r="CH40" s="2">
        <f>'State of the System - Sumter Co'!AI40</f>
        <v>277</v>
      </c>
      <c r="CI40" s="11">
        <f t="shared" si="36"/>
        <v>1.07</v>
      </c>
      <c r="CJ40" s="2" t="str">
        <f t="shared" si="149"/>
        <v>D</v>
      </c>
      <c r="CK40" s="3">
        <f t="shared" si="51"/>
        <v>11794</v>
      </c>
      <c r="CL40" s="11">
        <f t="shared" si="38"/>
        <v>0.31</v>
      </c>
      <c r="CM40" s="11" t="str">
        <f t="shared" si="39"/>
        <v>NOT CONGESTED</v>
      </c>
      <c r="CN40" s="3">
        <f t="shared" si="40"/>
        <v>605</v>
      </c>
      <c r="CO40" s="11">
        <f t="shared" si="41"/>
        <v>0.46</v>
      </c>
      <c r="CP40" s="260" t="str">
        <f t="shared" si="150"/>
        <v>CONGESTED (2025)</v>
      </c>
      <c r="CQ40" s="3" t="s">
        <v>557</v>
      </c>
      <c r="CR40" s="44">
        <v>0</v>
      </c>
      <c r="CS40" s="11" t="str">
        <f t="shared" si="43"/>
        <v/>
      </c>
      <c r="CT40" s="11" t="str">
        <f t="shared" si="151"/>
        <v/>
      </c>
      <c r="CU40" s="11" t="str">
        <f t="shared" si="52"/>
        <v/>
      </c>
      <c r="CV40" s="11" t="str">
        <f t="shared" si="45"/>
        <v/>
      </c>
      <c r="CW40" s="2"/>
      <c r="CX40" s="1"/>
      <c r="CY40" s="145" t="str">
        <f t="shared" si="46"/>
        <v/>
      </c>
      <c r="CZ40" s="32" t="str">
        <f t="shared" si="47"/>
        <v/>
      </c>
    </row>
    <row r="41" spans="1:104" ht="12.75" customHeight="1">
      <c r="A41" s="1">
        <v>3253100</v>
      </c>
      <c r="B41" s="1">
        <f t="shared" si="48"/>
        <v>85307</v>
      </c>
      <c r="C41" s="1">
        <v>85307</v>
      </c>
      <c r="D41" s="1">
        <f>VLOOKUP(C41,'2022 counts'!$A$6:$B$304,2,FALSE)</f>
        <v>85307</v>
      </c>
      <c r="E41" s="1">
        <v>85307</v>
      </c>
      <c r="F41" s="2" t="s">
        <v>136</v>
      </c>
      <c r="G41" s="156">
        <v>60</v>
      </c>
      <c r="H41" s="11">
        <v>0.60949020968000001</v>
      </c>
      <c r="I41" s="10" t="s">
        <v>40</v>
      </c>
      <c r="J41" s="10" t="s">
        <v>83</v>
      </c>
      <c r="K41" s="10" t="s">
        <v>161</v>
      </c>
      <c r="L41" s="157">
        <v>2</v>
      </c>
      <c r="M41" s="1">
        <f>'State of the System - Sumter Co'!K41</f>
        <v>2</v>
      </c>
      <c r="N41" s="1" t="str">
        <f>IF('State of the System - Sumter Co'!L41="URBAN","U","R")</f>
        <v>R</v>
      </c>
      <c r="O41" s="1" t="str">
        <f>IF('State of the System - Sumter Co'!M41="UNDIVIDED","U",IF('State of the System - Sumter Co'!M41="DIVIDED","D","F"))</f>
        <v>U</v>
      </c>
      <c r="P41" s="1" t="str">
        <f>'State of the System - Sumter Co'!N41</f>
        <v>UNINTERRUPTED</v>
      </c>
      <c r="Q41" s="1" t="str">
        <f t="shared" si="0"/>
        <v>z</v>
      </c>
      <c r="R41" s="1" t="str">
        <f>'State of the System - Sumter Co'!O41</f>
        <v>UNDEVELOPED</v>
      </c>
      <c r="S41" s="1" t="str">
        <f t="shared" si="144"/>
        <v/>
      </c>
      <c r="T41" s="1" t="str">
        <f t="shared" si="2"/>
        <v>R-2Uz</v>
      </c>
      <c r="U41" s="1" t="str">
        <f t="shared" si="140"/>
        <v>R-2Uz</v>
      </c>
      <c r="V41" s="1" t="s">
        <v>137</v>
      </c>
      <c r="W41" s="1" t="s">
        <v>11</v>
      </c>
      <c r="X41" s="1" t="s">
        <v>138</v>
      </c>
      <c r="Y41" s="1" t="str">
        <f>'State of the System - Sumter Co'!R41</f>
        <v>C</v>
      </c>
      <c r="Z41" s="157" t="str">
        <f t="shared" si="4"/>
        <v>NHS Non-Interstate</v>
      </c>
      <c r="AA41" s="15">
        <f>VLOOKUP($T41,'2020_CapacityTable'!$B$49:$F$71,2)</f>
        <v>4600</v>
      </c>
      <c r="AB41" s="15">
        <f>VLOOKUP($T41,'2020_CapacityTable'!$B$49:$F$71,3)</f>
        <v>8600</v>
      </c>
      <c r="AC41" s="15">
        <f>VLOOKUP($T41,'2020_CapacityTable'!$B$49:$F$71,4)</f>
        <v>14000</v>
      </c>
      <c r="AD41" s="15">
        <f>VLOOKUP($T41,'2020_CapacityTable'!$B$49:$F$71,5)</f>
        <v>28500</v>
      </c>
      <c r="AE41" s="35" t="str">
        <f t="shared" si="145"/>
        <v/>
      </c>
      <c r="AF41" s="36" t="str">
        <f t="shared" si="6"/>
        <v/>
      </c>
      <c r="AG41" s="35" t="str">
        <f>IF(AND(L41=2,P41="interrupted",O41="U"),"LOOK","")</f>
        <v/>
      </c>
      <c r="AH41" s="35" t="str">
        <f t="shared" si="141"/>
        <v/>
      </c>
      <c r="AI41" s="35"/>
      <c r="AJ41" s="36"/>
      <c r="AK41" s="15">
        <f t="shared" si="8"/>
        <v>4600</v>
      </c>
      <c r="AL41" s="15">
        <f t="shared" si="9"/>
        <v>8600</v>
      </c>
      <c r="AM41" s="15">
        <f t="shared" si="10"/>
        <v>14000</v>
      </c>
      <c r="AN41" s="15">
        <f t="shared" si="11"/>
        <v>28500</v>
      </c>
      <c r="AO41" s="3">
        <f t="shared" si="152"/>
        <v>8600</v>
      </c>
      <c r="AP41" s="138">
        <f>VLOOKUP($B41,'2022 counts'!$B$6:$R$304,17,FALSE)</f>
        <v>4560</v>
      </c>
      <c r="AQ41" s="11">
        <f t="shared" si="12"/>
        <v>0.53</v>
      </c>
      <c r="AR41" s="2" t="str">
        <f t="shared" si="13"/>
        <v>B</v>
      </c>
      <c r="AS41" s="26">
        <f t="shared" si="50"/>
        <v>1.01</v>
      </c>
      <c r="AT41" s="15">
        <f>VLOOKUP($T41,'2020_CapacityTable'!$B$23:$F$45,2)</f>
        <v>240</v>
      </c>
      <c r="AU41" s="15">
        <f>VLOOKUP($T41,'2020_CapacityTable'!$B$23:$F$45,3)</f>
        <v>450</v>
      </c>
      <c r="AV41" s="15">
        <f>VLOOKUP($T41,'2020_CapacityTable'!$B$23:$F$45,4)</f>
        <v>730</v>
      </c>
      <c r="AW41" s="15">
        <f>VLOOKUP($T41,'2020_CapacityTable'!$B$23:$F$45,5)</f>
        <v>1490</v>
      </c>
      <c r="AX41" s="15">
        <f t="shared" si="14"/>
        <v>240</v>
      </c>
      <c r="AY41" s="15">
        <f t="shared" si="15"/>
        <v>450</v>
      </c>
      <c r="AZ41" s="15">
        <f t="shared" si="16"/>
        <v>730</v>
      </c>
      <c r="BA41" s="15">
        <f t="shared" si="17"/>
        <v>1490</v>
      </c>
      <c r="BB41" s="3">
        <f t="shared" si="146"/>
        <v>450</v>
      </c>
      <c r="BC41" s="138">
        <f>VLOOKUP($B41,'2022 counts'!$B$6:$AD$304,28,FALSE)</f>
        <v>188</v>
      </c>
      <c r="BD41" s="138">
        <f>VLOOKUP($B41,'2022 counts'!$B$6:$AD$304,29,FALSE)</f>
        <v>222</v>
      </c>
      <c r="BE41" s="11">
        <f t="shared" si="19"/>
        <v>0.49</v>
      </c>
      <c r="BF41" s="2" t="str">
        <f t="shared" si="20"/>
        <v>B</v>
      </c>
      <c r="BG41" s="135">
        <v>0</v>
      </c>
      <c r="BH41" s="135">
        <f>IF($AQ41="","",VLOOKUP($B41, '2022 counts'!$B$6:$T$304,19,FALSE))</f>
        <v>0</v>
      </c>
      <c r="BI41" s="38">
        <f t="shared" si="21"/>
        <v>0.01</v>
      </c>
      <c r="BJ41" s="39" t="str">
        <f t="shared" si="22"/>
        <v>minimum</v>
      </c>
      <c r="BK41" s="15">
        <f>VLOOKUP($U41,'2020_CapacityTable'!$B$49:$F$71,2)</f>
        <v>4600</v>
      </c>
      <c r="BL41" s="15">
        <f>VLOOKUP($U41,'2020_CapacityTable'!$B$49:$F$71,3)</f>
        <v>8600</v>
      </c>
      <c r="BM41" s="15">
        <f>VLOOKUP($T41,'2020_CapacityTable'!$B$49:$F$71,4)</f>
        <v>14000</v>
      </c>
      <c r="BN41" s="15">
        <f>VLOOKUP($T41,'2020_CapacityTable'!$B$49:$F$71,5)</f>
        <v>28500</v>
      </c>
      <c r="BO41" s="15">
        <f t="shared" si="23"/>
        <v>4600</v>
      </c>
      <c r="BP41" s="15">
        <f t="shared" si="24"/>
        <v>8600</v>
      </c>
      <c r="BQ41" s="15">
        <f t="shared" si="25"/>
        <v>14000</v>
      </c>
      <c r="BR41" s="15">
        <f t="shared" si="26"/>
        <v>28500</v>
      </c>
      <c r="BS41" s="3">
        <f t="shared" si="147"/>
        <v>8600</v>
      </c>
      <c r="BT41" s="40">
        <f>'State of the System - Sumter Co'!AD41</f>
        <v>4793</v>
      </c>
      <c r="BU41" s="41">
        <f t="shared" si="28"/>
        <v>0.56000000000000005</v>
      </c>
      <c r="BV41" s="2" t="str">
        <f t="shared" si="29"/>
        <v>C</v>
      </c>
      <c r="BW41" s="2">
        <f t="shared" si="30"/>
        <v>1.07</v>
      </c>
      <c r="BX41" s="15">
        <f>VLOOKUP($U41,'2020_CapacityTable'!$B$23:$F$45,2)</f>
        <v>240</v>
      </c>
      <c r="BY41" s="15">
        <f>VLOOKUP($U41,'2020_CapacityTable'!$B$23:$F$45,3)</f>
        <v>450</v>
      </c>
      <c r="BZ41" s="15">
        <f>VLOOKUP($U41,'2020_CapacityTable'!$B$23:$F$45,4)</f>
        <v>730</v>
      </c>
      <c r="CA41" s="15">
        <f>VLOOKUP($U41,'2020_CapacityTable'!$B$23:$F$45,5)</f>
        <v>1490</v>
      </c>
      <c r="CB41" s="15">
        <f t="shared" si="31"/>
        <v>240</v>
      </c>
      <c r="CC41" s="15">
        <f t="shared" si="32"/>
        <v>450</v>
      </c>
      <c r="CD41" s="15">
        <f t="shared" si="33"/>
        <v>730</v>
      </c>
      <c r="CE41" s="15">
        <f t="shared" si="34"/>
        <v>1490</v>
      </c>
      <c r="CF41" s="3">
        <f t="shared" si="148"/>
        <v>450</v>
      </c>
      <c r="CG41" s="2">
        <f>'State of the System - Sumter Co'!AH41</f>
        <v>198</v>
      </c>
      <c r="CH41" s="2">
        <f>'State of the System - Sumter Co'!AI41</f>
        <v>233</v>
      </c>
      <c r="CI41" s="11">
        <f t="shared" si="36"/>
        <v>0.52</v>
      </c>
      <c r="CJ41" s="2" t="str">
        <f t="shared" si="149"/>
        <v>B</v>
      </c>
      <c r="CK41" s="3">
        <f t="shared" si="51"/>
        <v>30780</v>
      </c>
      <c r="CL41" s="11">
        <f t="shared" si="38"/>
        <v>0.16</v>
      </c>
      <c r="CM41" s="11" t="str">
        <f t="shared" si="39"/>
        <v>NOT CONGESTED</v>
      </c>
      <c r="CN41" s="3">
        <f t="shared" si="40"/>
        <v>1609</v>
      </c>
      <c r="CO41" s="11">
        <f t="shared" si="41"/>
        <v>0.14000000000000001</v>
      </c>
      <c r="CP41" s="156" t="str">
        <f t="shared" si="150"/>
        <v>NOT CONGESTED</v>
      </c>
      <c r="CQ41" s="3"/>
      <c r="CR41" s="3"/>
      <c r="CS41" s="11" t="str">
        <f t="shared" si="43"/>
        <v/>
      </c>
      <c r="CT41" s="11" t="str">
        <f t="shared" si="151"/>
        <v/>
      </c>
      <c r="CU41" s="11" t="str">
        <f t="shared" si="52"/>
        <v/>
      </c>
      <c r="CV41" s="11" t="str">
        <f t="shared" si="45"/>
        <v/>
      </c>
      <c r="CW41" s="2"/>
      <c r="CX41" s="1"/>
      <c r="CY41" s="145" t="str">
        <f t="shared" si="46"/>
        <v/>
      </c>
      <c r="CZ41" s="32" t="str">
        <f t="shared" si="47"/>
        <v/>
      </c>
    </row>
    <row r="42" spans="1:104" ht="12.75" customHeight="1">
      <c r="A42" s="1">
        <v>3253110</v>
      </c>
      <c r="B42" s="1">
        <f t="shared" si="48"/>
        <v>180042</v>
      </c>
      <c r="C42" s="1">
        <v>426</v>
      </c>
      <c r="D42" s="1" t="str">
        <f>VLOOKUP(C42,'2022 counts'!$A$6:$B$304,2,FALSE)</f>
        <v>STATE</v>
      </c>
      <c r="E42" s="1">
        <v>180042</v>
      </c>
      <c r="F42" s="2" t="s">
        <v>136</v>
      </c>
      <c r="G42" s="156">
        <v>30</v>
      </c>
      <c r="H42" s="11">
        <v>0.18464853823399999</v>
      </c>
      <c r="I42" s="10" t="s">
        <v>692</v>
      </c>
      <c r="J42" s="10" t="s">
        <v>717</v>
      </c>
      <c r="K42" s="10" t="s">
        <v>718</v>
      </c>
      <c r="L42" s="157">
        <v>2</v>
      </c>
      <c r="M42" s="1">
        <f>'State of the System - Sumter Co'!K42</f>
        <v>2</v>
      </c>
      <c r="N42" s="1" t="str">
        <f>IF('State of the System - Sumter Co'!L42="URBAN","U","R")</f>
        <v>R</v>
      </c>
      <c r="O42" s="1" t="str">
        <f>IF('State of the System - Sumter Co'!M42="UNDIVIDED","U",IF('State of the System - Sumter Co'!M42="DIVIDED","D","F"))</f>
        <v>U</v>
      </c>
      <c r="P42" s="1" t="str">
        <f>'State of the System - Sumter Co'!N42</f>
        <v>INTERRUPTED</v>
      </c>
      <c r="Q42" s="1" t="str">
        <f t="shared" si="0"/>
        <v>x</v>
      </c>
      <c r="R42" s="1" t="str">
        <f>'State of the System - Sumter Co'!O42</f>
        <v/>
      </c>
      <c r="S42" s="1" t="str">
        <f t="shared" si="144"/>
        <v/>
      </c>
      <c r="T42" s="1" t="str">
        <f t="shared" si="2"/>
        <v>R-2Ux</v>
      </c>
      <c r="U42" s="1" t="str">
        <f t="shared" si="140"/>
        <v>R-2Ux</v>
      </c>
      <c r="V42" s="1" t="s">
        <v>137</v>
      </c>
      <c r="W42" s="1" t="s">
        <v>76</v>
      </c>
      <c r="X42" s="1" t="s">
        <v>138</v>
      </c>
      <c r="Y42" s="1" t="str">
        <f>'State of the System - Sumter Co'!R42</f>
        <v>C</v>
      </c>
      <c r="Z42" s="157" t="str">
        <f t="shared" si="4"/>
        <v>NHS Non-Interstate</v>
      </c>
      <c r="AA42" s="15">
        <f>VLOOKUP($T42,'2020_CapacityTable'!$B$49:$F$71,2)</f>
        <v>0</v>
      </c>
      <c r="AB42" s="15">
        <f>VLOOKUP($T42,'2020_CapacityTable'!$B$49:$F$71,3)</f>
        <v>12900</v>
      </c>
      <c r="AC42" s="15">
        <f>VLOOKUP($T42,'2020_CapacityTable'!$B$49:$F$71,4)</f>
        <v>14200</v>
      </c>
      <c r="AD42" s="15">
        <f>VLOOKUP($T42,'2020_CapacityTable'!$B$49:$F$71,5)</f>
        <v>14200</v>
      </c>
      <c r="AE42" s="35" t="str">
        <f t="shared" si="145"/>
        <v/>
      </c>
      <c r="AF42" s="36" t="str">
        <f t="shared" si="6"/>
        <v/>
      </c>
      <c r="AG42" s="35">
        <v>-0.2</v>
      </c>
      <c r="AH42" s="35" t="str">
        <f t="shared" si="141"/>
        <v/>
      </c>
      <c r="AI42" s="35" t="str">
        <f>IF(L42&gt;2,"LOOK","")</f>
        <v/>
      </c>
      <c r="AJ42" s="36"/>
      <c r="AK42" s="15">
        <f t="shared" si="8"/>
        <v>0</v>
      </c>
      <c r="AL42" s="15">
        <f t="shared" si="9"/>
        <v>10320</v>
      </c>
      <c r="AM42" s="15">
        <f t="shared" si="10"/>
        <v>11360</v>
      </c>
      <c r="AN42" s="15">
        <f t="shared" si="11"/>
        <v>11360</v>
      </c>
      <c r="AO42" s="3">
        <f t="shared" si="152"/>
        <v>10320</v>
      </c>
      <c r="AP42" s="138">
        <f>VLOOKUP($B42,'2022 counts'!$B$6:$R$304,17,FALSE)</f>
        <v>3770</v>
      </c>
      <c r="AQ42" s="11">
        <f t="shared" si="12"/>
        <v>0.37</v>
      </c>
      <c r="AR42" s="2" t="str">
        <f t="shared" si="13"/>
        <v>C</v>
      </c>
      <c r="AS42" s="26">
        <f t="shared" si="50"/>
        <v>0.25</v>
      </c>
      <c r="AT42" s="15">
        <f>VLOOKUP($T42,'2020_CapacityTable'!$B$23:$F$45,2)</f>
        <v>0</v>
      </c>
      <c r="AU42" s="15">
        <f>VLOOKUP($T42,'2020_CapacityTable'!$B$23:$F$45,3)</f>
        <v>670</v>
      </c>
      <c r="AV42" s="15">
        <f>VLOOKUP($T42,'2020_CapacityTable'!$B$23:$F$45,4)</f>
        <v>740</v>
      </c>
      <c r="AW42" s="15">
        <f>VLOOKUP($T42,'2020_CapacityTable'!$B$23:$F$45,5)</f>
        <v>740</v>
      </c>
      <c r="AX42" s="15">
        <f t="shared" si="14"/>
        <v>0</v>
      </c>
      <c r="AY42" s="15">
        <f t="shared" si="15"/>
        <v>536</v>
      </c>
      <c r="AZ42" s="15">
        <f t="shared" si="16"/>
        <v>592</v>
      </c>
      <c r="BA42" s="15">
        <f t="shared" si="17"/>
        <v>592</v>
      </c>
      <c r="BB42" s="3">
        <f t="shared" si="146"/>
        <v>536</v>
      </c>
      <c r="BC42" s="138">
        <f>VLOOKUP($B42,'2022 counts'!$B$6:$AD$304,28,FALSE)</f>
        <v>190</v>
      </c>
      <c r="BD42" s="138">
        <f>VLOOKUP($B42,'2022 counts'!$B$6:$AD$304,29,FALSE)</f>
        <v>168</v>
      </c>
      <c r="BE42" s="11">
        <f t="shared" si="19"/>
        <v>0.35</v>
      </c>
      <c r="BF42" s="2" t="str">
        <f t="shared" si="20"/>
        <v>C</v>
      </c>
      <c r="BG42" s="135">
        <v>0</v>
      </c>
      <c r="BH42" s="135">
        <f>IF($AQ42="","",VLOOKUP($B42, '2022 counts'!$B$6:$T$304,19,FALSE))</f>
        <v>0</v>
      </c>
      <c r="BI42" s="38">
        <f t="shared" si="21"/>
        <v>0.01</v>
      </c>
      <c r="BJ42" s="39" t="str">
        <f t="shared" si="22"/>
        <v>minimum</v>
      </c>
      <c r="BK42" s="15">
        <f>VLOOKUP($U42,'2020_CapacityTable'!$B$49:$F$71,2)</f>
        <v>0</v>
      </c>
      <c r="BL42" s="15">
        <f>VLOOKUP($U42,'2020_CapacityTable'!$B$49:$F$71,3)</f>
        <v>12900</v>
      </c>
      <c r="BM42" s="15">
        <f>VLOOKUP($T42,'2020_CapacityTable'!$B$49:$F$71,4)</f>
        <v>14200</v>
      </c>
      <c r="BN42" s="15">
        <f>VLOOKUP($T42,'2020_CapacityTable'!$B$49:$F$71,5)</f>
        <v>14200</v>
      </c>
      <c r="BO42" s="15">
        <f t="shared" si="23"/>
        <v>0</v>
      </c>
      <c r="BP42" s="15">
        <f t="shared" si="24"/>
        <v>10320</v>
      </c>
      <c r="BQ42" s="15">
        <f t="shared" si="25"/>
        <v>11360</v>
      </c>
      <c r="BR42" s="15">
        <f t="shared" si="26"/>
        <v>11360</v>
      </c>
      <c r="BS42" s="3">
        <f t="shared" si="147"/>
        <v>10320</v>
      </c>
      <c r="BT42" s="40">
        <f>'State of the System - Sumter Co'!AD42</f>
        <v>3962</v>
      </c>
      <c r="BU42" s="41">
        <f t="shared" si="28"/>
        <v>0.38</v>
      </c>
      <c r="BV42" s="2" t="str">
        <f t="shared" si="29"/>
        <v>C</v>
      </c>
      <c r="BW42" s="2">
        <f t="shared" si="30"/>
        <v>0.27</v>
      </c>
      <c r="BX42" s="15">
        <f>VLOOKUP($U42,'2020_CapacityTable'!$B$23:$F$45,2)</f>
        <v>0</v>
      </c>
      <c r="BY42" s="15">
        <f>VLOOKUP($U42,'2020_CapacityTable'!$B$23:$F$45,3)</f>
        <v>670</v>
      </c>
      <c r="BZ42" s="15">
        <f>VLOOKUP($U42,'2020_CapacityTable'!$B$23:$F$45,4)</f>
        <v>740</v>
      </c>
      <c r="CA42" s="15">
        <f>VLOOKUP($U42,'2020_CapacityTable'!$B$23:$F$45,5)</f>
        <v>740</v>
      </c>
      <c r="CB42" s="15">
        <f t="shared" si="31"/>
        <v>0</v>
      </c>
      <c r="CC42" s="15">
        <f t="shared" si="32"/>
        <v>536</v>
      </c>
      <c r="CD42" s="15">
        <f t="shared" si="33"/>
        <v>592</v>
      </c>
      <c r="CE42" s="15">
        <f t="shared" si="34"/>
        <v>592</v>
      </c>
      <c r="CF42" s="3">
        <f t="shared" si="148"/>
        <v>536</v>
      </c>
      <c r="CG42" s="2">
        <f>'State of the System - Sumter Co'!AH42</f>
        <v>200</v>
      </c>
      <c r="CH42" s="2">
        <f>'State of the System - Sumter Co'!AI42</f>
        <v>177</v>
      </c>
      <c r="CI42" s="11">
        <f t="shared" si="36"/>
        <v>0.37</v>
      </c>
      <c r="CJ42" s="2" t="str">
        <f t="shared" si="149"/>
        <v>C</v>
      </c>
      <c r="CK42" s="3">
        <f t="shared" si="51"/>
        <v>12269</v>
      </c>
      <c r="CL42" s="11">
        <f t="shared" si="38"/>
        <v>0.32</v>
      </c>
      <c r="CM42" s="11" t="str">
        <f t="shared" si="39"/>
        <v>NOT CONGESTED</v>
      </c>
      <c r="CN42" s="3">
        <f t="shared" si="40"/>
        <v>639</v>
      </c>
      <c r="CO42" s="11">
        <f t="shared" si="41"/>
        <v>0.31</v>
      </c>
      <c r="CP42" s="156" t="str">
        <f t="shared" si="150"/>
        <v>NOT CONGESTED</v>
      </c>
      <c r="CQ42" s="2"/>
      <c r="CR42" s="42"/>
      <c r="CS42" s="11" t="str">
        <f t="shared" si="43"/>
        <v/>
      </c>
      <c r="CT42" s="11" t="str">
        <f t="shared" si="151"/>
        <v/>
      </c>
      <c r="CU42" s="11" t="str">
        <f t="shared" si="52"/>
        <v/>
      </c>
      <c r="CV42" s="11" t="str">
        <f t="shared" si="45"/>
        <v/>
      </c>
      <c r="CW42" s="2" t="s">
        <v>586</v>
      </c>
      <c r="CX42" s="1"/>
      <c r="CY42" s="145" t="str">
        <f t="shared" si="46"/>
        <v/>
      </c>
      <c r="CZ42" s="32" t="str">
        <f t="shared" si="47"/>
        <v/>
      </c>
    </row>
    <row r="43" spans="1:104" ht="12.75" customHeight="1">
      <c r="A43" s="1">
        <v>3253130</v>
      </c>
      <c r="B43" s="1">
        <f t="shared" si="48"/>
        <v>180117</v>
      </c>
      <c r="C43" s="1">
        <v>424</v>
      </c>
      <c r="D43" s="1" t="str">
        <f>VLOOKUP(C43,'2022 counts'!$A$6:$B$304,2,FALSE)</f>
        <v>STATE</v>
      </c>
      <c r="E43" s="1">
        <v>180117</v>
      </c>
      <c r="F43" s="2" t="s">
        <v>136</v>
      </c>
      <c r="G43" s="156">
        <v>30</v>
      </c>
      <c r="H43" s="11">
        <v>0.12536715220700001</v>
      </c>
      <c r="I43" s="10" t="s">
        <v>692</v>
      </c>
      <c r="J43" s="10" t="s">
        <v>698</v>
      </c>
      <c r="K43" s="10" t="s">
        <v>717</v>
      </c>
      <c r="L43" s="157">
        <v>2</v>
      </c>
      <c r="M43" s="1">
        <f>'State of the System - Sumter Co'!K43</f>
        <v>2</v>
      </c>
      <c r="N43" s="1" t="str">
        <f>IF('State of the System - Sumter Co'!L43="URBAN","U","R")</f>
        <v>U</v>
      </c>
      <c r="O43" s="1" t="str">
        <f>IF('State of the System - Sumter Co'!M43="UNDIVIDED","U",IF('State of the System - Sumter Co'!M43="DIVIDED","D","F"))</f>
        <v>U</v>
      </c>
      <c r="P43" s="1" t="str">
        <f>'State of the System - Sumter Co'!N43</f>
        <v>INTERRUPTED</v>
      </c>
      <c r="Q43" s="1" t="str">
        <f t="shared" si="0"/>
        <v/>
      </c>
      <c r="R43" s="1" t="str">
        <f>'State of the System - Sumter Co'!O43</f>
        <v/>
      </c>
      <c r="S43" s="1" t="str">
        <f t="shared" si="144"/>
        <v>-2</v>
      </c>
      <c r="T43" s="1" t="str">
        <f t="shared" si="2"/>
        <v>U-2U-2</v>
      </c>
      <c r="U43" s="1" t="str">
        <f t="shared" si="140"/>
        <v>U-2U-2</v>
      </c>
      <c r="V43" s="1" t="s">
        <v>137</v>
      </c>
      <c r="W43" s="1" t="s">
        <v>76</v>
      </c>
      <c r="X43" s="1" t="s">
        <v>138</v>
      </c>
      <c r="Y43" s="1" t="str">
        <f>'State of the System - Sumter Co'!R43</f>
        <v>D</v>
      </c>
      <c r="Z43" s="157" t="str">
        <f t="shared" si="4"/>
        <v>NHS Non-Interstate</v>
      </c>
      <c r="AA43" s="15">
        <f>VLOOKUP($T43,'2020_CapacityTable'!$B$49:$F$71,2)</f>
        <v>0</v>
      </c>
      <c r="AB43" s="15">
        <f>VLOOKUP($T43,'2020_CapacityTable'!$B$49:$F$71,3)</f>
        <v>7300</v>
      </c>
      <c r="AC43" s="15">
        <f>VLOOKUP($T43,'2020_CapacityTable'!$B$49:$F$71,4)</f>
        <v>14800</v>
      </c>
      <c r="AD43" s="15">
        <f>VLOOKUP($T43,'2020_CapacityTable'!$B$49:$F$71,5)</f>
        <v>15600</v>
      </c>
      <c r="AE43" s="35" t="str">
        <f t="shared" si="145"/>
        <v/>
      </c>
      <c r="AF43" s="36" t="str">
        <f t="shared" si="6"/>
        <v/>
      </c>
      <c r="AG43" s="35">
        <v>-0.2</v>
      </c>
      <c r="AH43" s="35" t="str">
        <f t="shared" si="141"/>
        <v/>
      </c>
      <c r="AI43" s="35" t="str">
        <f>IF(L43&gt;2,"LOOK","")</f>
        <v/>
      </c>
      <c r="AJ43" s="36"/>
      <c r="AK43" s="15">
        <f t="shared" si="8"/>
        <v>0</v>
      </c>
      <c r="AL43" s="15">
        <f t="shared" si="9"/>
        <v>5840</v>
      </c>
      <c r="AM43" s="15">
        <f t="shared" si="10"/>
        <v>11840</v>
      </c>
      <c r="AN43" s="15">
        <f t="shared" si="11"/>
        <v>12480</v>
      </c>
      <c r="AO43" s="3">
        <f t="shared" si="152"/>
        <v>11840</v>
      </c>
      <c r="AP43" s="138">
        <f>VLOOKUP($B43,'2022 counts'!$B$6:$R$304,17,FALSE)</f>
        <v>8820</v>
      </c>
      <c r="AQ43" s="11">
        <f t="shared" si="12"/>
        <v>0.74</v>
      </c>
      <c r="AR43" s="2" t="str">
        <f t="shared" si="13"/>
        <v>D</v>
      </c>
      <c r="AS43" s="26">
        <f t="shared" si="50"/>
        <v>0.4</v>
      </c>
      <c r="AT43" s="15">
        <f>VLOOKUP($T43,'2020_CapacityTable'!$B$23:$F$45,2)</f>
        <v>0</v>
      </c>
      <c r="AU43" s="15">
        <f>VLOOKUP($T43,'2020_CapacityTable'!$B$23:$F$45,3)</f>
        <v>370</v>
      </c>
      <c r="AV43" s="15">
        <f>VLOOKUP($T43,'2020_CapacityTable'!$B$23:$F$45,4)</f>
        <v>750</v>
      </c>
      <c r="AW43" s="15">
        <f>VLOOKUP($T43,'2020_CapacityTable'!$B$23:$F$45,5)</f>
        <v>800</v>
      </c>
      <c r="AX43" s="15">
        <f t="shared" si="14"/>
        <v>0</v>
      </c>
      <c r="AY43" s="15">
        <f t="shared" si="15"/>
        <v>296</v>
      </c>
      <c r="AZ43" s="15">
        <f t="shared" si="16"/>
        <v>600</v>
      </c>
      <c r="BA43" s="15">
        <f t="shared" si="17"/>
        <v>640</v>
      </c>
      <c r="BB43" s="3">
        <f t="shared" si="146"/>
        <v>600</v>
      </c>
      <c r="BC43" s="138">
        <f>VLOOKUP($B43,'2022 counts'!$B$6:$AD$304,28,FALSE)</f>
        <v>304</v>
      </c>
      <c r="BD43" s="138">
        <f>VLOOKUP($B43,'2022 counts'!$B$6:$AD$304,29,FALSE)</f>
        <v>403</v>
      </c>
      <c r="BE43" s="11">
        <f t="shared" si="19"/>
        <v>0.67</v>
      </c>
      <c r="BF43" s="2" t="str">
        <f t="shared" si="20"/>
        <v>D</v>
      </c>
      <c r="BG43" s="135">
        <v>0</v>
      </c>
      <c r="BH43" s="135">
        <f>IF($AQ43="","",VLOOKUP($B43, '2022 counts'!$B$6:$T$304,19,FALSE))</f>
        <v>0</v>
      </c>
      <c r="BI43" s="38">
        <f t="shared" si="21"/>
        <v>0.01</v>
      </c>
      <c r="BJ43" s="39" t="str">
        <f t="shared" si="22"/>
        <v>minimum</v>
      </c>
      <c r="BK43" s="15">
        <f>VLOOKUP($U43,'2020_CapacityTable'!$B$49:$F$71,2)</f>
        <v>0</v>
      </c>
      <c r="BL43" s="15">
        <f>VLOOKUP($U43,'2020_CapacityTable'!$B$49:$F$71,3)</f>
        <v>7300</v>
      </c>
      <c r="BM43" s="15">
        <f>VLOOKUP($T43,'2020_CapacityTable'!$B$49:$F$71,4)</f>
        <v>14800</v>
      </c>
      <c r="BN43" s="15">
        <f>VLOOKUP($T43,'2020_CapacityTable'!$B$49:$F$71,5)</f>
        <v>15600</v>
      </c>
      <c r="BO43" s="15">
        <f t="shared" si="23"/>
        <v>0</v>
      </c>
      <c r="BP43" s="15">
        <f t="shared" si="24"/>
        <v>5840</v>
      </c>
      <c r="BQ43" s="15">
        <f t="shared" si="25"/>
        <v>11840</v>
      </c>
      <c r="BR43" s="15">
        <f t="shared" si="26"/>
        <v>12480</v>
      </c>
      <c r="BS43" s="3">
        <f t="shared" si="147"/>
        <v>11840</v>
      </c>
      <c r="BT43" s="40">
        <f>'State of the System - Sumter Co'!AD43</f>
        <v>9270</v>
      </c>
      <c r="BU43" s="41">
        <f t="shared" si="28"/>
        <v>0.78</v>
      </c>
      <c r="BV43" s="2" t="str">
        <f t="shared" si="29"/>
        <v>D</v>
      </c>
      <c r="BW43" s="2">
        <f t="shared" si="30"/>
        <v>0.42</v>
      </c>
      <c r="BX43" s="15">
        <f>VLOOKUP($U43,'2020_CapacityTable'!$B$23:$F$45,2)</f>
        <v>0</v>
      </c>
      <c r="BY43" s="15">
        <f>VLOOKUP($U43,'2020_CapacityTable'!$B$23:$F$45,3)</f>
        <v>370</v>
      </c>
      <c r="BZ43" s="15">
        <f>VLOOKUP($U43,'2020_CapacityTable'!$B$23:$F$45,4)</f>
        <v>750</v>
      </c>
      <c r="CA43" s="15">
        <f>VLOOKUP($U43,'2020_CapacityTable'!$B$23:$F$45,5)</f>
        <v>800</v>
      </c>
      <c r="CB43" s="15">
        <f t="shared" si="31"/>
        <v>0</v>
      </c>
      <c r="CC43" s="15">
        <f t="shared" si="32"/>
        <v>296</v>
      </c>
      <c r="CD43" s="15">
        <f t="shared" si="33"/>
        <v>600</v>
      </c>
      <c r="CE43" s="15">
        <f t="shared" si="34"/>
        <v>640</v>
      </c>
      <c r="CF43" s="3">
        <f t="shared" si="148"/>
        <v>600</v>
      </c>
      <c r="CG43" s="2">
        <f>'State of the System - Sumter Co'!AH43</f>
        <v>320</v>
      </c>
      <c r="CH43" s="2">
        <f>'State of the System - Sumter Co'!AI43</f>
        <v>424</v>
      </c>
      <c r="CI43" s="11">
        <f t="shared" si="36"/>
        <v>0.71</v>
      </c>
      <c r="CJ43" s="2" t="str">
        <f t="shared" si="149"/>
        <v>D</v>
      </c>
      <c r="CK43" s="3">
        <f t="shared" si="51"/>
        <v>13478</v>
      </c>
      <c r="CL43" s="11">
        <f t="shared" si="38"/>
        <v>0.69</v>
      </c>
      <c r="CM43" s="11" t="str">
        <f t="shared" si="39"/>
        <v>NOT CONGESTED</v>
      </c>
      <c r="CN43" s="3">
        <f t="shared" si="40"/>
        <v>691</v>
      </c>
      <c r="CO43" s="11">
        <f t="shared" si="41"/>
        <v>0.61</v>
      </c>
      <c r="CP43" s="156" t="str">
        <f t="shared" si="150"/>
        <v>NOT CONGESTED</v>
      </c>
      <c r="CQ43" s="2" t="s">
        <v>628</v>
      </c>
      <c r="CR43" s="43">
        <v>1</v>
      </c>
      <c r="CS43" s="11" t="str">
        <f t="shared" si="43"/>
        <v/>
      </c>
      <c r="CT43" s="11" t="str">
        <f t="shared" si="151"/>
        <v/>
      </c>
      <c r="CU43" s="11" t="str">
        <f t="shared" si="52"/>
        <v/>
      </c>
      <c r="CV43" s="11" t="str">
        <f t="shared" si="45"/>
        <v/>
      </c>
      <c r="CW43" s="2" t="s">
        <v>586</v>
      </c>
      <c r="CX43" s="1"/>
      <c r="CY43" s="145" t="str">
        <f t="shared" si="46"/>
        <v/>
      </c>
      <c r="CZ43" s="32" t="str">
        <f t="shared" si="47"/>
        <v/>
      </c>
    </row>
    <row r="44" spans="1:104" ht="12.75" customHeight="1">
      <c r="A44" s="1">
        <v>3253140</v>
      </c>
      <c r="B44" s="1">
        <f t="shared" si="48"/>
        <v>180112</v>
      </c>
      <c r="C44" s="1">
        <v>180112</v>
      </c>
      <c r="D44" s="1">
        <f>VLOOKUP(C44,'2022 counts'!$A$6:$B$304,2,FALSE)</f>
        <v>180112</v>
      </c>
      <c r="E44" s="1">
        <v>180112</v>
      </c>
      <c r="F44" s="2" t="s">
        <v>136</v>
      </c>
      <c r="G44" s="156">
        <v>60</v>
      </c>
      <c r="H44" s="11">
        <v>3.01169659965</v>
      </c>
      <c r="I44" s="10" t="s">
        <v>40</v>
      </c>
      <c r="J44" s="10" t="s">
        <v>713</v>
      </c>
      <c r="K44" s="10" t="s">
        <v>719</v>
      </c>
      <c r="L44" s="157">
        <v>2</v>
      </c>
      <c r="M44" s="1">
        <f>'State of the System - Sumter Co'!K44</f>
        <v>2</v>
      </c>
      <c r="N44" s="1" t="str">
        <f>IF('State of the System - Sumter Co'!L44="URBAN","U","R")</f>
        <v>U</v>
      </c>
      <c r="O44" s="1" t="str">
        <f>IF('State of the System - Sumter Co'!M44="UNDIVIDED","U",IF('State of the System - Sumter Co'!M44="DIVIDED","D","F"))</f>
        <v>U</v>
      </c>
      <c r="P44" s="1" t="str">
        <f>'State of the System - Sumter Co'!N44</f>
        <v>INTERRUPTED</v>
      </c>
      <c r="Q44" s="1" t="str">
        <f t="shared" si="0"/>
        <v/>
      </c>
      <c r="R44" s="1" t="str">
        <f>'State of the System - Sumter Co'!O44</f>
        <v/>
      </c>
      <c r="S44" s="1" t="str">
        <f t="shared" si="144"/>
        <v>-1</v>
      </c>
      <c r="T44" s="1" t="str">
        <f t="shared" si="2"/>
        <v>U-2U-1</v>
      </c>
      <c r="U44" s="1" t="str">
        <f t="shared" si="140"/>
        <v>U-2U-1</v>
      </c>
      <c r="V44" s="1" t="s">
        <v>137</v>
      </c>
      <c r="W44" s="1" t="s">
        <v>76</v>
      </c>
      <c r="X44" s="1" t="s">
        <v>138</v>
      </c>
      <c r="Y44" s="1" t="str">
        <f>'State of the System - Sumter Co'!R44</f>
        <v>D</v>
      </c>
      <c r="Z44" s="157" t="str">
        <f t="shared" si="4"/>
        <v>NHS Non-Interstate</v>
      </c>
      <c r="AA44" s="15">
        <f>VLOOKUP($T44,'2020_CapacityTable'!$B$49:$F$71,2)</f>
        <v>0</v>
      </c>
      <c r="AB44" s="15">
        <f>VLOOKUP($T44,'2020_CapacityTable'!$B$49:$F$71,3)</f>
        <v>16800</v>
      </c>
      <c r="AC44" s="15">
        <f>VLOOKUP($T44,'2020_CapacityTable'!$B$49:$F$71,4)</f>
        <v>17700</v>
      </c>
      <c r="AD44" s="15">
        <f>VLOOKUP($T44,'2020_CapacityTable'!$B$49:$F$71,5)</f>
        <v>17700</v>
      </c>
      <c r="AE44" s="35" t="str">
        <f t="shared" si="145"/>
        <v/>
      </c>
      <c r="AF44" s="36" t="str">
        <f t="shared" si="6"/>
        <v/>
      </c>
      <c r="AG44" s="35">
        <v>-0.2</v>
      </c>
      <c r="AH44" s="35" t="str">
        <f t="shared" si="141"/>
        <v/>
      </c>
      <c r="AI44" s="35"/>
      <c r="AJ44" s="36"/>
      <c r="AK44" s="15">
        <f t="shared" si="8"/>
        <v>0</v>
      </c>
      <c r="AL44" s="15">
        <f t="shared" si="9"/>
        <v>13440</v>
      </c>
      <c r="AM44" s="15">
        <f t="shared" si="10"/>
        <v>14160</v>
      </c>
      <c r="AN44" s="15">
        <f t="shared" si="11"/>
        <v>14160</v>
      </c>
      <c r="AO44" s="3">
        <f t="shared" si="152"/>
        <v>14160</v>
      </c>
      <c r="AP44" s="138">
        <f>VLOOKUP($B44,'2022 counts'!$B$6:$R$304,17,FALSE)</f>
        <v>6400</v>
      </c>
      <c r="AQ44" s="11">
        <f t="shared" si="12"/>
        <v>0.45</v>
      </c>
      <c r="AR44" s="2" t="str">
        <f t="shared" si="13"/>
        <v>C</v>
      </c>
      <c r="AS44" s="26">
        <f t="shared" si="50"/>
        <v>7.04</v>
      </c>
      <c r="AT44" s="15">
        <f>VLOOKUP($T44,'2020_CapacityTable'!$B$23:$F$45,2)</f>
        <v>0</v>
      </c>
      <c r="AU44" s="15">
        <f>VLOOKUP($T44,'2020_CapacityTable'!$B$23:$F$45,3)</f>
        <v>830</v>
      </c>
      <c r="AV44" s="15">
        <f>VLOOKUP($T44,'2020_CapacityTable'!$B$23:$F$45,4)</f>
        <v>880</v>
      </c>
      <c r="AW44" s="15">
        <f>VLOOKUP($T44,'2020_CapacityTable'!$B$23:$F$45,5)</f>
        <v>880</v>
      </c>
      <c r="AX44" s="15">
        <f t="shared" si="14"/>
        <v>0</v>
      </c>
      <c r="AY44" s="15">
        <f t="shared" si="15"/>
        <v>664</v>
      </c>
      <c r="AZ44" s="15">
        <f t="shared" si="16"/>
        <v>704</v>
      </c>
      <c r="BA44" s="15">
        <f t="shared" si="17"/>
        <v>704</v>
      </c>
      <c r="BB44" s="3">
        <f t="shared" si="146"/>
        <v>704</v>
      </c>
      <c r="BC44" s="138">
        <f>VLOOKUP($B44,'2022 counts'!$B$6:$AD$304,28,FALSE)</f>
        <v>322</v>
      </c>
      <c r="BD44" s="138">
        <f>VLOOKUP($B44,'2022 counts'!$B$6:$AD$304,29,FALSE)</f>
        <v>286</v>
      </c>
      <c r="BE44" s="11">
        <f t="shared" si="19"/>
        <v>0.46</v>
      </c>
      <c r="BF44" s="2" t="str">
        <f t="shared" si="20"/>
        <v>C</v>
      </c>
      <c r="BG44" s="135">
        <v>0</v>
      </c>
      <c r="BH44" s="135">
        <f>IF($AQ44="","",VLOOKUP($B44, '2022 counts'!$B$6:$T$304,19,FALSE))</f>
        <v>5.0000000000000001E-3</v>
      </c>
      <c r="BI44" s="38">
        <f t="shared" si="21"/>
        <v>0.01</v>
      </c>
      <c r="BJ44" s="39" t="str">
        <f t="shared" si="22"/>
        <v>minimum</v>
      </c>
      <c r="BK44" s="15">
        <f>VLOOKUP($U44,'2020_CapacityTable'!$B$49:$F$71,2)</f>
        <v>0</v>
      </c>
      <c r="BL44" s="15">
        <f>VLOOKUP($U44,'2020_CapacityTable'!$B$49:$F$71,3)</f>
        <v>16800</v>
      </c>
      <c r="BM44" s="15">
        <f>VLOOKUP($T44,'2020_CapacityTable'!$B$49:$F$71,4)</f>
        <v>17700</v>
      </c>
      <c r="BN44" s="15">
        <f>VLOOKUP($T44,'2020_CapacityTable'!$B$49:$F$71,5)</f>
        <v>17700</v>
      </c>
      <c r="BO44" s="15">
        <f t="shared" si="23"/>
        <v>0</v>
      </c>
      <c r="BP44" s="15">
        <f t="shared" si="24"/>
        <v>13440</v>
      </c>
      <c r="BQ44" s="15">
        <f t="shared" si="25"/>
        <v>14160</v>
      </c>
      <c r="BR44" s="15">
        <f t="shared" si="26"/>
        <v>14160</v>
      </c>
      <c r="BS44" s="3">
        <f t="shared" si="147"/>
        <v>14160</v>
      </c>
      <c r="BT44" s="40">
        <f>'State of the System - Sumter Co'!AD44</f>
        <v>6726</v>
      </c>
      <c r="BU44" s="41">
        <f t="shared" si="28"/>
        <v>0.48</v>
      </c>
      <c r="BV44" s="2" t="str">
        <f t="shared" si="29"/>
        <v>C</v>
      </c>
      <c r="BW44" s="2">
        <f t="shared" si="30"/>
        <v>7.39</v>
      </c>
      <c r="BX44" s="15">
        <f>VLOOKUP($U44,'2020_CapacityTable'!$B$23:$F$45,2)</f>
        <v>0</v>
      </c>
      <c r="BY44" s="15">
        <f>VLOOKUP($U44,'2020_CapacityTable'!$B$23:$F$45,3)</f>
        <v>830</v>
      </c>
      <c r="BZ44" s="15">
        <f>VLOOKUP($U44,'2020_CapacityTable'!$B$23:$F$45,4)</f>
        <v>880</v>
      </c>
      <c r="CA44" s="15">
        <f>VLOOKUP($U44,'2020_CapacityTable'!$B$23:$F$45,5)</f>
        <v>880</v>
      </c>
      <c r="CB44" s="15">
        <f t="shared" si="31"/>
        <v>0</v>
      </c>
      <c r="CC44" s="15">
        <f t="shared" si="32"/>
        <v>664</v>
      </c>
      <c r="CD44" s="15">
        <f t="shared" si="33"/>
        <v>704</v>
      </c>
      <c r="CE44" s="15">
        <f t="shared" si="34"/>
        <v>704</v>
      </c>
      <c r="CF44" s="3">
        <f t="shared" si="148"/>
        <v>704</v>
      </c>
      <c r="CG44" s="2">
        <f>'State of the System - Sumter Co'!AH44</f>
        <v>338</v>
      </c>
      <c r="CH44" s="2">
        <f>'State of the System - Sumter Co'!AI44</f>
        <v>301</v>
      </c>
      <c r="CI44" s="11">
        <f t="shared" si="36"/>
        <v>0.48</v>
      </c>
      <c r="CJ44" s="2" t="str">
        <f t="shared" si="149"/>
        <v>C</v>
      </c>
      <c r="CK44" s="3">
        <f t="shared" si="51"/>
        <v>15293</v>
      </c>
      <c r="CL44" s="11">
        <f t="shared" si="38"/>
        <v>0.44</v>
      </c>
      <c r="CM44" s="11" t="str">
        <f t="shared" si="39"/>
        <v>NOT CONGESTED</v>
      </c>
      <c r="CN44" s="3">
        <f t="shared" si="40"/>
        <v>760</v>
      </c>
      <c r="CO44" s="11">
        <f t="shared" si="41"/>
        <v>0.44</v>
      </c>
      <c r="CP44" s="156" t="str">
        <f t="shared" si="150"/>
        <v>NOT CONGESTED</v>
      </c>
      <c r="CQ44" s="2"/>
      <c r="CR44" s="42"/>
      <c r="CS44" s="11" t="str">
        <f t="shared" si="43"/>
        <v/>
      </c>
      <c r="CT44" s="11" t="str">
        <f t="shared" si="151"/>
        <v/>
      </c>
      <c r="CU44" s="11" t="str">
        <f t="shared" si="52"/>
        <v/>
      </c>
      <c r="CV44" s="11" t="str">
        <f t="shared" si="45"/>
        <v/>
      </c>
      <c r="CW44" s="2"/>
      <c r="CX44" s="1"/>
      <c r="CY44" s="145" t="str">
        <f t="shared" si="46"/>
        <v/>
      </c>
      <c r="CZ44" s="32" t="str">
        <f t="shared" si="47"/>
        <v/>
      </c>
    </row>
    <row r="45" spans="1:104" ht="12.75" customHeight="1">
      <c r="A45" s="1">
        <v>3253150</v>
      </c>
      <c r="B45" s="1">
        <f t="shared" si="48"/>
        <v>180117</v>
      </c>
      <c r="C45" s="1">
        <v>422</v>
      </c>
      <c r="D45" s="1" t="str">
        <f>VLOOKUP(C45,'2022 counts'!$A$6:$B$304,2,FALSE)</f>
        <v>STATE</v>
      </c>
      <c r="E45" s="1">
        <v>180117</v>
      </c>
      <c r="F45" s="2" t="s">
        <v>136</v>
      </c>
      <c r="G45" s="156">
        <v>45</v>
      </c>
      <c r="H45" s="11">
        <v>0.52692120317299995</v>
      </c>
      <c r="I45" s="10" t="s">
        <v>40</v>
      </c>
      <c r="J45" s="10" t="s">
        <v>719</v>
      </c>
      <c r="K45" s="10" t="s">
        <v>698</v>
      </c>
      <c r="L45" s="157">
        <v>4</v>
      </c>
      <c r="M45" s="1">
        <f>'State of the System - Sumter Co'!K45</f>
        <v>4</v>
      </c>
      <c r="N45" s="1" t="str">
        <f>IF('State of the System - Sumter Co'!L45="URBAN","U","R")</f>
        <v>U</v>
      </c>
      <c r="O45" s="1" t="str">
        <f>IF('State of the System - Sumter Co'!M45="UNDIVIDED","U",IF('State of the System - Sumter Co'!M45="DIVIDED","D","F"))</f>
        <v>U</v>
      </c>
      <c r="P45" s="1" t="str">
        <f>'State of the System - Sumter Co'!N45</f>
        <v>INTERRUPTED</v>
      </c>
      <c r="Q45" s="1" t="str">
        <f t="shared" si="0"/>
        <v/>
      </c>
      <c r="R45" s="1" t="str">
        <f>'State of the System - Sumter Co'!O45</f>
        <v/>
      </c>
      <c r="S45" s="1" t="str">
        <f t="shared" si="144"/>
        <v>-1</v>
      </c>
      <c r="T45" s="1" t="str">
        <f t="shared" si="2"/>
        <v>U-4U-1</v>
      </c>
      <c r="U45" s="1" t="str">
        <f t="shared" si="140"/>
        <v>U-4U-1</v>
      </c>
      <c r="V45" s="1" t="s">
        <v>137</v>
      </c>
      <c r="W45" s="1" t="s">
        <v>76</v>
      </c>
      <c r="X45" s="1" t="s">
        <v>138</v>
      </c>
      <c r="Y45" s="1" t="str">
        <f>'State of the System - Sumter Co'!R45</f>
        <v>D</v>
      </c>
      <c r="Z45" s="157" t="str">
        <f t="shared" si="4"/>
        <v>NHS Non-Interstate</v>
      </c>
      <c r="AA45" s="15">
        <f>VLOOKUP($T45,'2020_CapacityTable'!$B$49:$F$71,2)</f>
        <v>0</v>
      </c>
      <c r="AB45" s="15">
        <f>VLOOKUP($T45,'2020_CapacityTable'!$B$49:$F$71,3)</f>
        <v>37900</v>
      </c>
      <c r="AC45" s="15">
        <f>VLOOKUP($T45,'2020_CapacityTable'!$B$49:$F$71,4)</f>
        <v>39800</v>
      </c>
      <c r="AD45" s="15">
        <f>VLOOKUP($T45,'2020_CapacityTable'!$B$49:$F$71,5)</f>
        <v>39800</v>
      </c>
      <c r="AE45" s="35" t="str">
        <f t="shared" si="145"/>
        <v/>
      </c>
      <c r="AF45" s="36" t="str">
        <f t="shared" si="6"/>
        <v/>
      </c>
      <c r="AG45" s="35" t="str">
        <f>IF(AND(L45=2,P45="interrupted",O45="U"),"LOOK","")</f>
        <v/>
      </c>
      <c r="AH45" s="35">
        <v>-0.05</v>
      </c>
      <c r="AI45" s="35"/>
      <c r="AJ45" s="36"/>
      <c r="AK45" s="15">
        <f t="shared" si="8"/>
        <v>0</v>
      </c>
      <c r="AL45" s="15">
        <f t="shared" si="9"/>
        <v>36005</v>
      </c>
      <c r="AM45" s="15">
        <f t="shared" si="10"/>
        <v>37810</v>
      </c>
      <c r="AN45" s="15">
        <f t="shared" si="11"/>
        <v>37810</v>
      </c>
      <c r="AO45" s="3">
        <f t="shared" si="152"/>
        <v>37810</v>
      </c>
      <c r="AP45" s="138">
        <f>VLOOKUP($B45,'2022 counts'!$B$6:$R$304,17,FALSE)</f>
        <v>8820</v>
      </c>
      <c r="AQ45" s="11">
        <f t="shared" si="12"/>
        <v>0.23</v>
      </c>
      <c r="AR45" s="2" t="str">
        <f t="shared" si="13"/>
        <v>C</v>
      </c>
      <c r="AS45" s="26">
        <f t="shared" si="50"/>
        <v>1.7</v>
      </c>
      <c r="AT45" s="15">
        <f>VLOOKUP($T45,'2020_CapacityTable'!$B$23:$F$45,2)</f>
        <v>0</v>
      </c>
      <c r="AU45" s="15">
        <f>VLOOKUP($T45,'2020_CapacityTable'!$B$23:$F$45,3)</f>
        <v>1910</v>
      </c>
      <c r="AV45" s="15">
        <f>VLOOKUP($T45,'2020_CapacityTable'!$B$23:$F$45,4)</f>
        <v>2000</v>
      </c>
      <c r="AW45" s="15">
        <f>VLOOKUP($T45,'2020_CapacityTable'!$B$23:$F$45,5)</f>
        <v>2000</v>
      </c>
      <c r="AX45" s="15">
        <f t="shared" si="14"/>
        <v>0</v>
      </c>
      <c r="AY45" s="15">
        <f t="shared" si="15"/>
        <v>1815</v>
      </c>
      <c r="AZ45" s="15">
        <f t="shared" si="16"/>
        <v>1900</v>
      </c>
      <c r="BA45" s="15">
        <f t="shared" si="17"/>
        <v>1900</v>
      </c>
      <c r="BB45" s="3">
        <f t="shared" si="146"/>
        <v>1900</v>
      </c>
      <c r="BC45" s="138">
        <f>VLOOKUP($B45,'2022 counts'!$B$6:$AD$304,28,FALSE)</f>
        <v>304</v>
      </c>
      <c r="BD45" s="138">
        <f>VLOOKUP($B45,'2022 counts'!$B$6:$AD$304,29,FALSE)</f>
        <v>403</v>
      </c>
      <c r="BE45" s="11">
        <f t="shared" si="19"/>
        <v>0.21</v>
      </c>
      <c r="BF45" s="2" t="str">
        <f t="shared" si="20"/>
        <v>C</v>
      </c>
      <c r="BG45" s="135">
        <v>0</v>
      </c>
      <c r="BH45" s="135">
        <f>IF($AQ45="","",VLOOKUP($B45, '2022 counts'!$B$6:$T$304,19,FALSE))</f>
        <v>0</v>
      </c>
      <c r="BI45" s="38">
        <f t="shared" si="21"/>
        <v>0.01</v>
      </c>
      <c r="BJ45" s="39" t="str">
        <f t="shared" si="22"/>
        <v>minimum</v>
      </c>
      <c r="BK45" s="15">
        <f>VLOOKUP($U45,'2020_CapacityTable'!$B$49:$F$71,2)</f>
        <v>0</v>
      </c>
      <c r="BL45" s="15">
        <f>VLOOKUP($U45,'2020_CapacityTable'!$B$49:$F$71,3)</f>
        <v>37900</v>
      </c>
      <c r="BM45" s="15">
        <f>VLOOKUP($T45,'2020_CapacityTable'!$B$49:$F$71,4)</f>
        <v>39800</v>
      </c>
      <c r="BN45" s="15">
        <f>VLOOKUP($T45,'2020_CapacityTable'!$B$49:$F$71,5)</f>
        <v>39800</v>
      </c>
      <c r="BO45" s="15">
        <f t="shared" si="23"/>
        <v>0</v>
      </c>
      <c r="BP45" s="15">
        <f t="shared" si="24"/>
        <v>36005</v>
      </c>
      <c r="BQ45" s="15">
        <f t="shared" si="25"/>
        <v>37810</v>
      </c>
      <c r="BR45" s="15">
        <f t="shared" si="26"/>
        <v>37810</v>
      </c>
      <c r="BS45" s="3">
        <f t="shared" si="147"/>
        <v>37810</v>
      </c>
      <c r="BT45" s="40">
        <f>'State of the System - Sumter Co'!AD45</f>
        <v>9270</v>
      </c>
      <c r="BU45" s="41">
        <f t="shared" si="28"/>
        <v>0.25</v>
      </c>
      <c r="BV45" s="2" t="str">
        <f t="shared" si="29"/>
        <v>C</v>
      </c>
      <c r="BW45" s="2">
        <f t="shared" si="30"/>
        <v>1.78</v>
      </c>
      <c r="BX45" s="15">
        <f>VLOOKUP($U45,'2020_CapacityTable'!$B$23:$F$45,2)</f>
        <v>0</v>
      </c>
      <c r="BY45" s="15">
        <f>VLOOKUP($U45,'2020_CapacityTable'!$B$23:$F$45,3)</f>
        <v>1910</v>
      </c>
      <c r="BZ45" s="15">
        <f>VLOOKUP($U45,'2020_CapacityTable'!$B$23:$F$45,4)</f>
        <v>2000</v>
      </c>
      <c r="CA45" s="15">
        <f>VLOOKUP($U45,'2020_CapacityTable'!$B$23:$F$45,5)</f>
        <v>2000</v>
      </c>
      <c r="CB45" s="15">
        <f t="shared" si="31"/>
        <v>0</v>
      </c>
      <c r="CC45" s="15">
        <f t="shared" si="32"/>
        <v>1815</v>
      </c>
      <c r="CD45" s="15">
        <f t="shared" si="33"/>
        <v>1900</v>
      </c>
      <c r="CE45" s="15">
        <f t="shared" si="34"/>
        <v>1900</v>
      </c>
      <c r="CF45" s="3">
        <f t="shared" si="148"/>
        <v>1900</v>
      </c>
      <c r="CG45" s="2">
        <f>'State of the System - Sumter Co'!AH45</f>
        <v>320</v>
      </c>
      <c r="CH45" s="2">
        <f>'State of the System - Sumter Co'!AI45</f>
        <v>424</v>
      </c>
      <c r="CI45" s="11">
        <f t="shared" si="36"/>
        <v>0.22</v>
      </c>
      <c r="CJ45" s="2" t="str">
        <f t="shared" si="149"/>
        <v>C</v>
      </c>
      <c r="CK45" s="3">
        <f t="shared" si="51"/>
        <v>40835</v>
      </c>
      <c r="CL45" s="11">
        <f t="shared" si="38"/>
        <v>0.23</v>
      </c>
      <c r="CM45" s="11" t="str">
        <f t="shared" si="39"/>
        <v>NOT CONGESTED</v>
      </c>
      <c r="CN45" s="3">
        <f t="shared" si="40"/>
        <v>2052</v>
      </c>
      <c r="CO45" s="11">
        <f t="shared" si="41"/>
        <v>0.21</v>
      </c>
      <c r="CP45" s="156" t="str">
        <f t="shared" si="150"/>
        <v>NOT CONGESTED</v>
      </c>
      <c r="CQ45" s="3"/>
      <c r="CR45" s="3"/>
      <c r="CS45" s="11" t="str">
        <f t="shared" si="43"/>
        <v/>
      </c>
      <c r="CT45" s="11" t="str">
        <f t="shared" si="151"/>
        <v/>
      </c>
      <c r="CU45" s="11" t="str">
        <f t="shared" si="52"/>
        <v/>
      </c>
      <c r="CV45" s="11" t="str">
        <f t="shared" si="45"/>
        <v/>
      </c>
      <c r="CW45" s="2"/>
      <c r="CX45" s="1"/>
      <c r="CY45" s="145" t="str">
        <f t="shared" si="46"/>
        <v/>
      </c>
      <c r="CZ45" s="32" t="str">
        <f t="shared" si="47"/>
        <v/>
      </c>
    </row>
    <row r="46" spans="1:104" ht="12.75" customHeight="1">
      <c r="A46" s="1">
        <v>3253170</v>
      </c>
      <c r="B46" s="1">
        <f t="shared" si="48"/>
        <v>180088</v>
      </c>
      <c r="C46" s="1">
        <v>432</v>
      </c>
      <c r="D46" s="1" t="str">
        <f>VLOOKUP(C46,'2022 counts'!$A$6:$B$304,2,FALSE)</f>
        <v>STATE</v>
      </c>
      <c r="E46" s="1">
        <v>180088</v>
      </c>
      <c r="F46" s="2" t="s">
        <v>136</v>
      </c>
      <c r="G46" s="156">
        <v>45</v>
      </c>
      <c r="H46" s="11">
        <v>0.447352181505</v>
      </c>
      <c r="I46" s="10" t="s">
        <v>40</v>
      </c>
      <c r="J46" s="10" t="s">
        <v>722</v>
      </c>
      <c r="K46" s="10" t="s">
        <v>81</v>
      </c>
      <c r="L46" s="157">
        <v>2</v>
      </c>
      <c r="M46" s="1">
        <f>'State of the System - Sumter Co'!K46</f>
        <v>2</v>
      </c>
      <c r="N46" s="1" t="str">
        <f>IF('State of the System - Sumter Co'!L46="URBAN","U","R")</f>
        <v>U</v>
      </c>
      <c r="O46" s="1" t="str">
        <f>IF('State of the System - Sumter Co'!M46="UNDIVIDED","U",IF('State of the System - Sumter Co'!M46="DIVIDED","D","F"))</f>
        <v>U</v>
      </c>
      <c r="P46" s="1" t="str">
        <f>'State of the System - Sumter Co'!N46</f>
        <v>INTERRUPTED</v>
      </c>
      <c r="Q46" s="1" t="str">
        <f t="shared" si="0"/>
        <v/>
      </c>
      <c r="R46" s="1" t="str">
        <f>'State of the System - Sumter Co'!O46</f>
        <v/>
      </c>
      <c r="S46" s="1" t="str">
        <f t="shared" si="144"/>
        <v>-1</v>
      </c>
      <c r="T46" s="1" t="str">
        <f t="shared" si="2"/>
        <v>U-2U-1</v>
      </c>
      <c r="U46" s="1" t="str">
        <f t="shared" si="140"/>
        <v>U-2U-1</v>
      </c>
      <c r="V46" s="1" t="s">
        <v>137</v>
      </c>
      <c r="W46" s="1" t="s">
        <v>11</v>
      </c>
      <c r="X46" s="1" t="s">
        <v>138</v>
      </c>
      <c r="Y46" s="1" t="str">
        <f>'State of the System - Sumter Co'!R46</f>
        <v>D</v>
      </c>
      <c r="Z46" s="157" t="str">
        <f t="shared" si="4"/>
        <v>NHS Non-Interstate</v>
      </c>
      <c r="AA46" s="15">
        <f>VLOOKUP($T46,'2020_CapacityTable'!$B$49:$F$71,2)</f>
        <v>0</v>
      </c>
      <c r="AB46" s="15">
        <f>VLOOKUP($T46,'2020_CapacityTable'!$B$49:$F$71,3)</f>
        <v>16800</v>
      </c>
      <c r="AC46" s="15">
        <f>VLOOKUP($T46,'2020_CapacityTable'!$B$49:$F$71,4)</f>
        <v>17700</v>
      </c>
      <c r="AD46" s="15">
        <f>VLOOKUP($T46,'2020_CapacityTable'!$B$49:$F$71,5)</f>
        <v>17700</v>
      </c>
      <c r="AE46" s="35" t="str">
        <f t="shared" si="145"/>
        <v/>
      </c>
      <c r="AF46" s="36" t="str">
        <f t="shared" si="6"/>
        <v/>
      </c>
      <c r="AG46" s="35"/>
      <c r="AH46" s="35" t="str">
        <f>IF(O46="U",IF(L46&gt;2,"LOOK",""),"")</f>
        <v/>
      </c>
      <c r="AI46" s="35"/>
      <c r="AJ46" s="36">
        <v>0.05</v>
      </c>
      <c r="AK46" s="15">
        <f t="shared" si="8"/>
        <v>0</v>
      </c>
      <c r="AL46" s="15">
        <f t="shared" si="9"/>
        <v>17640</v>
      </c>
      <c r="AM46" s="15">
        <f t="shared" si="10"/>
        <v>18585</v>
      </c>
      <c r="AN46" s="15">
        <f t="shared" si="11"/>
        <v>18585</v>
      </c>
      <c r="AO46" s="3">
        <f t="shared" si="152"/>
        <v>18585</v>
      </c>
      <c r="AP46" s="138">
        <f>VLOOKUP($B46,'2022 counts'!$B$6:$R$304,17,FALSE)</f>
        <v>4850</v>
      </c>
      <c r="AQ46" s="11">
        <f t="shared" si="12"/>
        <v>0.26</v>
      </c>
      <c r="AR46" s="2" t="str">
        <f t="shared" si="13"/>
        <v>C</v>
      </c>
      <c r="AS46" s="26">
        <f t="shared" si="50"/>
        <v>0.79</v>
      </c>
      <c r="AT46" s="15">
        <f>VLOOKUP($T46,'2020_CapacityTable'!$B$23:$F$45,2)</f>
        <v>0</v>
      </c>
      <c r="AU46" s="15">
        <f>VLOOKUP($T46,'2020_CapacityTable'!$B$23:$F$45,3)</f>
        <v>830</v>
      </c>
      <c r="AV46" s="15">
        <f>VLOOKUP($T46,'2020_CapacityTable'!$B$23:$F$45,4)</f>
        <v>880</v>
      </c>
      <c r="AW46" s="15">
        <f>VLOOKUP($T46,'2020_CapacityTable'!$B$23:$F$45,5)</f>
        <v>880</v>
      </c>
      <c r="AX46" s="15">
        <f t="shared" si="14"/>
        <v>0</v>
      </c>
      <c r="AY46" s="15">
        <f t="shared" si="15"/>
        <v>872</v>
      </c>
      <c r="AZ46" s="15">
        <f t="shared" si="16"/>
        <v>924</v>
      </c>
      <c r="BA46" s="15">
        <f t="shared" si="17"/>
        <v>924</v>
      </c>
      <c r="BB46" s="3">
        <f t="shared" si="146"/>
        <v>924</v>
      </c>
      <c r="BC46" s="138">
        <f>VLOOKUP($B46,'2022 counts'!$B$6:$AD$304,28,FALSE)</f>
        <v>244</v>
      </c>
      <c r="BD46" s="138">
        <f>VLOOKUP($B46,'2022 counts'!$B$6:$AD$304,29,FALSE)</f>
        <v>217</v>
      </c>
      <c r="BE46" s="11">
        <f t="shared" si="19"/>
        <v>0.26</v>
      </c>
      <c r="BF46" s="2" t="str">
        <f t="shared" si="20"/>
        <v>C</v>
      </c>
      <c r="BG46" s="135">
        <v>0</v>
      </c>
      <c r="BH46" s="135">
        <f>IF($AQ46="","",VLOOKUP($B46, '2022 counts'!$B$6:$T$304,19,FALSE))</f>
        <v>0</v>
      </c>
      <c r="BI46" s="38">
        <f t="shared" si="21"/>
        <v>0.01</v>
      </c>
      <c r="BJ46" s="39" t="str">
        <f t="shared" si="22"/>
        <v>minimum</v>
      </c>
      <c r="BK46" s="15">
        <f>VLOOKUP($U46,'2020_CapacityTable'!$B$49:$F$71,2)</f>
        <v>0</v>
      </c>
      <c r="BL46" s="15">
        <f>VLOOKUP($U46,'2020_CapacityTable'!$B$49:$F$71,3)</f>
        <v>16800</v>
      </c>
      <c r="BM46" s="15">
        <f>VLOOKUP($T46,'2020_CapacityTable'!$B$49:$F$71,4)</f>
        <v>17700</v>
      </c>
      <c r="BN46" s="15">
        <f>VLOOKUP($T46,'2020_CapacityTable'!$B$49:$F$71,5)</f>
        <v>17700</v>
      </c>
      <c r="BO46" s="15">
        <f t="shared" si="23"/>
        <v>0</v>
      </c>
      <c r="BP46" s="15">
        <f t="shared" si="24"/>
        <v>17640</v>
      </c>
      <c r="BQ46" s="15">
        <f t="shared" si="25"/>
        <v>18585</v>
      </c>
      <c r="BR46" s="15">
        <f t="shared" si="26"/>
        <v>18585</v>
      </c>
      <c r="BS46" s="3">
        <f t="shared" si="147"/>
        <v>18585</v>
      </c>
      <c r="BT46" s="40">
        <f>'State of the System - Sumter Co'!AD46</f>
        <v>5097</v>
      </c>
      <c r="BU46" s="41">
        <f t="shared" si="28"/>
        <v>0.27</v>
      </c>
      <c r="BV46" s="2" t="str">
        <f t="shared" si="29"/>
        <v>C</v>
      </c>
      <c r="BW46" s="2">
        <f t="shared" si="30"/>
        <v>0.83</v>
      </c>
      <c r="BX46" s="15">
        <f>VLOOKUP($U46,'2020_CapacityTable'!$B$23:$F$45,2)</f>
        <v>0</v>
      </c>
      <c r="BY46" s="15">
        <f>VLOOKUP($U46,'2020_CapacityTable'!$B$23:$F$45,3)</f>
        <v>830</v>
      </c>
      <c r="BZ46" s="15">
        <f>VLOOKUP($U46,'2020_CapacityTable'!$B$23:$F$45,4)</f>
        <v>880</v>
      </c>
      <c r="CA46" s="15">
        <f>VLOOKUP($U46,'2020_CapacityTable'!$B$23:$F$45,5)</f>
        <v>880</v>
      </c>
      <c r="CB46" s="15">
        <f t="shared" si="31"/>
        <v>0</v>
      </c>
      <c r="CC46" s="15">
        <f t="shared" si="32"/>
        <v>872</v>
      </c>
      <c r="CD46" s="15">
        <f t="shared" si="33"/>
        <v>924</v>
      </c>
      <c r="CE46" s="15">
        <f t="shared" si="34"/>
        <v>924</v>
      </c>
      <c r="CF46" s="3">
        <f t="shared" si="148"/>
        <v>924</v>
      </c>
      <c r="CG46" s="2">
        <f>'State of the System - Sumter Co'!AH46</f>
        <v>256</v>
      </c>
      <c r="CH46" s="2">
        <f>'State of the System - Sumter Co'!AI46</f>
        <v>228</v>
      </c>
      <c r="CI46" s="11">
        <f t="shared" si="36"/>
        <v>0.28000000000000003</v>
      </c>
      <c r="CJ46" s="2" t="str">
        <f t="shared" si="149"/>
        <v>C</v>
      </c>
      <c r="CK46" s="3">
        <f t="shared" si="51"/>
        <v>20072</v>
      </c>
      <c r="CL46" s="11">
        <f t="shared" si="38"/>
        <v>0.25</v>
      </c>
      <c r="CM46" s="11" t="str">
        <f t="shared" si="39"/>
        <v>NOT CONGESTED</v>
      </c>
      <c r="CN46" s="3">
        <f t="shared" si="40"/>
        <v>998</v>
      </c>
      <c r="CO46" s="11">
        <f t="shared" si="41"/>
        <v>0.26</v>
      </c>
      <c r="CP46" s="156" t="str">
        <f t="shared" si="150"/>
        <v>NOT CONGESTED</v>
      </c>
      <c r="CQ46" s="2"/>
      <c r="CR46" s="42"/>
      <c r="CS46" s="11" t="str">
        <f t="shared" si="43"/>
        <v/>
      </c>
      <c r="CT46" s="11" t="str">
        <f t="shared" si="151"/>
        <v/>
      </c>
      <c r="CU46" s="11" t="str">
        <f t="shared" si="52"/>
        <v/>
      </c>
      <c r="CV46" s="11" t="str">
        <f t="shared" si="45"/>
        <v/>
      </c>
      <c r="CW46" s="2" t="s">
        <v>586</v>
      </c>
      <c r="CX46" s="1" t="s">
        <v>585</v>
      </c>
      <c r="CY46" s="145" t="str">
        <f t="shared" si="46"/>
        <v/>
      </c>
      <c r="CZ46" s="32" t="str">
        <f t="shared" si="47"/>
        <v/>
      </c>
    </row>
    <row r="47" spans="1:104" ht="12.75" customHeight="1">
      <c r="A47" s="1">
        <v>3253180</v>
      </c>
      <c r="B47" s="1">
        <f t="shared" si="48"/>
        <v>180083</v>
      </c>
      <c r="C47" s="1">
        <v>434</v>
      </c>
      <c r="D47" s="1" t="str">
        <f>VLOOKUP(C47,'2022 counts'!$A$6:$B$304,2,FALSE)</f>
        <v>STATE</v>
      </c>
      <c r="E47" s="1">
        <v>180083</v>
      </c>
      <c r="F47" s="2" t="s">
        <v>136</v>
      </c>
      <c r="G47" s="156">
        <v>45</v>
      </c>
      <c r="H47" s="11">
        <v>0.109679660035</v>
      </c>
      <c r="I47" s="10" t="s">
        <v>40</v>
      </c>
      <c r="J47" s="10" t="s">
        <v>81</v>
      </c>
      <c r="K47" s="10" t="s">
        <v>720</v>
      </c>
      <c r="L47" s="157">
        <v>2</v>
      </c>
      <c r="M47" s="1">
        <f>'State of the System - Sumter Co'!K47</f>
        <v>2</v>
      </c>
      <c r="N47" s="1" t="str">
        <f>IF('State of the System - Sumter Co'!L47="URBAN","U","R")</f>
        <v>U</v>
      </c>
      <c r="O47" s="1" t="str">
        <f>IF('State of the System - Sumter Co'!M47="UNDIVIDED","U",IF('State of the System - Sumter Co'!M47="DIVIDED","D","F"))</f>
        <v>U</v>
      </c>
      <c r="P47" s="1" t="str">
        <f>'State of the System - Sumter Co'!N47</f>
        <v>INTERRUPTED</v>
      </c>
      <c r="Q47" s="1" t="str">
        <f t="shared" si="0"/>
        <v/>
      </c>
      <c r="R47" s="1" t="str">
        <f>'State of the System - Sumter Co'!O47</f>
        <v/>
      </c>
      <c r="S47" s="1" t="str">
        <f t="shared" si="144"/>
        <v>-1</v>
      </c>
      <c r="T47" s="1" t="str">
        <f t="shared" si="2"/>
        <v>U-2U-1</v>
      </c>
      <c r="U47" s="1" t="str">
        <f t="shared" si="140"/>
        <v>U-2U-1</v>
      </c>
      <c r="V47" s="1" t="s">
        <v>137</v>
      </c>
      <c r="W47" s="1" t="s">
        <v>11</v>
      </c>
      <c r="X47" s="1" t="s">
        <v>138</v>
      </c>
      <c r="Y47" s="1" t="str">
        <f>'State of the System - Sumter Co'!R47</f>
        <v>D</v>
      </c>
      <c r="Z47" s="157" t="str">
        <f t="shared" si="4"/>
        <v>NHS Non-Interstate</v>
      </c>
      <c r="AA47" s="15">
        <f>VLOOKUP($T47,'2020_CapacityTable'!$B$49:$F$71,2)</f>
        <v>0</v>
      </c>
      <c r="AB47" s="15">
        <f>VLOOKUP($T47,'2020_CapacityTable'!$B$49:$F$71,3)</f>
        <v>16800</v>
      </c>
      <c r="AC47" s="15">
        <f>VLOOKUP($T47,'2020_CapacityTable'!$B$49:$F$71,4)</f>
        <v>17700</v>
      </c>
      <c r="AD47" s="15">
        <f>VLOOKUP($T47,'2020_CapacityTable'!$B$49:$F$71,5)</f>
        <v>17700</v>
      </c>
      <c r="AE47" s="35" t="str">
        <f t="shared" si="145"/>
        <v/>
      </c>
      <c r="AF47" s="36" t="str">
        <f t="shared" si="6"/>
        <v/>
      </c>
      <c r="AG47" s="35"/>
      <c r="AH47" s="35" t="str">
        <f>IF(O47="U",IF(L47&gt;2,"LOOK",""),"")</f>
        <v/>
      </c>
      <c r="AI47" s="35"/>
      <c r="AJ47" s="36">
        <v>0.05</v>
      </c>
      <c r="AK47" s="15">
        <f t="shared" si="8"/>
        <v>0</v>
      </c>
      <c r="AL47" s="15">
        <f t="shared" si="9"/>
        <v>17640</v>
      </c>
      <c r="AM47" s="15">
        <f t="shared" si="10"/>
        <v>18585</v>
      </c>
      <c r="AN47" s="15">
        <f t="shared" si="11"/>
        <v>18585</v>
      </c>
      <c r="AO47" s="3">
        <f t="shared" si="152"/>
        <v>18585</v>
      </c>
      <c r="AP47" s="138">
        <f>VLOOKUP($B47,'2022 counts'!$B$6:$R$304,17,FALSE)</f>
        <v>16640</v>
      </c>
      <c r="AQ47" s="11">
        <f t="shared" si="12"/>
        <v>0.9</v>
      </c>
      <c r="AR47" s="2" t="str">
        <f t="shared" si="13"/>
        <v>C</v>
      </c>
      <c r="AS47" s="26">
        <f t="shared" si="50"/>
        <v>0.67</v>
      </c>
      <c r="AT47" s="15">
        <f>VLOOKUP($T47,'2020_CapacityTable'!$B$23:$F$45,2)</f>
        <v>0</v>
      </c>
      <c r="AU47" s="15">
        <f>VLOOKUP($T47,'2020_CapacityTable'!$B$23:$F$45,3)</f>
        <v>830</v>
      </c>
      <c r="AV47" s="15">
        <f>VLOOKUP($T47,'2020_CapacityTable'!$B$23:$F$45,4)</f>
        <v>880</v>
      </c>
      <c r="AW47" s="15">
        <f>VLOOKUP($T47,'2020_CapacityTable'!$B$23:$F$45,5)</f>
        <v>880</v>
      </c>
      <c r="AX47" s="15">
        <f t="shared" si="14"/>
        <v>0</v>
      </c>
      <c r="AY47" s="15">
        <f t="shared" si="15"/>
        <v>872</v>
      </c>
      <c r="AZ47" s="15">
        <f t="shared" si="16"/>
        <v>924</v>
      </c>
      <c r="BA47" s="15">
        <f t="shared" si="17"/>
        <v>924</v>
      </c>
      <c r="BB47" s="3">
        <f t="shared" si="146"/>
        <v>924</v>
      </c>
      <c r="BC47" s="138">
        <f>VLOOKUP($B47,'2022 counts'!$B$6:$AD$304,28,FALSE)</f>
        <v>838</v>
      </c>
      <c r="BD47" s="138">
        <f>VLOOKUP($B47,'2022 counts'!$B$6:$AD$304,29,FALSE)</f>
        <v>743</v>
      </c>
      <c r="BE47" s="11">
        <f t="shared" si="19"/>
        <v>0.91</v>
      </c>
      <c r="BF47" s="2" t="str">
        <f t="shared" si="20"/>
        <v>C</v>
      </c>
      <c r="BG47" s="135">
        <v>0.05</v>
      </c>
      <c r="BH47" s="135">
        <f>IF($AQ47="","",VLOOKUP($B47, '2022 counts'!$B$6:$T$304,19,FALSE))</f>
        <v>0.05</v>
      </c>
      <c r="BI47" s="38">
        <f t="shared" si="21"/>
        <v>0.05</v>
      </c>
      <c r="BJ47" s="39" t="str">
        <f t="shared" si="22"/>
        <v/>
      </c>
      <c r="BK47" s="15">
        <f>VLOOKUP($U47,'2020_CapacityTable'!$B$49:$F$71,2)</f>
        <v>0</v>
      </c>
      <c r="BL47" s="15">
        <f>VLOOKUP($U47,'2020_CapacityTable'!$B$49:$F$71,3)</f>
        <v>16800</v>
      </c>
      <c r="BM47" s="15">
        <f>VLOOKUP($T47,'2020_CapacityTable'!$B$49:$F$71,4)</f>
        <v>17700</v>
      </c>
      <c r="BN47" s="15">
        <f>VLOOKUP($T47,'2020_CapacityTable'!$B$49:$F$71,5)</f>
        <v>17700</v>
      </c>
      <c r="BO47" s="15">
        <f t="shared" si="23"/>
        <v>0</v>
      </c>
      <c r="BP47" s="15">
        <f t="shared" si="24"/>
        <v>17640</v>
      </c>
      <c r="BQ47" s="15">
        <f t="shared" si="25"/>
        <v>18585</v>
      </c>
      <c r="BR47" s="15">
        <f t="shared" si="26"/>
        <v>18585</v>
      </c>
      <c r="BS47" s="3">
        <f t="shared" si="147"/>
        <v>18585</v>
      </c>
      <c r="BT47" s="40">
        <f>'State of the System - Sumter Co'!AD47</f>
        <v>21237</v>
      </c>
      <c r="BU47" s="41">
        <f t="shared" si="28"/>
        <v>1.1399999999999999</v>
      </c>
      <c r="BV47" s="2" t="str">
        <f t="shared" si="29"/>
        <v>F</v>
      </c>
      <c r="BW47" s="2">
        <f t="shared" si="30"/>
        <v>0.85</v>
      </c>
      <c r="BX47" s="15">
        <f>VLOOKUP($U47,'2020_CapacityTable'!$B$23:$F$45,2)</f>
        <v>0</v>
      </c>
      <c r="BY47" s="15">
        <f>VLOOKUP($U47,'2020_CapacityTable'!$B$23:$F$45,3)</f>
        <v>830</v>
      </c>
      <c r="BZ47" s="15">
        <f>VLOOKUP($U47,'2020_CapacityTable'!$B$23:$F$45,4)</f>
        <v>880</v>
      </c>
      <c r="CA47" s="15">
        <f>VLOOKUP($U47,'2020_CapacityTable'!$B$23:$F$45,5)</f>
        <v>880</v>
      </c>
      <c r="CB47" s="15">
        <f t="shared" si="31"/>
        <v>0</v>
      </c>
      <c r="CC47" s="15">
        <f t="shared" si="32"/>
        <v>872</v>
      </c>
      <c r="CD47" s="15">
        <f t="shared" si="33"/>
        <v>924</v>
      </c>
      <c r="CE47" s="15">
        <f t="shared" si="34"/>
        <v>924</v>
      </c>
      <c r="CF47" s="3">
        <f t="shared" si="148"/>
        <v>924</v>
      </c>
      <c r="CG47" s="2">
        <f>'State of the System - Sumter Co'!AH47</f>
        <v>1070</v>
      </c>
      <c r="CH47" s="2">
        <f>'State of the System - Sumter Co'!AI47</f>
        <v>948</v>
      </c>
      <c r="CI47" s="11">
        <f t="shared" si="36"/>
        <v>1.1599999999999999</v>
      </c>
      <c r="CJ47" s="2" t="str">
        <f t="shared" si="149"/>
        <v>F</v>
      </c>
      <c r="CK47" s="3">
        <f t="shared" si="51"/>
        <v>20072</v>
      </c>
      <c r="CL47" s="11">
        <f t="shared" si="38"/>
        <v>1.06</v>
      </c>
      <c r="CM47" s="11" t="str">
        <f t="shared" si="39"/>
        <v>EXTREMELY (2025)</v>
      </c>
      <c r="CN47" s="3">
        <f t="shared" si="40"/>
        <v>998</v>
      </c>
      <c r="CO47" s="11">
        <f t="shared" si="41"/>
        <v>1.07</v>
      </c>
      <c r="CP47" s="156" t="str">
        <f t="shared" si="150"/>
        <v>EXTREMELY (2025)</v>
      </c>
      <c r="CQ47" s="3"/>
      <c r="CR47" s="3"/>
      <c r="CS47" s="11" t="str">
        <f t="shared" si="43"/>
        <v/>
      </c>
      <c r="CT47" s="11">
        <f t="shared" si="151"/>
        <v>0.11</v>
      </c>
      <c r="CU47" s="11" t="str">
        <f t="shared" si="52"/>
        <v/>
      </c>
      <c r="CV47" s="11">
        <f t="shared" si="45"/>
        <v>0.11</v>
      </c>
      <c r="CW47" s="2" t="s">
        <v>586</v>
      </c>
      <c r="CX47" s="1" t="s">
        <v>585</v>
      </c>
      <c r="CY47" s="145" t="str">
        <f t="shared" si="46"/>
        <v/>
      </c>
      <c r="CZ47" s="32">
        <f t="shared" si="47"/>
        <v>0.85</v>
      </c>
    </row>
    <row r="48" spans="1:104" ht="12.75" customHeight="1">
      <c r="A48" s="1">
        <v>3253190</v>
      </c>
      <c r="B48" s="1">
        <f t="shared" si="48"/>
        <v>180041</v>
      </c>
      <c r="C48" s="1">
        <v>436</v>
      </c>
      <c r="D48" s="1" t="str">
        <f>VLOOKUP(C48,'2022 counts'!$A$6:$B$304,2,FALSE)</f>
        <v>STATE</v>
      </c>
      <c r="E48" s="1">
        <v>180041</v>
      </c>
      <c r="F48" s="2" t="s">
        <v>136</v>
      </c>
      <c r="G48" s="156">
        <v>35</v>
      </c>
      <c r="H48" s="11">
        <v>3.0582829540900001</v>
      </c>
      <c r="I48" s="10" t="s">
        <v>40</v>
      </c>
      <c r="J48" s="10" t="s">
        <v>720</v>
      </c>
      <c r="K48" s="10" t="s">
        <v>707</v>
      </c>
      <c r="L48" s="157">
        <v>2</v>
      </c>
      <c r="M48" s="1">
        <f>'State of the System - Sumter Co'!K48</f>
        <v>2</v>
      </c>
      <c r="N48" s="1" t="str">
        <f>IF('State of the System - Sumter Co'!L48="URBAN","U","R")</f>
        <v>U</v>
      </c>
      <c r="O48" s="1" t="str">
        <f>IF('State of the System - Sumter Co'!M48="UNDIVIDED","U",IF('State of the System - Sumter Co'!M48="DIVIDED","D","F"))</f>
        <v>U</v>
      </c>
      <c r="P48" s="1" t="str">
        <f>'State of the System - Sumter Co'!N48</f>
        <v>INTERRUPTED</v>
      </c>
      <c r="Q48" s="1" t="str">
        <f t="shared" si="0"/>
        <v/>
      </c>
      <c r="R48" s="1" t="str">
        <f>'State of the System - Sumter Co'!O48</f>
        <v/>
      </c>
      <c r="S48" s="1" t="str">
        <f t="shared" si="144"/>
        <v>-2</v>
      </c>
      <c r="T48" s="1" t="str">
        <f t="shared" si="2"/>
        <v>U-2U-2</v>
      </c>
      <c r="U48" s="1" t="str">
        <f t="shared" si="140"/>
        <v>U-2U-2</v>
      </c>
      <c r="V48" s="1" t="s">
        <v>137</v>
      </c>
      <c r="W48" s="1" t="s">
        <v>165</v>
      </c>
      <c r="X48" s="1" t="s">
        <v>50</v>
      </c>
      <c r="Y48" s="1" t="str">
        <f>'State of the System - Sumter Co'!R48</f>
        <v>D</v>
      </c>
      <c r="Z48" s="157" t="str">
        <f t="shared" si="4"/>
        <v>NHS Non-Interstate</v>
      </c>
      <c r="AA48" s="15">
        <f>VLOOKUP($T48,'2020_CapacityTable'!$B$49:$F$71,2)</f>
        <v>0</v>
      </c>
      <c r="AB48" s="15">
        <f>VLOOKUP($T48,'2020_CapacityTable'!$B$49:$F$71,3)</f>
        <v>7300</v>
      </c>
      <c r="AC48" s="15">
        <f>VLOOKUP($T48,'2020_CapacityTable'!$B$49:$F$71,4)</f>
        <v>14800</v>
      </c>
      <c r="AD48" s="15">
        <f>VLOOKUP($T48,'2020_CapacityTable'!$B$49:$F$71,5)</f>
        <v>15600</v>
      </c>
      <c r="AE48" s="35" t="str">
        <f t="shared" si="145"/>
        <v/>
      </c>
      <c r="AF48" s="36" t="str">
        <f t="shared" si="6"/>
        <v/>
      </c>
      <c r="AG48" s="35"/>
      <c r="AH48" s="35" t="str">
        <f>IF(O48="U",IF(L48&gt;2,"LOOK",""),"")</f>
        <v/>
      </c>
      <c r="AI48" s="35"/>
      <c r="AJ48" s="36">
        <v>0.05</v>
      </c>
      <c r="AK48" s="15">
        <f t="shared" si="8"/>
        <v>0</v>
      </c>
      <c r="AL48" s="15">
        <f t="shared" si="9"/>
        <v>7665</v>
      </c>
      <c r="AM48" s="15">
        <f t="shared" si="10"/>
        <v>15540</v>
      </c>
      <c r="AN48" s="15">
        <f t="shared" si="11"/>
        <v>16380</v>
      </c>
      <c r="AO48" s="3">
        <f t="shared" si="152"/>
        <v>15540</v>
      </c>
      <c r="AP48" s="138">
        <f>VLOOKUP($B48,'2022 counts'!$B$6:$R$304,17,FALSE)</f>
        <v>8831.428571428638</v>
      </c>
      <c r="AQ48" s="11">
        <f t="shared" si="12"/>
        <v>0.56999999999999995</v>
      </c>
      <c r="AR48" s="2" t="str">
        <f t="shared" si="13"/>
        <v>D</v>
      </c>
      <c r="AS48" s="26">
        <f t="shared" si="50"/>
        <v>9.86</v>
      </c>
      <c r="AT48" s="15">
        <f>VLOOKUP($T48,'2020_CapacityTable'!$B$23:$F$45,2)</f>
        <v>0</v>
      </c>
      <c r="AU48" s="15">
        <f>VLOOKUP($T48,'2020_CapacityTable'!$B$23:$F$45,3)</f>
        <v>370</v>
      </c>
      <c r="AV48" s="15">
        <f>VLOOKUP($T48,'2020_CapacityTable'!$B$23:$F$45,4)</f>
        <v>750</v>
      </c>
      <c r="AW48" s="15">
        <f>VLOOKUP($T48,'2020_CapacityTable'!$B$23:$F$45,5)</f>
        <v>800</v>
      </c>
      <c r="AX48" s="15">
        <f t="shared" si="14"/>
        <v>0</v>
      </c>
      <c r="AY48" s="15">
        <f t="shared" si="15"/>
        <v>389</v>
      </c>
      <c r="AZ48" s="15">
        <f t="shared" si="16"/>
        <v>788</v>
      </c>
      <c r="BA48" s="15">
        <f t="shared" si="17"/>
        <v>840</v>
      </c>
      <c r="BB48" s="3">
        <f t="shared" si="146"/>
        <v>788</v>
      </c>
      <c r="BC48" s="138">
        <f>VLOOKUP($B48,'2022 counts'!$B$6:$AD$304,28,FALSE)</f>
        <v>445</v>
      </c>
      <c r="BD48" s="138">
        <f>VLOOKUP($B48,'2022 counts'!$B$6:$AD$304,29,FALSE)</f>
        <v>394</v>
      </c>
      <c r="BE48" s="11">
        <f t="shared" si="19"/>
        <v>0.56000000000000005</v>
      </c>
      <c r="BF48" s="2" t="str">
        <f t="shared" si="20"/>
        <v>D</v>
      </c>
      <c r="BG48" s="135">
        <v>3.7499999999999999E-2</v>
      </c>
      <c r="BH48" s="135">
        <f>IF($AQ48="","",VLOOKUP($B48, '2022 counts'!$B$6:$T$304,19,FALSE))</f>
        <v>7.4999999999999997E-3</v>
      </c>
      <c r="BI48" s="38">
        <f t="shared" si="21"/>
        <v>0.01</v>
      </c>
      <c r="BJ48" s="39" t="str">
        <f t="shared" si="22"/>
        <v>minimum, (1)</v>
      </c>
      <c r="BK48" s="15">
        <f>VLOOKUP($U48,'2020_CapacityTable'!$B$49:$F$71,2)</f>
        <v>0</v>
      </c>
      <c r="BL48" s="15">
        <f>VLOOKUP($U48,'2020_CapacityTable'!$B$49:$F$71,3)</f>
        <v>7300</v>
      </c>
      <c r="BM48" s="15">
        <f>VLOOKUP($T48,'2020_CapacityTable'!$B$49:$F$71,4)</f>
        <v>14800</v>
      </c>
      <c r="BN48" s="15">
        <f>VLOOKUP($T48,'2020_CapacityTable'!$B$49:$F$71,5)</f>
        <v>15600</v>
      </c>
      <c r="BO48" s="15">
        <f t="shared" si="23"/>
        <v>0</v>
      </c>
      <c r="BP48" s="15">
        <f t="shared" si="24"/>
        <v>7665</v>
      </c>
      <c r="BQ48" s="15">
        <f t="shared" si="25"/>
        <v>15540</v>
      </c>
      <c r="BR48" s="15">
        <f t="shared" si="26"/>
        <v>16380</v>
      </c>
      <c r="BS48" s="3">
        <f t="shared" si="147"/>
        <v>15540</v>
      </c>
      <c r="BT48" s="40">
        <f>'State of the System - Sumter Co'!AD48</f>
        <v>9282</v>
      </c>
      <c r="BU48" s="41">
        <f t="shared" si="28"/>
        <v>0.6</v>
      </c>
      <c r="BV48" s="2" t="str">
        <f t="shared" si="29"/>
        <v>D</v>
      </c>
      <c r="BW48" s="2">
        <f t="shared" si="30"/>
        <v>10.36</v>
      </c>
      <c r="BX48" s="15">
        <f>VLOOKUP($U48,'2020_CapacityTable'!$B$23:$F$45,2)</f>
        <v>0</v>
      </c>
      <c r="BY48" s="15">
        <f>VLOOKUP($U48,'2020_CapacityTable'!$B$23:$F$45,3)</f>
        <v>370</v>
      </c>
      <c r="BZ48" s="15">
        <f>VLOOKUP($U48,'2020_CapacityTable'!$B$23:$F$45,4)</f>
        <v>750</v>
      </c>
      <c r="CA48" s="15">
        <f>VLOOKUP($U48,'2020_CapacityTable'!$B$23:$F$45,5)</f>
        <v>800</v>
      </c>
      <c r="CB48" s="15">
        <f t="shared" si="31"/>
        <v>0</v>
      </c>
      <c r="CC48" s="15">
        <f t="shared" si="32"/>
        <v>389</v>
      </c>
      <c r="CD48" s="15">
        <f t="shared" si="33"/>
        <v>788</v>
      </c>
      <c r="CE48" s="15">
        <f t="shared" si="34"/>
        <v>840</v>
      </c>
      <c r="CF48" s="3">
        <f t="shared" si="148"/>
        <v>788</v>
      </c>
      <c r="CG48" s="2">
        <f>'State of the System - Sumter Co'!AH48</f>
        <v>468</v>
      </c>
      <c r="CH48" s="2">
        <f>'State of the System - Sumter Co'!AI48</f>
        <v>414</v>
      </c>
      <c r="CI48" s="11">
        <f t="shared" si="36"/>
        <v>0.59</v>
      </c>
      <c r="CJ48" s="2" t="str">
        <f t="shared" si="149"/>
        <v>D</v>
      </c>
      <c r="CK48" s="3">
        <f t="shared" si="51"/>
        <v>17690</v>
      </c>
      <c r="CL48" s="11">
        <f t="shared" si="38"/>
        <v>0.52</v>
      </c>
      <c r="CM48" s="11" t="str">
        <f t="shared" si="39"/>
        <v>NOT CONGESTED</v>
      </c>
      <c r="CN48" s="3">
        <f t="shared" si="40"/>
        <v>907</v>
      </c>
      <c r="CO48" s="11">
        <f t="shared" si="41"/>
        <v>0.52</v>
      </c>
      <c r="CP48" s="156" t="str">
        <f t="shared" si="150"/>
        <v>NOT CONGESTED</v>
      </c>
      <c r="CQ48" s="2"/>
      <c r="CR48" s="42"/>
      <c r="CS48" s="11" t="str">
        <f t="shared" si="43"/>
        <v/>
      </c>
      <c r="CT48" s="11" t="str">
        <f t="shared" si="151"/>
        <v/>
      </c>
      <c r="CU48" s="11" t="str">
        <f t="shared" si="52"/>
        <v/>
      </c>
      <c r="CV48" s="11" t="str">
        <f t="shared" si="45"/>
        <v/>
      </c>
      <c r="CW48" s="2" t="s">
        <v>586</v>
      </c>
      <c r="CX48" s="1" t="s">
        <v>585</v>
      </c>
      <c r="CY48" s="145" t="str">
        <f t="shared" si="46"/>
        <v/>
      </c>
      <c r="CZ48" s="32" t="str">
        <f t="shared" si="47"/>
        <v/>
      </c>
    </row>
    <row r="49" spans="1:104" s="9" customFormat="1" ht="12.75" customHeight="1">
      <c r="A49" s="1">
        <v>3253200</v>
      </c>
      <c r="B49" s="1" t="str">
        <f t="shared" si="48"/>
        <v>180041: 180077</v>
      </c>
      <c r="C49" s="1">
        <v>438</v>
      </c>
      <c r="D49" s="1" t="str">
        <f>VLOOKUP(C49,'2022 counts'!$A$6:$B$304,2,FALSE)</f>
        <v>STATE</v>
      </c>
      <c r="E49" s="157" t="s">
        <v>166</v>
      </c>
      <c r="F49" s="2" t="s">
        <v>136</v>
      </c>
      <c r="G49" s="156">
        <v>45</v>
      </c>
      <c r="H49" s="11">
        <v>1.24284535983</v>
      </c>
      <c r="I49" s="10" t="s">
        <v>710</v>
      </c>
      <c r="J49" s="10" t="s">
        <v>706</v>
      </c>
      <c r="K49" s="10" t="s">
        <v>721</v>
      </c>
      <c r="L49" s="157">
        <v>2</v>
      </c>
      <c r="M49" s="1">
        <f>'State of the System - Sumter Co'!K49</f>
        <v>2</v>
      </c>
      <c r="N49" s="1" t="str">
        <f>IF('State of the System - Sumter Co'!L49="URBAN","U","R")</f>
        <v>U</v>
      </c>
      <c r="O49" s="1" t="str">
        <f>IF('State of the System - Sumter Co'!M49="UNDIVIDED","U",IF('State of the System - Sumter Co'!M49="DIVIDED","D","F"))</f>
        <v>U</v>
      </c>
      <c r="P49" s="1" t="str">
        <f>'State of the System - Sumter Co'!N49</f>
        <v>INTERRUPTED</v>
      </c>
      <c r="Q49" s="1" t="str">
        <f t="shared" si="0"/>
        <v/>
      </c>
      <c r="R49" s="1" t="str">
        <f>'State of the System - Sumter Co'!O49</f>
        <v/>
      </c>
      <c r="S49" s="1" t="str">
        <f t="shared" si="144"/>
        <v>-1</v>
      </c>
      <c r="T49" s="1" t="str">
        <f t="shared" si="2"/>
        <v>U-2U-1</v>
      </c>
      <c r="U49" s="1" t="str">
        <f t="shared" si="140"/>
        <v>U-2U-1</v>
      </c>
      <c r="V49" s="1" t="s">
        <v>137</v>
      </c>
      <c r="W49" s="1" t="s">
        <v>165</v>
      </c>
      <c r="X49" s="1" t="s">
        <v>50</v>
      </c>
      <c r="Y49" s="1" t="str">
        <f>'State of the System - Sumter Co'!R49</f>
        <v>D</v>
      </c>
      <c r="Z49" s="157" t="str">
        <f t="shared" si="4"/>
        <v>NHS Non-Interstate</v>
      </c>
      <c r="AA49" s="15">
        <f>VLOOKUP($T49,'2020_CapacityTable'!$B$49:$F$71,2)</f>
        <v>0</v>
      </c>
      <c r="AB49" s="15">
        <f>VLOOKUP($T49,'2020_CapacityTable'!$B$49:$F$71,3)</f>
        <v>16800</v>
      </c>
      <c r="AC49" s="15">
        <f>VLOOKUP($T49,'2020_CapacityTable'!$B$49:$F$71,4)</f>
        <v>17700</v>
      </c>
      <c r="AD49" s="15">
        <f>VLOOKUP($T49,'2020_CapacityTable'!$B$49:$F$71,5)</f>
        <v>17700</v>
      </c>
      <c r="AE49" s="35" t="str">
        <f t="shared" si="145"/>
        <v/>
      </c>
      <c r="AF49" s="36" t="str">
        <f t="shared" si="6"/>
        <v/>
      </c>
      <c r="AG49" s="35">
        <v>-0.2</v>
      </c>
      <c r="AH49" s="35" t="str">
        <f>IF(O49="U",IF(L49&gt;2,"LOOK",""),"")</f>
        <v/>
      </c>
      <c r="AI49" s="35"/>
      <c r="AJ49" s="36"/>
      <c r="AK49" s="15">
        <f t="shared" si="8"/>
        <v>0</v>
      </c>
      <c r="AL49" s="15">
        <f t="shared" si="9"/>
        <v>13440</v>
      </c>
      <c r="AM49" s="15">
        <f t="shared" si="10"/>
        <v>14160</v>
      </c>
      <c r="AN49" s="15">
        <f t="shared" si="11"/>
        <v>14160</v>
      </c>
      <c r="AO49" s="3">
        <f t="shared" si="152"/>
        <v>14160</v>
      </c>
      <c r="AP49" s="138">
        <f>VLOOKUP($B49,'2022 counts'!$B$6:$R$304,17,FALSE)</f>
        <v>13465</v>
      </c>
      <c r="AQ49" s="11">
        <f t="shared" si="12"/>
        <v>0.95</v>
      </c>
      <c r="AR49" s="2" t="str">
        <f t="shared" si="13"/>
        <v>D</v>
      </c>
      <c r="AS49" s="26">
        <f t="shared" si="50"/>
        <v>6.11</v>
      </c>
      <c r="AT49" s="15">
        <f>VLOOKUP($T49,'2020_CapacityTable'!$B$23:$F$45,2)</f>
        <v>0</v>
      </c>
      <c r="AU49" s="15">
        <f>VLOOKUP($T49,'2020_CapacityTable'!$B$23:$F$45,3)</f>
        <v>830</v>
      </c>
      <c r="AV49" s="15">
        <f>VLOOKUP($T49,'2020_CapacityTable'!$B$23:$F$45,4)</f>
        <v>880</v>
      </c>
      <c r="AW49" s="15">
        <f>VLOOKUP($T49,'2020_CapacityTable'!$B$23:$F$45,5)</f>
        <v>880</v>
      </c>
      <c r="AX49" s="15">
        <f t="shared" si="14"/>
        <v>0</v>
      </c>
      <c r="AY49" s="15">
        <f t="shared" si="15"/>
        <v>664</v>
      </c>
      <c r="AZ49" s="15">
        <f t="shared" si="16"/>
        <v>704</v>
      </c>
      <c r="BA49" s="15">
        <f t="shared" si="17"/>
        <v>704</v>
      </c>
      <c r="BB49" s="3">
        <f t="shared" si="146"/>
        <v>704</v>
      </c>
      <c r="BC49" s="138">
        <f>VLOOKUP($B49,'2022 counts'!$B$6:$AD$304,28,FALSE)</f>
        <v>695</v>
      </c>
      <c r="BD49" s="138">
        <f>VLOOKUP($B49,'2022 counts'!$B$6:$AD$304,29,FALSE)</f>
        <v>616</v>
      </c>
      <c r="BE49" s="11">
        <f t="shared" si="19"/>
        <v>0.99</v>
      </c>
      <c r="BF49" s="2" t="str">
        <f t="shared" si="20"/>
        <v>D</v>
      </c>
      <c r="BG49" s="135">
        <v>3.7499999999999999E-2</v>
      </c>
      <c r="BH49" s="135">
        <f>IF($AQ49="","",VLOOKUP($B49, '2022 counts'!$B$6:$T$304,19,FALSE))</f>
        <v>0</v>
      </c>
      <c r="BI49" s="38">
        <f t="shared" si="21"/>
        <v>0.01</v>
      </c>
      <c r="BJ49" s="39" t="str">
        <f t="shared" si="22"/>
        <v>minimum, (1)</v>
      </c>
      <c r="BK49" s="15">
        <f>VLOOKUP($U49,'2020_CapacityTable'!$B$49:$F$71,2)</f>
        <v>0</v>
      </c>
      <c r="BL49" s="15">
        <f>VLOOKUP($U49,'2020_CapacityTable'!$B$49:$F$71,3)</f>
        <v>16800</v>
      </c>
      <c r="BM49" s="15">
        <f>VLOOKUP($T49,'2020_CapacityTable'!$B$49:$F$71,4)</f>
        <v>17700</v>
      </c>
      <c r="BN49" s="15">
        <f>VLOOKUP($T49,'2020_CapacityTable'!$B$49:$F$71,5)</f>
        <v>17700</v>
      </c>
      <c r="BO49" s="15">
        <f t="shared" si="23"/>
        <v>0</v>
      </c>
      <c r="BP49" s="15">
        <f t="shared" si="24"/>
        <v>13440</v>
      </c>
      <c r="BQ49" s="15">
        <f t="shared" si="25"/>
        <v>14160</v>
      </c>
      <c r="BR49" s="15">
        <f t="shared" si="26"/>
        <v>14160</v>
      </c>
      <c r="BS49" s="3">
        <f t="shared" si="147"/>
        <v>14160</v>
      </c>
      <c r="BT49" s="40">
        <f>'State of the System - Sumter Co'!AD49</f>
        <v>14152</v>
      </c>
      <c r="BU49" s="41">
        <f t="shared" si="28"/>
        <v>1</v>
      </c>
      <c r="BV49" s="2" t="str">
        <f t="shared" si="29"/>
        <v>D</v>
      </c>
      <c r="BW49" s="2">
        <f t="shared" si="30"/>
        <v>6.42</v>
      </c>
      <c r="BX49" s="15">
        <f>VLOOKUP($U49,'2020_CapacityTable'!$B$23:$F$45,2)</f>
        <v>0</v>
      </c>
      <c r="BY49" s="15">
        <f>VLOOKUP($U49,'2020_CapacityTable'!$B$23:$F$45,3)</f>
        <v>830</v>
      </c>
      <c r="BZ49" s="15">
        <f>VLOOKUP($U49,'2020_CapacityTable'!$B$23:$F$45,4)</f>
        <v>880</v>
      </c>
      <c r="CA49" s="15">
        <f>VLOOKUP($U49,'2020_CapacityTable'!$B$23:$F$45,5)</f>
        <v>880</v>
      </c>
      <c r="CB49" s="15">
        <f t="shared" si="31"/>
        <v>0</v>
      </c>
      <c r="CC49" s="15">
        <f t="shared" si="32"/>
        <v>664</v>
      </c>
      <c r="CD49" s="15">
        <f t="shared" si="33"/>
        <v>704</v>
      </c>
      <c r="CE49" s="15">
        <f t="shared" si="34"/>
        <v>704</v>
      </c>
      <c r="CF49" s="3">
        <f t="shared" si="148"/>
        <v>704</v>
      </c>
      <c r="CG49" s="2">
        <f>'State of the System - Sumter Co'!AH49</f>
        <v>730</v>
      </c>
      <c r="CH49" s="2">
        <f>'State of the System - Sumter Co'!AI49</f>
        <v>647</v>
      </c>
      <c r="CI49" s="11">
        <f t="shared" si="36"/>
        <v>1.04</v>
      </c>
      <c r="CJ49" s="2" t="str">
        <f t="shared" si="149"/>
        <v>F</v>
      </c>
      <c r="CK49" s="3">
        <f t="shared" si="51"/>
        <v>15293</v>
      </c>
      <c r="CL49" s="11">
        <f t="shared" si="38"/>
        <v>0.93</v>
      </c>
      <c r="CM49" s="11" t="str">
        <f t="shared" si="39"/>
        <v>APPROACHING CONGESTION</v>
      </c>
      <c r="CN49" s="3">
        <f t="shared" si="40"/>
        <v>760</v>
      </c>
      <c r="CO49" s="11">
        <f t="shared" si="41"/>
        <v>0.96</v>
      </c>
      <c r="CP49" s="260" t="str">
        <f t="shared" si="150"/>
        <v>CONGESTED (2025)</v>
      </c>
      <c r="CQ49" s="2"/>
      <c r="CR49" s="44"/>
      <c r="CS49" s="11" t="str">
        <f t="shared" si="43"/>
        <v/>
      </c>
      <c r="CT49" s="11">
        <f t="shared" si="151"/>
        <v>1.24</v>
      </c>
      <c r="CU49" s="11" t="str">
        <f t="shared" si="52"/>
        <v/>
      </c>
      <c r="CV49" s="11" t="str">
        <f t="shared" si="45"/>
        <v/>
      </c>
      <c r="CW49" s="2" t="s">
        <v>586</v>
      </c>
      <c r="CX49" s="1"/>
      <c r="CY49" s="145" t="str">
        <f t="shared" si="46"/>
        <v/>
      </c>
      <c r="CZ49" s="32">
        <f t="shared" si="47"/>
        <v>6.42</v>
      </c>
    </row>
    <row r="50" spans="1:104" s="9" customFormat="1" ht="12.75" customHeight="1">
      <c r="A50" s="1">
        <v>3253210</v>
      </c>
      <c r="B50" s="1">
        <f t="shared" si="48"/>
        <v>180077</v>
      </c>
      <c r="C50" s="1">
        <v>300</v>
      </c>
      <c r="D50" s="1" t="str">
        <f>VLOOKUP(C50,'2022 counts'!$A$6:$B$304,2,FALSE)</f>
        <v>STATE</v>
      </c>
      <c r="E50" s="1">
        <v>180077</v>
      </c>
      <c r="F50" s="2" t="s">
        <v>136</v>
      </c>
      <c r="G50" s="156">
        <v>55</v>
      </c>
      <c r="H50" s="11">
        <v>2.7291405501599999</v>
      </c>
      <c r="I50" s="10" t="s">
        <v>40</v>
      </c>
      <c r="J50" s="10" t="s">
        <v>721</v>
      </c>
      <c r="K50" s="10" t="s">
        <v>152</v>
      </c>
      <c r="L50" s="157">
        <v>2</v>
      </c>
      <c r="M50" s="1">
        <f>'State of the System - Sumter Co'!K50</f>
        <v>2</v>
      </c>
      <c r="N50" s="1" t="str">
        <f>IF('State of the System - Sumter Co'!L50="URBAN","U","R")</f>
        <v>U</v>
      </c>
      <c r="O50" s="1" t="str">
        <f>IF('State of the System - Sumter Co'!M50="UNDIVIDED","U",IF('State of the System - Sumter Co'!M50="DIVIDED","D","F"))</f>
        <v>U</v>
      </c>
      <c r="P50" s="1" t="str">
        <f>'State of the System - Sumter Co'!N50</f>
        <v>INTERRUPTED</v>
      </c>
      <c r="Q50" s="1" t="str">
        <f t="shared" si="0"/>
        <v/>
      </c>
      <c r="R50" s="1" t="str">
        <f>'State of the System - Sumter Co'!O50</f>
        <v/>
      </c>
      <c r="S50" s="1" t="str">
        <f t="shared" si="144"/>
        <v>-1</v>
      </c>
      <c r="T50" s="1" t="str">
        <f t="shared" si="2"/>
        <v>U-2U-1</v>
      </c>
      <c r="U50" s="1" t="str">
        <f t="shared" si="140"/>
        <v>U-2U-1</v>
      </c>
      <c r="V50" s="1" t="s">
        <v>137</v>
      </c>
      <c r="W50" s="1" t="s">
        <v>25</v>
      </c>
      <c r="X50" s="1" t="s">
        <v>50</v>
      </c>
      <c r="Y50" s="1" t="str">
        <f>'State of the System - Sumter Co'!R50</f>
        <v>D</v>
      </c>
      <c r="Z50" s="157" t="str">
        <f t="shared" si="4"/>
        <v>NHS Non-Interstate</v>
      </c>
      <c r="AA50" s="15">
        <f>VLOOKUP($T50,'2020_CapacityTable'!$B$49:$F$71,2)</f>
        <v>0</v>
      </c>
      <c r="AB50" s="15">
        <f>VLOOKUP($T50,'2020_CapacityTable'!$B$49:$F$71,3)</f>
        <v>16800</v>
      </c>
      <c r="AC50" s="15">
        <f>VLOOKUP($T50,'2020_CapacityTable'!$B$49:$F$71,4)</f>
        <v>17700</v>
      </c>
      <c r="AD50" s="15">
        <f>VLOOKUP($T50,'2020_CapacityTable'!$B$49:$F$71,5)</f>
        <v>17700</v>
      </c>
      <c r="AE50" s="35" t="str">
        <f t="shared" si="145"/>
        <v/>
      </c>
      <c r="AF50" s="36" t="str">
        <f t="shared" si="6"/>
        <v/>
      </c>
      <c r="AG50" s="35"/>
      <c r="AH50" s="35" t="str">
        <f>IF(O50="U",IF(L50&gt;2,"LOOK",""),"")</f>
        <v/>
      </c>
      <c r="AI50" s="35"/>
      <c r="AJ50" s="36"/>
      <c r="AK50" s="15">
        <f t="shared" si="8"/>
        <v>0</v>
      </c>
      <c r="AL50" s="15">
        <f t="shared" si="9"/>
        <v>16800</v>
      </c>
      <c r="AM50" s="15">
        <f t="shared" si="10"/>
        <v>17700</v>
      </c>
      <c r="AN50" s="15">
        <f t="shared" si="11"/>
        <v>17700</v>
      </c>
      <c r="AO50" s="3">
        <f t="shared" si="152"/>
        <v>17700</v>
      </c>
      <c r="AP50" s="138">
        <f>VLOOKUP($B50,'2022 counts'!$B$6:$R$304,17,FALSE)</f>
        <v>18760</v>
      </c>
      <c r="AQ50" s="11">
        <f t="shared" si="12"/>
        <v>1.06</v>
      </c>
      <c r="AR50" s="2" t="str">
        <f t="shared" si="13"/>
        <v>F</v>
      </c>
      <c r="AS50" s="26">
        <f t="shared" si="50"/>
        <v>18.690000000000001</v>
      </c>
      <c r="AT50" s="15">
        <f>VLOOKUP($T50,'2020_CapacityTable'!$B$23:$F$45,2)</f>
        <v>0</v>
      </c>
      <c r="AU50" s="15">
        <f>VLOOKUP($T50,'2020_CapacityTable'!$B$23:$F$45,3)</f>
        <v>830</v>
      </c>
      <c r="AV50" s="15">
        <f>VLOOKUP($T50,'2020_CapacityTable'!$B$23:$F$45,4)</f>
        <v>880</v>
      </c>
      <c r="AW50" s="15">
        <f>VLOOKUP($T50,'2020_CapacityTable'!$B$23:$F$45,5)</f>
        <v>880</v>
      </c>
      <c r="AX50" s="15">
        <f t="shared" si="14"/>
        <v>0</v>
      </c>
      <c r="AY50" s="15">
        <f t="shared" si="15"/>
        <v>830</v>
      </c>
      <c r="AZ50" s="15">
        <f t="shared" si="16"/>
        <v>880</v>
      </c>
      <c r="BA50" s="15">
        <f t="shared" si="17"/>
        <v>880</v>
      </c>
      <c r="BB50" s="3">
        <f t="shared" si="146"/>
        <v>880</v>
      </c>
      <c r="BC50" s="138">
        <f>VLOOKUP($B50,'2022 counts'!$B$6:$AD$304,28,FALSE)</f>
        <v>945</v>
      </c>
      <c r="BD50" s="138">
        <f>VLOOKUP($B50,'2022 counts'!$B$6:$AD$304,29,FALSE)</f>
        <v>838</v>
      </c>
      <c r="BE50" s="11">
        <f t="shared" si="19"/>
        <v>1.07</v>
      </c>
      <c r="BF50" s="2" t="str">
        <f t="shared" si="20"/>
        <v>F</v>
      </c>
      <c r="BG50" s="135">
        <v>3.7499999999999999E-2</v>
      </c>
      <c r="BH50" s="135">
        <f>IF($AQ50="","",VLOOKUP($B50, '2022 counts'!$B$6:$T$304,19,FALSE))</f>
        <v>3.7499999999999999E-2</v>
      </c>
      <c r="BI50" s="38">
        <f t="shared" si="21"/>
        <v>3.7499999999999999E-2</v>
      </c>
      <c r="BJ50" s="39" t="str">
        <f t="shared" si="22"/>
        <v/>
      </c>
      <c r="BK50" s="15">
        <f>VLOOKUP($U50,'2020_CapacityTable'!$B$49:$F$71,2)</f>
        <v>0</v>
      </c>
      <c r="BL50" s="15">
        <f>VLOOKUP($U50,'2020_CapacityTable'!$B$49:$F$71,3)</f>
        <v>16800</v>
      </c>
      <c r="BM50" s="15">
        <f>VLOOKUP($T50,'2020_CapacityTable'!$B$49:$F$71,4)</f>
        <v>17700</v>
      </c>
      <c r="BN50" s="15">
        <f>VLOOKUP($T50,'2020_CapacityTable'!$B$49:$F$71,5)</f>
        <v>17700</v>
      </c>
      <c r="BO50" s="15">
        <f t="shared" si="23"/>
        <v>0</v>
      </c>
      <c r="BP50" s="15">
        <f t="shared" si="24"/>
        <v>16800</v>
      </c>
      <c r="BQ50" s="15">
        <f t="shared" si="25"/>
        <v>17700</v>
      </c>
      <c r="BR50" s="15">
        <f t="shared" si="26"/>
        <v>17700</v>
      </c>
      <c r="BS50" s="3">
        <f t="shared" si="147"/>
        <v>17700</v>
      </c>
      <c r="BT50" s="40">
        <f>'State of the System - Sumter Co'!AD50</f>
        <v>22551</v>
      </c>
      <c r="BU50" s="41">
        <f t="shared" si="28"/>
        <v>1.27</v>
      </c>
      <c r="BV50" s="2" t="str">
        <f t="shared" si="29"/>
        <v>F</v>
      </c>
      <c r="BW50" s="2">
        <f t="shared" si="30"/>
        <v>22.46</v>
      </c>
      <c r="BX50" s="15">
        <f>VLOOKUP($U50,'2020_CapacityTable'!$B$23:$F$45,2)</f>
        <v>0</v>
      </c>
      <c r="BY50" s="15">
        <f>VLOOKUP($U50,'2020_CapacityTable'!$B$23:$F$45,3)</f>
        <v>830</v>
      </c>
      <c r="BZ50" s="15">
        <f>VLOOKUP($U50,'2020_CapacityTable'!$B$23:$F$45,4)</f>
        <v>880</v>
      </c>
      <c r="CA50" s="15">
        <f>VLOOKUP($U50,'2020_CapacityTable'!$B$23:$F$45,5)</f>
        <v>880</v>
      </c>
      <c r="CB50" s="15">
        <f t="shared" si="31"/>
        <v>0</v>
      </c>
      <c r="CC50" s="15">
        <f t="shared" si="32"/>
        <v>830</v>
      </c>
      <c r="CD50" s="15">
        <f t="shared" si="33"/>
        <v>880</v>
      </c>
      <c r="CE50" s="15">
        <f t="shared" si="34"/>
        <v>880</v>
      </c>
      <c r="CF50" s="3">
        <f t="shared" si="148"/>
        <v>880</v>
      </c>
      <c r="CG50" s="2">
        <f>'State of the System - Sumter Co'!AH50</f>
        <v>1136</v>
      </c>
      <c r="CH50" s="2">
        <f>'State of the System - Sumter Co'!AI50</f>
        <v>1007</v>
      </c>
      <c r="CI50" s="11">
        <f t="shared" si="36"/>
        <v>1.29</v>
      </c>
      <c r="CJ50" s="2" t="str">
        <f t="shared" si="149"/>
        <v>F</v>
      </c>
      <c r="CK50" s="3">
        <f t="shared" si="51"/>
        <v>19116</v>
      </c>
      <c r="CL50" s="11">
        <f t="shared" si="38"/>
        <v>1.18</v>
      </c>
      <c r="CM50" s="11" t="str">
        <f t="shared" si="39"/>
        <v>EXTREMELY (2025)</v>
      </c>
      <c r="CN50" s="3">
        <f t="shared" si="40"/>
        <v>950</v>
      </c>
      <c r="CO50" s="11">
        <f t="shared" si="41"/>
        <v>1.2</v>
      </c>
      <c r="CP50" s="156" t="str">
        <f t="shared" si="150"/>
        <v>EXTREMELY (2025)</v>
      </c>
      <c r="CQ50" s="2" t="s">
        <v>557</v>
      </c>
      <c r="CR50" s="44">
        <v>0</v>
      </c>
      <c r="CS50" s="11">
        <f t="shared" si="43"/>
        <v>2.73</v>
      </c>
      <c r="CT50" s="11">
        <f t="shared" si="151"/>
        <v>2.73</v>
      </c>
      <c r="CU50" s="11" t="str">
        <f t="shared" si="52"/>
        <v/>
      </c>
      <c r="CV50" s="11">
        <f t="shared" si="45"/>
        <v>2.73</v>
      </c>
      <c r="CW50" s="2" t="s">
        <v>586</v>
      </c>
      <c r="CX50" s="1"/>
      <c r="CY50" s="145">
        <f t="shared" si="46"/>
        <v>18.690000000000001</v>
      </c>
      <c r="CZ50" s="32">
        <f t="shared" si="47"/>
        <v>22.46</v>
      </c>
    </row>
    <row r="51" spans="1:104" s="9" customFormat="1" ht="12.75" customHeight="1">
      <c r="A51" s="1">
        <v>3253220</v>
      </c>
      <c r="B51" s="1" t="str">
        <f t="shared" si="48"/>
        <v>180077: 180006</v>
      </c>
      <c r="C51" s="1">
        <v>460</v>
      </c>
      <c r="D51" s="1" t="str">
        <f>VLOOKUP(C51,'2022 counts'!$A$6:$B$304,2,FALSE)</f>
        <v>STATE</v>
      </c>
      <c r="E51" s="157" t="s">
        <v>168</v>
      </c>
      <c r="F51" s="2" t="s">
        <v>136</v>
      </c>
      <c r="G51" s="156">
        <v>45</v>
      </c>
      <c r="H51" s="11">
        <v>0.17973183735500001</v>
      </c>
      <c r="I51" s="10" t="s">
        <v>693</v>
      </c>
      <c r="J51" s="10" t="s">
        <v>152</v>
      </c>
      <c r="K51" s="10" t="s">
        <v>704</v>
      </c>
      <c r="L51" s="157">
        <v>2</v>
      </c>
      <c r="M51" s="1">
        <f>'State of the System - Sumter Co'!K51</f>
        <v>2</v>
      </c>
      <c r="N51" s="1" t="str">
        <f>IF('State of the System - Sumter Co'!L51="URBAN","U","R")</f>
        <v>U</v>
      </c>
      <c r="O51" s="1" t="str">
        <f>IF('State of the System - Sumter Co'!M51="UNDIVIDED","U",IF('State of the System - Sumter Co'!M51="DIVIDED","D","F"))</f>
        <v>D</v>
      </c>
      <c r="P51" s="1" t="str">
        <f>'State of the System - Sumter Co'!N51</f>
        <v>UNINTERRUPTED</v>
      </c>
      <c r="Q51" s="1" t="str">
        <f t="shared" si="0"/>
        <v/>
      </c>
      <c r="R51" s="1" t="str">
        <f>'State of the System - Sumter Co'!O51</f>
        <v/>
      </c>
      <c r="S51" s="1" t="str">
        <f t="shared" si="144"/>
        <v>-x</v>
      </c>
      <c r="T51" s="1" t="str">
        <f t="shared" si="2"/>
        <v>U-2D-x</v>
      </c>
      <c r="U51" s="1" t="str">
        <f t="shared" si="140"/>
        <v>U-2D-x</v>
      </c>
      <c r="V51" s="1" t="s">
        <v>137</v>
      </c>
      <c r="W51" s="1" t="s">
        <v>25</v>
      </c>
      <c r="X51" s="1" t="s">
        <v>138</v>
      </c>
      <c r="Y51" s="1" t="str">
        <f>'State of the System - Sumter Co'!R51</f>
        <v>D</v>
      </c>
      <c r="Z51" s="157" t="str">
        <f t="shared" si="4"/>
        <v>NHS Non-Interstate</v>
      </c>
      <c r="AA51" s="15">
        <f>VLOOKUP($T51,'2020_CapacityTable'!$B$49:$F$71,2)</f>
        <v>11700</v>
      </c>
      <c r="AB51" s="15">
        <f>VLOOKUP($T51,'2020_CapacityTable'!$B$49:$F$71,3)</f>
        <v>1800</v>
      </c>
      <c r="AC51" s="15">
        <f>VLOOKUP($T51,'2020_CapacityTable'!$B$49:$F$71,4)</f>
        <v>24200</v>
      </c>
      <c r="AD51" s="15">
        <f>VLOOKUP($T51,'2020_CapacityTable'!$B$49:$F$71,5)</f>
        <v>32600</v>
      </c>
      <c r="AE51" s="35" t="str">
        <f t="shared" si="145"/>
        <v/>
      </c>
      <c r="AF51" s="36">
        <f t="shared" si="6"/>
        <v>0.05</v>
      </c>
      <c r="AG51" s="35" t="str">
        <f t="shared" ref="AG51:AG57" si="153">IF(AND(L51=2,P51="interrupted",O51="U"),"LOOK","")</f>
        <v/>
      </c>
      <c r="AH51" s="35" t="str">
        <f t="shared" ref="AH51:AH82" si="154">IF($O51="U",IF($L51&gt;2,"LOOK",""),"")</f>
        <v/>
      </c>
      <c r="AI51" s="35"/>
      <c r="AJ51" s="36"/>
      <c r="AK51" s="15">
        <f t="shared" si="8"/>
        <v>12285</v>
      </c>
      <c r="AL51" s="15">
        <f t="shared" si="9"/>
        <v>1890</v>
      </c>
      <c r="AM51" s="15">
        <f t="shared" si="10"/>
        <v>25410</v>
      </c>
      <c r="AN51" s="15">
        <f t="shared" si="11"/>
        <v>34230</v>
      </c>
      <c r="AO51" s="3">
        <f t="shared" si="152"/>
        <v>25410</v>
      </c>
      <c r="AP51" s="138">
        <f>VLOOKUP($B51,'2022 counts'!$B$6:$R$304,17,FALSE)</f>
        <v>19435</v>
      </c>
      <c r="AQ51" s="11">
        <f t="shared" si="12"/>
        <v>0.76</v>
      </c>
      <c r="AR51" s="2" t="str">
        <f t="shared" si="13"/>
        <v>D</v>
      </c>
      <c r="AS51" s="26">
        <f t="shared" si="50"/>
        <v>1.27</v>
      </c>
      <c r="AT51" s="15">
        <f>VLOOKUP($T51,'2020_CapacityTable'!$B$23:$F$45,2)</f>
        <v>580</v>
      </c>
      <c r="AU51" s="15">
        <f>VLOOKUP($T51,'2020_CapacityTable'!$B$23:$F$45,3)</f>
        <v>890</v>
      </c>
      <c r="AV51" s="15">
        <f>VLOOKUP($T51,'2020_CapacityTable'!$B$23:$F$45,4)</f>
        <v>1200</v>
      </c>
      <c r="AW51" s="15">
        <f>VLOOKUP($T51,'2020_CapacityTable'!$B$23:$F$45,5)</f>
        <v>1610</v>
      </c>
      <c r="AX51" s="15">
        <f t="shared" si="14"/>
        <v>609</v>
      </c>
      <c r="AY51" s="15">
        <f t="shared" si="15"/>
        <v>935</v>
      </c>
      <c r="AZ51" s="15">
        <f t="shared" si="16"/>
        <v>1260</v>
      </c>
      <c r="BA51" s="15">
        <f t="shared" si="17"/>
        <v>1691</v>
      </c>
      <c r="BB51" s="3">
        <f t="shared" si="146"/>
        <v>1260</v>
      </c>
      <c r="BC51" s="138">
        <f>VLOOKUP($B51,'2022 counts'!$B$6:$AD$304,28,FALSE)</f>
        <v>952</v>
      </c>
      <c r="BD51" s="138">
        <f>VLOOKUP($B51,'2022 counts'!$B$6:$AD$304,29,FALSE)</f>
        <v>844.5</v>
      </c>
      <c r="BE51" s="11">
        <f t="shared" si="19"/>
        <v>0.76</v>
      </c>
      <c r="BF51" s="2" t="str">
        <f t="shared" si="20"/>
        <v>D</v>
      </c>
      <c r="BG51" s="135">
        <v>1.4999999999999999E-2</v>
      </c>
      <c r="BH51" s="135">
        <f>IF($AQ51="","",VLOOKUP($B51, '2022 counts'!$B$6:$T$304,19,FALSE))</f>
        <v>1.4999999999999999E-2</v>
      </c>
      <c r="BI51" s="38">
        <f t="shared" si="21"/>
        <v>1.4999999999999999E-2</v>
      </c>
      <c r="BJ51" s="39" t="str">
        <f t="shared" si="22"/>
        <v/>
      </c>
      <c r="BK51" s="15">
        <f>VLOOKUP($U51,'2020_CapacityTable'!$B$49:$F$71,2)</f>
        <v>11700</v>
      </c>
      <c r="BL51" s="15">
        <f>VLOOKUP($U51,'2020_CapacityTable'!$B$49:$F$71,3)</f>
        <v>1800</v>
      </c>
      <c r="BM51" s="15">
        <f>VLOOKUP($T51,'2020_CapacityTable'!$B$49:$F$71,4)</f>
        <v>24200</v>
      </c>
      <c r="BN51" s="15">
        <f>VLOOKUP($T51,'2020_CapacityTable'!$B$49:$F$71,5)</f>
        <v>32600</v>
      </c>
      <c r="BO51" s="15">
        <f t="shared" si="23"/>
        <v>12285</v>
      </c>
      <c r="BP51" s="15">
        <f t="shared" si="24"/>
        <v>1890</v>
      </c>
      <c r="BQ51" s="15">
        <f t="shared" si="25"/>
        <v>25410</v>
      </c>
      <c r="BR51" s="15">
        <f t="shared" si="26"/>
        <v>34230</v>
      </c>
      <c r="BS51" s="3">
        <f t="shared" si="147"/>
        <v>25410</v>
      </c>
      <c r="BT51" s="40">
        <f>'State of the System - Sumter Co'!AD51</f>
        <v>20937</v>
      </c>
      <c r="BU51" s="41">
        <f t="shared" si="28"/>
        <v>0.82</v>
      </c>
      <c r="BV51" s="2" t="str">
        <f t="shared" si="29"/>
        <v>D</v>
      </c>
      <c r="BW51" s="2">
        <f t="shared" si="30"/>
        <v>1.37</v>
      </c>
      <c r="BX51" s="15">
        <f>VLOOKUP($U51,'2020_CapacityTable'!$B$23:$F$45,2)</f>
        <v>580</v>
      </c>
      <c r="BY51" s="15">
        <f>VLOOKUP($U51,'2020_CapacityTable'!$B$23:$F$45,3)</f>
        <v>890</v>
      </c>
      <c r="BZ51" s="15">
        <f>VLOOKUP($U51,'2020_CapacityTable'!$B$23:$F$45,4)</f>
        <v>1200</v>
      </c>
      <c r="CA51" s="15">
        <f>VLOOKUP($U51,'2020_CapacityTable'!$B$23:$F$45,5)</f>
        <v>1610</v>
      </c>
      <c r="CB51" s="15">
        <f t="shared" si="31"/>
        <v>609</v>
      </c>
      <c r="CC51" s="15">
        <f t="shared" si="32"/>
        <v>935</v>
      </c>
      <c r="CD51" s="15">
        <f t="shared" si="33"/>
        <v>1260</v>
      </c>
      <c r="CE51" s="15">
        <f t="shared" si="34"/>
        <v>1691</v>
      </c>
      <c r="CF51" s="3">
        <f t="shared" si="148"/>
        <v>1260</v>
      </c>
      <c r="CG51" s="2">
        <f>'State of the System - Sumter Co'!AH51</f>
        <v>1026</v>
      </c>
      <c r="CH51" s="2">
        <f>'State of the System - Sumter Co'!AI51</f>
        <v>910</v>
      </c>
      <c r="CI51" s="11">
        <f t="shared" si="36"/>
        <v>0.81</v>
      </c>
      <c r="CJ51" s="2" t="str">
        <f t="shared" si="149"/>
        <v>D</v>
      </c>
      <c r="CK51" s="3">
        <f t="shared" si="51"/>
        <v>36968</v>
      </c>
      <c r="CL51" s="11">
        <f t="shared" si="38"/>
        <v>0.56999999999999995</v>
      </c>
      <c r="CM51" s="11" t="str">
        <f t="shared" si="39"/>
        <v>NOT CONGESTED</v>
      </c>
      <c r="CN51" s="3">
        <f t="shared" si="40"/>
        <v>1826</v>
      </c>
      <c r="CO51" s="11">
        <f t="shared" si="41"/>
        <v>0.56000000000000005</v>
      </c>
      <c r="CP51" s="156" t="str">
        <f t="shared" si="150"/>
        <v>NOT CONGESTED</v>
      </c>
      <c r="CQ51" s="2" t="s">
        <v>557</v>
      </c>
      <c r="CR51" s="44">
        <v>0</v>
      </c>
      <c r="CS51" s="11" t="str">
        <f t="shared" si="43"/>
        <v/>
      </c>
      <c r="CT51" s="11" t="str">
        <f t="shared" si="151"/>
        <v/>
      </c>
      <c r="CU51" s="11" t="str">
        <f t="shared" si="52"/>
        <v/>
      </c>
      <c r="CV51" s="11" t="str">
        <f t="shared" si="45"/>
        <v/>
      </c>
      <c r="CW51" s="2" t="s">
        <v>586</v>
      </c>
      <c r="CX51" s="1"/>
      <c r="CY51" s="145" t="str">
        <f t="shared" si="46"/>
        <v/>
      </c>
      <c r="CZ51" s="32" t="str">
        <f t="shared" si="47"/>
        <v/>
      </c>
    </row>
    <row r="52" spans="1:104" s="9" customFormat="1" ht="12.75" customHeight="1">
      <c r="A52" s="1">
        <v>3253230</v>
      </c>
      <c r="B52" s="1">
        <f t="shared" si="48"/>
        <v>180006</v>
      </c>
      <c r="C52" s="1">
        <v>3202</v>
      </c>
      <c r="D52" s="1" t="str">
        <f>VLOOKUP(C52,'2022 counts'!$A$6:$B$304,2,FALSE)</f>
        <v>STATE</v>
      </c>
      <c r="E52" s="1">
        <v>180006</v>
      </c>
      <c r="F52" s="2" t="s">
        <v>136</v>
      </c>
      <c r="G52" s="156">
        <v>45</v>
      </c>
      <c r="H52" s="11">
        <v>0.50991825717499994</v>
      </c>
      <c r="I52" s="10" t="s">
        <v>693</v>
      </c>
      <c r="J52" s="10" t="s">
        <v>704</v>
      </c>
      <c r="K52" s="10" t="s">
        <v>23</v>
      </c>
      <c r="L52" s="157">
        <v>4</v>
      </c>
      <c r="M52" s="1">
        <f>'State of the System - Sumter Co'!K52</f>
        <v>4</v>
      </c>
      <c r="N52" s="1" t="str">
        <f>IF('State of the System - Sumter Co'!L52="URBAN","U","R")</f>
        <v>U</v>
      </c>
      <c r="O52" s="1" t="str">
        <f>IF('State of the System - Sumter Co'!M52="UNDIVIDED","U",IF('State of the System - Sumter Co'!M52="DIVIDED","D","F"))</f>
        <v>D</v>
      </c>
      <c r="P52" s="1" t="str">
        <f>'State of the System - Sumter Co'!N52</f>
        <v>INTERRUPTED</v>
      </c>
      <c r="Q52" s="1" t="str">
        <f t="shared" si="0"/>
        <v/>
      </c>
      <c r="R52" s="1" t="str">
        <f>'State of the System - Sumter Co'!O52</f>
        <v/>
      </c>
      <c r="S52" s="1" t="str">
        <f t="shared" si="144"/>
        <v>-1</v>
      </c>
      <c r="T52" s="1" t="str">
        <f t="shared" si="2"/>
        <v>U-4D-1</v>
      </c>
      <c r="U52" s="1" t="str">
        <f t="shared" si="140"/>
        <v>U-4D-1</v>
      </c>
      <c r="V52" s="1" t="s">
        <v>137</v>
      </c>
      <c r="W52" s="1" t="s">
        <v>25</v>
      </c>
      <c r="X52" s="1" t="s">
        <v>50</v>
      </c>
      <c r="Y52" s="1" t="str">
        <f>'State of the System - Sumter Co'!R52</f>
        <v>D</v>
      </c>
      <c r="Z52" s="157" t="str">
        <f t="shared" si="4"/>
        <v>NHS Non-Interstate</v>
      </c>
      <c r="AA52" s="15">
        <f>VLOOKUP($T52,'2020_CapacityTable'!$B$49:$F$71,2)</f>
        <v>0</v>
      </c>
      <c r="AB52" s="15">
        <f>VLOOKUP($T52,'2020_CapacityTable'!$B$49:$F$71,3)</f>
        <v>37900</v>
      </c>
      <c r="AC52" s="15">
        <f>VLOOKUP($T52,'2020_CapacityTable'!$B$49:$F$71,4)</f>
        <v>39800</v>
      </c>
      <c r="AD52" s="15">
        <f>VLOOKUP($T52,'2020_CapacityTable'!$B$49:$F$71,5)</f>
        <v>39800</v>
      </c>
      <c r="AE52" s="35" t="str">
        <f t="shared" si="145"/>
        <v/>
      </c>
      <c r="AF52" s="36" t="str">
        <f t="shared" si="6"/>
        <v/>
      </c>
      <c r="AG52" s="35" t="str">
        <f t="shared" si="153"/>
        <v/>
      </c>
      <c r="AH52" s="35" t="str">
        <f t="shared" si="154"/>
        <v/>
      </c>
      <c r="AI52" s="35"/>
      <c r="AJ52" s="36">
        <v>0.05</v>
      </c>
      <c r="AK52" s="15">
        <f t="shared" si="8"/>
        <v>0</v>
      </c>
      <c r="AL52" s="15">
        <f t="shared" si="9"/>
        <v>39795</v>
      </c>
      <c r="AM52" s="15">
        <f t="shared" si="10"/>
        <v>41790</v>
      </c>
      <c r="AN52" s="15">
        <f t="shared" si="11"/>
        <v>41790</v>
      </c>
      <c r="AO52" s="3">
        <f t="shared" si="152"/>
        <v>41790</v>
      </c>
      <c r="AP52" s="138">
        <f>VLOOKUP($B52,'2022 counts'!$B$6:$R$304,17,FALSE)</f>
        <v>20110</v>
      </c>
      <c r="AQ52" s="11">
        <f t="shared" si="12"/>
        <v>0.48</v>
      </c>
      <c r="AR52" s="2" t="str">
        <f t="shared" si="13"/>
        <v>C</v>
      </c>
      <c r="AS52" s="26">
        <f t="shared" si="50"/>
        <v>3.74</v>
      </c>
      <c r="AT52" s="15">
        <f>VLOOKUP($T52,'2020_CapacityTable'!$B$23:$F$45,2)</f>
        <v>0</v>
      </c>
      <c r="AU52" s="15">
        <f>VLOOKUP($T52,'2020_CapacityTable'!$B$23:$F$45,3)</f>
        <v>1910</v>
      </c>
      <c r="AV52" s="15">
        <f>VLOOKUP($T52,'2020_CapacityTable'!$B$23:$F$45,4)</f>
        <v>2000</v>
      </c>
      <c r="AW52" s="15">
        <f>VLOOKUP($T52,'2020_CapacityTable'!$B$23:$F$45,5)</f>
        <v>2000</v>
      </c>
      <c r="AX52" s="15">
        <f t="shared" si="14"/>
        <v>0</v>
      </c>
      <c r="AY52" s="15">
        <f t="shared" si="15"/>
        <v>2006</v>
      </c>
      <c r="AZ52" s="15">
        <f t="shared" si="16"/>
        <v>2100</v>
      </c>
      <c r="BA52" s="15">
        <f t="shared" si="17"/>
        <v>2100</v>
      </c>
      <c r="BB52" s="3">
        <f t="shared" si="146"/>
        <v>2100</v>
      </c>
      <c r="BC52" s="138">
        <f>VLOOKUP($B52,'2022 counts'!$B$6:$AD$304,28,FALSE)</f>
        <v>959</v>
      </c>
      <c r="BD52" s="138">
        <f>VLOOKUP($B52,'2022 counts'!$B$6:$AD$304,29,FALSE)</f>
        <v>851</v>
      </c>
      <c r="BE52" s="11">
        <f t="shared" si="19"/>
        <v>0.46</v>
      </c>
      <c r="BF52" s="2" t="str">
        <f t="shared" si="20"/>
        <v>C</v>
      </c>
      <c r="BG52" s="135">
        <v>0</v>
      </c>
      <c r="BH52" s="135">
        <f>IF($AQ52="","",VLOOKUP($B52, '2022 counts'!$B$6:$T$304,19,FALSE))</f>
        <v>0</v>
      </c>
      <c r="BI52" s="38">
        <f t="shared" si="21"/>
        <v>0.01</v>
      </c>
      <c r="BJ52" s="39" t="str">
        <f t="shared" si="22"/>
        <v>minimum</v>
      </c>
      <c r="BK52" s="15">
        <f>VLOOKUP($U52,'2020_CapacityTable'!$B$49:$F$71,2)</f>
        <v>0</v>
      </c>
      <c r="BL52" s="15">
        <f>VLOOKUP($U52,'2020_CapacityTable'!$B$49:$F$71,3)</f>
        <v>37900</v>
      </c>
      <c r="BM52" s="15">
        <f>VLOOKUP($T52,'2020_CapacityTable'!$B$49:$F$71,4)</f>
        <v>39800</v>
      </c>
      <c r="BN52" s="15">
        <f>VLOOKUP($T52,'2020_CapacityTable'!$B$49:$F$71,5)</f>
        <v>39800</v>
      </c>
      <c r="BO52" s="15">
        <f t="shared" si="23"/>
        <v>0</v>
      </c>
      <c r="BP52" s="15">
        <f t="shared" si="24"/>
        <v>39795</v>
      </c>
      <c r="BQ52" s="15">
        <f t="shared" si="25"/>
        <v>41790</v>
      </c>
      <c r="BR52" s="15">
        <f t="shared" si="26"/>
        <v>41790</v>
      </c>
      <c r="BS52" s="3">
        <f t="shared" si="147"/>
        <v>41790</v>
      </c>
      <c r="BT52" s="40">
        <f>'State of the System - Sumter Co'!AD52</f>
        <v>21136</v>
      </c>
      <c r="BU52" s="41">
        <f t="shared" si="28"/>
        <v>0.51</v>
      </c>
      <c r="BV52" s="2" t="str">
        <f t="shared" si="29"/>
        <v>C</v>
      </c>
      <c r="BW52" s="2">
        <f t="shared" si="30"/>
        <v>3.93</v>
      </c>
      <c r="BX52" s="15">
        <f>VLOOKUP($U52,'2020_CapacityTable'!$B$23:$F$45,2)</f>
        <v>0</v>
      </c>
      <c r="BY52" s="15">
        <f>VLOOKUP($U52,'2020_CapacityTable'!$B$23:$F$45,3)</f>
        <v>1910</v>
      </c>
      <c r="BZ52" s="15">
        <f>VLOOKUP($U52,'2020_CapacityTable'!$B$23:$F$45,4)</f>
        <v>2000</v>
      </c>
      <c r="CA52" s="15">
        <f>VLOOKUP($U52,'2020_CapacityTable'!$B$23:$F$45,5)</f>
        <v>2000</v>
      </c>
      <c r="CB52" s="15">
        <f t="shared" si="31"/>
        <v>0</v>
      </c>
      <c r="CC52" s="15">
        <f t="shared" si="32"/>
        <v>2006</v>
      </c>
      <c r="CD52" s="15">
        <f t="shared" si="33"/>
        <v>2100</v>
      </c>
      <c r="CE52" s="15">
        <f t="shared" si="34"/>
        <v>2100</v>
      </c>
      <c r="CF52" s="3">
        <f t="shared" si="148"/>
        <v>2100</v>
      </c>
      <c r="CG52" s="2">
        <f>'State of the System - Sumter Co'!AH52</f>
        <v>1008</v>
      </c>
      <c r="CH52" s="2">
        <f>'State of the System - Sumter Co'!AI52</f>
        <v>894</v>
      </c>
      <c r="CI52" s="11">
        <f t="shared" si="36"/>
        <v>0.48</v>
      </c>
      <c r="CJ52" s="2" t="str">
        <f t="shared" si="149"/>
        <v>C</v>
      </c>
      <c r="CK52" s="3">
        <f t="shared" si="51"/>
        <v>45133</v>
      </c>
      <c r="CL52" s="11">
        <f t="shared" si="38"/>
        <v>0.47</v>
      </c>
      <c r="CM52" s="11" t="str">
        <f t="shared" si="39"/>
        <v>NOT CONGESTED</v>
      </c>
      <c r="CN52" s="3">
        <f t="shared" si="40"/>
        <v>2268</v>
      </c>
      <c r="CO52" s="11">
        <f t="shared" si="41"/>
        <v>0.44</v>
      </c>
      <c r="CP52" s="156" t="str">
        <f t="shared" si="150"/>
        <v>NOT CONGESTED</v>
      </c>
      <c r="CQ52" s="2"/>
      <c r="CR52" s="42"/>
      <c r="CS52" s="11" t="str">
        <f t="shared" si="43"/>
        <v/>
      </c>
      <c r="CT52" s="11" t="str">
        <f t="shared" si="151"/>
        <v/>
      </c>
      <c r="CU52" s="11" t="str">
        <f t="shared" si="52"/>
        <v/>
      </c>
      <c r="CV52" s="11" t="str">
        <f t="shared" si="45"/>
        <v/>
      </c>
      <c r="CW52" s="2" t="s">
        <v>586</v>
      </c>
      <c r="CX52" s="1"/>
      <c r="CY52" s="145" t="str">
        <f t="shared" si="46"/>
        <v/>
      </c>
      <c r="CZ52" s="32" t="str">
        <f t="shared" si="47"/>
        <v/>
      </c>
    </row>
    <row r="53" spans="1:104" s="9" customFormat="1" ht="12.75" customHeight="1">
      <c r="A53" s="1">
        <v>3253240</v>
      </c>
      <c r="B53" s="1">
        <f t="shared" si="48"/>
        <v>185016</v>
      </c>
      <c r="C53" s="1">
        <v>3402</v>
      </c>
      <c r="D53" s="1" t="str">
        <f>VLOOKUP(C53,'2022 counts'!$A$6:$B$304,2,FALSE)</f>
        <v>STATE</v>
      </c>
      <c r="E53" s="1">
        <v>185016</v>
      </c>
      <c r="F53" s="2" t="s">
        <v>136</v>
      </c>
      <c r="G53" s="156">
        <v>40</v>
      </c>
      <c r="H53" s="11">
        <v>0.79150823487900002</v>
      </c>
      <c r="I53" s="10" t="s">
        <v>693</v>
      </c>
      <c r="J53" s="10" t="s">
        <v>23</v>
      </c>
      <c r="K53" s="10" t="s">
        <v>712</v>
      </c>
      <c r="L53" s="157">
        <v>4</v>
      </c>
      <c r="M53" s="1">
        <f>'State of the System - Sumter Co'!K53</f>
        <v>4</v>
      </c>
      <c r="N53" s="1" t="str">
        <f>IF('State of the System - Sumter Co'!L53="URBAN","U","R")</f>
        <v>U</v>
      </c>
      <c r="O53" s="1" t="str">
        <f>IF('State of the System - Sumter Co'!M53="UNDIVIDED","U",IF('State of the System - Sumter Co'!M53="DIVIDED","D","F"))</f>
        <v>D</v>
      </c>
      <c r="P53" s="1" t="str">
        <f>'State of the System - Sumter Co'!N53</f>
        <v>INTERRUPTED</v>
      </c>
      <c r="Q53" s="1" t="str">
        <f t="shared" si="0"/>
        <v/>
      </c>
      <c r="R53" s="1" t="str">
        <f>'State of the System - Sumter Co'!O53</f>
        <v/>
      </c>
      <c r="S53" s="1" t="str">
        <f t="shared" si="144"/>
        <v>-1</v>
      </c>
      <c r="T53" s="1" t="str">
        <f t="shared" si="2"/>
        <v>U-4D-1</v>
      </c>
      <c r="U53" s="1" t="str">
        <f t="shared" si="140"/>
        <v>U-4D-1</v>
      </c>
      <c r="V53" s="1" t="s">
        <v>137</v>
      </c>
      <c r="W53" s="1" t="s">
        <v>25</v>
      </c>
      <c r="X53" s="1" t="s">
        <v>50</v>
      </c>
      <c r="Y53" s="1" t="str">
        <f>'State of the System - Sumter Co'!R53</f>
        <v>D</v>
      </c>
      <c r="Z53" s="157" t="str">
        <f t="shared" si="4"/>
        <v>NHS Non-Interstate</v>
      </c>
      <c r="AA53" s="15">
        <f>VLOOKUP($T53,'2020_CapacityTable'!$B$49:$F$71,2)</f>
        <v>0</v>
      </c>
      <c r="AB53" s="15">
        <f>VLOOKUP($T53,'2020_CapacityTable'!$B$49:$F$71,3)</f>
        <v>37900</v>
      </c>
      <c r="AC53" s="15">
        <f>VLOOKUP($T53,'2020_CapacityTable'!$B$49:$F$71,4)</f>
        <v>39800</v>
      </c>
      <c r="AD53" s="15">
        <f>VLOOKUP($T53,'2020_CapacityTable'!$B$49:$F$71,5)</f>
        <v>39800</v>
      </c>
      <c r="AE53" s="35" t="str">
        <f t="shared" si="145"/>
        <v/>
      </c>
      <c r="AF53" s="36" t="str">
        <f t="shared" si="6"/>
        <v/>
      </c>
      <c r="AG53" s="35" t="str">
        <f t="shared" si="153"/>
        <v/>
      </c>
      <c r="AH53" s="35" t="str">
        <f t="shared" si="154"/>
        <v/>
      </c>
      <c r="AI53" s="35"/>
      <c r="AJ53" s="36"/>
      <c r="AK53" s="15">
        <f t="shared" si="8"/>
        <v>0</v>
      </c>
      <c r="AL53" s="15">
        <f t="shared" si="9"/>
        <v>37900</v>
      </c>
      <c r="AM53" s="15">
        <f t="shared" si="10"/>
        <v>39800</v>
      </c>
      <c r="AN53" s="15">
        <f t="shared" si="11"/>
        <v>39800</v>
      </c>
      <c r="AO53" s="3">
        <f t="shared" si="152"/>
        <v>39800</v>
      </c>
      <c r="AP53" s="138">
        <f>VLOOKUP($B53,'2022 counts'!$B$6:$R$304,17,FALSE)</f>
        <v>23700</v>
      </c>
      <c r="AQ53" s="11">
        <f t="shared" si="12"/>
        <v>0.6</v>
      </c>
      <c r="AR53" s="2" t="str">
        <f t="shared" si="13"/>
        <v>C</v>
      </c>
      <c r="AS53" s="26">
        <f t="shared" si="50"/>
        <v>6.85</v>
      </c>
      <c r="AT53" s="15">
        <f>VLOOKUP($T53,'2020_CapacityTable'!$B$23:$F$45,2)</f>
        <v>0</v>
      </c>
      <c r="AU53" s="15">
        <f>VLOOKUP($T53,'2020_CapacityTable'!$B$23:$F$45,3)</f>
        <v>1910</v>
      </c>
      <c r="AV53" s="15">
        <f>VLOOKUP($T53,'2020_CapacityTable'!$B$23:$F$45,4)</f>
        <v>2000</v>
      </c>
      <c r="AW53" s="15">
        <f>VLOOKUP($T53,'2020_CapacityTable'!$B$23:$F$45,5)</f>
        <v>2000</v>
      </c>
      <c r="AX53" s="15">
        <f t="shared" si="14"/>
        <v>0</v>
      </c>
      <c r="AY53" s="15">
        <f t="shared" si="15"/>
        <v>1910</v>
      </c>
      <c r="AZ53" s="15">
        <f t="shared" si="16"/>
        <v>2000</v>
      </c>
      <c r="BA53" s="15">
        <f t="shared" si="17"/>
        <v>2000</v>
      </c>
      <c r="BB53" s="3">
        <f t="shared" si="146"/>
        <v>2000</v>
      </c>
      <c r="BC53" s="138">
        <f>VLOOKUP($B53,'2022 counts'!$B$6:$AD$304,28,FALSE)</f>
        <v>1130</v>
      </c>
      <c r="BD53" s="138">
        <f>VLOOKUP($B53,'2022 counts'!$B$6:$AD$304,29,FALSE)</f>
        <v>1003</v>
      </c>
      <c r="BE53" s="11">
        <f t="shared" si="19"/>
        <v>0.56999999999999995</v>
      </c>
      <c r="BF53" s="2" t="str">
        <f t="shared" si="20"/>
        <v>C</v>
      </c>
      <c r="BG53" s="135">
        <v>0</v>
      </c>
      <c r="BH53" s="135">
        <f>IF($AQ53="","",VLOOKUP($B53, '2022 counts'!$B$6:$T$304,19,FALSE))</f>
        <v>0</v>
      </c>
      <c r="BI53" s="38">
        <f t="shared" si="21"/>
        <v>0.01</v>
      </c>
      <c r="BJ53" s="39" t="str">
        <f t="shared" si="22"/>
        <v>minimum</v>
      </c>
      <c r="BK53" s="15">
        <f>VLOOKUP($U53,'2020_CapacityTable'!$B$49:$F$71,2)</f>
        <v>0</v>
      </c>
      <c r="BL53" s="15">
        <f>VLOOKUP($U53,'2020_CapacityTable'!$B$49:$F$71,3)</f>
        <v>37900</v>
      </c>
      <c r="BM53" s="15">
        <f>VLOOKUP($T53,'2020_CapacityTable'!$B$49:$F$71,4)</f>
        <v>39800</v>
      </c>
      <c r="BN53" s="15">
        <f>VLOOKUP($T53,'2020_CapacityTable'!$B$49:$F$71,5)</f>
        <v>39800</v>
      </c>
      <c r="BO53" s="15">
        <f t="shared" si="23"/>
        <v>0</v>
      </c>
      <c r="BP53" s="15">
        <f t="shared" si="24"/>
        <v>37900</v>
      </c>
      <c r="BQ53" s="15">
        <f t="shared" si="25"/>
        <v>39800</v>
      </c>
      <c r="BR53" s="15">
        <f t="shared" si="26"/>
        <v>39800</v>
      </c>
      <c r="BS53" s="3">
        <f t="shared" si="147"/>
        <v>39800</v>
      </c>
      <c r="BT53" s="40">
        <f>'State of the System - Sumter Co'!AD53</f>
        <v>24909</v>
      </c>
      <c r="BU53" s="41">
        <f t="shared" si="28"/>
        <v>0.63</v>
      </c>
      <c r="BV53" s="2" t="str">
        <f t="shared" si="29"/>
        <v>C</v>
      </c>
      <c r="BW53" s="2">
        <f t="shared" si="30"/>
        <v>7.2</v>
      </c>
      <c r="BX53" s="15">
        <f>VLOOKUP($U53,'2020_CapacityTable'!$B$23:$F$45,2)</f>
        <v>0</v>
      </c>
      <c r="BY53" s="15">
        <f>VLOOKUP($U53,'2020_CapacityTable'!$B$23:$F$45,3)</f>
        <v>1910</v>
      </c>
      <c r="BZ53" s="15">
        <f>VLOOKUP($U53,'2020_CapacityTable'!$B$23:$F$45,4)</f>
        <v>2000</v>
      </c>
      <c r="CA53" s="15">
        <f>VLOOKUP($U53,'2020_CapacityTable'!$B$23:$F$45,5)</f>
        <v>2000</v>
      </c>
      <c r="CB53" s="15">
        <f t="shared" si="31"/>
        <v>0</v>
      </c>
      <c r="CC53" s="15">
        <f t="shared" si="32"/>
        <v>1910</v>
      </c>
      <c r="CD53" s="15">
        <f t="shared" si="33"/>
        <v>2000</v>
      </c>
      <c r="CE53" s="15">
        <f t="shared" si="34"/>
        <v>2000</v>
      </c>
      <c r="CF53" s="3">
        <f t="shared" si="148"/>
        <v>2000</v>
      </c>
      <c r="CG53" s="2">
        <f>'State of the System - Sumter Co'!AH53</f>
        <v>1188</v>
      </c>
      <c r="CH53" s="2">
        <f>'State of the System - Sumter Co'!AI53</f>
        <v>1054</v>
      </c>
      <c r="CI53" s="11">
        <f t="shared" si="36"/>
        <v>0.59</v>
      </c>
      <c r="CJ53" s="2" t="str">
        <f t="shared" si="149"/>
        <v>C</v>
      </c>
      <c r="CK53" s="3">
        <f t="shared" si="51"/>
        <v>42984</v>
      </c>
      <c r="CL53" s="11">
        <f t="shared" si="38"/>
        <v>0.57999999999999996</v>
      </c>
      <c r="CM53" s="11" t="str">
        <f t="shared" si="39"/>
        <v>NOT CONGESTED</v>
      </c>
      <c r="CN53" s="3">
        <f t="shared" si="40"/>
        <v>2160</v>
      </c>
      <c r="CO53" s="11">
        <f t="shared" si="41"/>
        <v>0.55000000000000004</v>
      </c>
      <c r="CP53" s="156" t="str">
        <f t="shared" si="150"/>
        <v>NOT CONGESTED</v>
      </c>
      <c r="CQ53" s="3"/>
      <c r="CR53" s="3"/>
      <c r="CS53" s="11" t="str">
        <f t="shared" si="43"/>
        <v/>
      </c>
      <c r="CT53" s="11" t="str">
        <f t="shared" si="151"/>
        <v/>
      </c>
      <c r="CU53" s="11" t="str">
        <f t="shared" si="52"/>
        <v/>
      </c>
      <c r="CV53" s="11" t="str">
        <f t="shared" si="45"/>
        <v/>
      </c>
      <c r="CW53" s="2" t="s">
        <v>586</v>
      </c>
      <c r="CX53" s="1"/>
      <c r="CY53" s="145" t="str">
        <f t="shared" si="46"/>
        <v/>
      </c>
      <c r="CZ53" s="32" t="str">
        <f t="shared" si="47"/>
        <v/>
      </c>
    </row>
    <row r="54" spans="1:104" s="9" customFormat="1" ht="12.75" customHeight="1">
      <c r="A54" s="1">
        <v>3253250</v>
      </c>
      <c r="B54" s="1">
        <f t="shared" si="48"/>
        <v>180026</v>
      </c>
      <c r="C54" s="1">
        <v>360</v>
      </c>
      <c r="D54" s="1" t="str">
        <f>VLOOKUP(C54,'2022 counts'!$A$6:$B$304,2,FALSE)</f>
        <v>STATE</v>
      </c>
      <c r="E54" s="1">
        <v>180026</v>
      </c>
      <c r="F54" s="2" t="s">
        <v>136</v>
      </c>
      <c r="G54" s="156">
        <v>35</v>
      </c>
      <c r="H54" s="11">
        <v>0.53549469669399996</v>
      </c>
      <c r="I54" s="10" t="s">
        <v>693</v>
      </c>
      <c r="J54" s="10" t="s">
        <v>712</v>
      </c>
      <c r="K54" s="10" t="s">
        <v>723</v>
      </c>
      <c r="L54" s="157">
        <v>4</v>
      </c>
      <c r="M54" s="1">
        <f>'State of the System - Sumter Co'!K54</f>
        <v>4</v>
      </c>
      <c r="N54" s="1" t="str">
        <f>IF('State of the System - Sumter Co'!L54="URBAN","U","R")</f>
        <v>U</v>
      </c>
      <c r="O54" s="1" t="str">
        <f>IF('State of the System - Sumter Co'!M54="UNDIVIDED","U",IF('State of the System - Sumter Co'!M54="DIVIDED","D","F"))</f>
        <v>D</v>
      </c>
      <c r="P54" s="1" t="str">
        <f>'State of the System - Sumter Co'!N54</f>
        <v>INTERRUPTED</v>
      </c>
      <c r="Q54" s="1" t="str">
        <f t="shared" si="0"/>
        <v/>
      </c>
      <c r="R54" s="1" t="str">
        <f>'State of the System - Sumter Co'!O54</f>
        <v/>
      </c>
      <c r="S54" s="1" t="str">
        <f t="shared" si="144"/>
        <v>-2</v>
      </c>
      <c r="T54" s="1" t="str">
        <f t="shared" si="2"/>
        <v>U-4D-2</v>
      </c>
      <c r="U54" s="1" t="str">
        <f t="shared" ref="U54:U85" si="155">CONCATENATE(N54,"-",L54,O54,S54,Q54)</f>
        <v>U-4D-2</v>
      </c>
      <c r="V54" s="1" t="s">
        <v>137</v>
      </c>
      <c r="W54" s="1" t="s">
        <v>25</v>
      </c>
      <c r="X54" s="1" t="s">
        <v>50</v>
      </c>
      <c r="Y54" s="1" t="str">
        <f>'State of the System - Sumter Co'!R54</f>
        <v>D</v>
      </c>
      <c r="Z54" s="157" t="str">
        <f t="shared" si="4"/>
        <v>NHS Non-Interstate</v>
      </c>
      <c r="AA54" s="15">
        <f>VLOOKUP($T54,'2020_CapacityTable'!$B$49:$F$71,2)</f>
        <v>0</v>
      </c>
      <c r="AB54" s="15">
        <f>VLOOKUP($T54,'2020_CapacityTable'!$B$49:$F$71,3)</f>
        <v>14500</v>
      </c>
      <c r="AC54" s="15">
        <f>VLOOKUP($T54,'2020_CapacityTable'!$B$49:$F$71,4)</f>
        <v>32400</v>
      </c>
      <c r="AD54" s="15">
        <f>VLOOKUP($T54,'2020_CapacityTable'!$B$49:$F$71,5)</f>
        <v>33800</v>
      </c>
      <c r="AE54" s="35" t="str">
        <f t="shared" si="145"/>
        <v/>
      </c>
      <c r="AF54" s="36" t="str">
        <f t="shared" si="6"/>
        <v/>
      </c>
      <c r="AG54" s="35" t="str">
        <f t="shared" si="153"/>
        <v/>
      </c>
      <c r="AH54" s="35" t="str">
        <f t="shared" si="154"/>
        <v/>
      </c>
      <c r="AI54" s="35"/>
      <c r="AJ54" s="36"/>
      <c r="AK54" s="15">
        <f t="shared" si="8"/>
        <v>0</v>
      </c>
      <c r="AL54" s="15">
        <f t="shared" si="9"/>
        <v>14500</v>
      </c>
      <c r="AM54" s="15">
        <f t="shared" si="10"/>
        <v>32400</v>
      </c>
      <c r="AN54" s="15">
        <f t="shared" si="11"/>
        <v>33800</v>
      </c>
      <c r="AO54" s="3">
        <f t="shared" si="152"/>
        <v>32400</v>
      </c>
      <c r="AP54" s="138">
        <f>VLOOKUP($B54,'2022 counts'!$B$6:$R$304,17,FALSE)</f>
        <v>25900</v>
      </c>
      <c r="AQ54" s="11">
        <f t="shared" si="12"/>
        <v>0.8</v>
      </c>
      <c r="AR54" s="2" t="str">
        <f t="shared" si="13"/>
        <v>D</v>
      </c>
      <c r="AS54" s="26">
        <f t="shared" si="50"/>
        <v>5.0599999999999996</v>
      </c>
      <c r="AT54" s="15">
        <f>VLOOKUP($T54,'2020_CapacityTable'!$B$23:$F$45,2)</f>
        <v>0</v>
      </c>
      <c r="AU54" s="15">
        <f>VLOOKUP($T54,'2020_CapacityTable'!$B$23:$F$45,3)</f>
        <v>730</v>
      </c>
      <c r="AV54" s="15">
        <f>VLOOKUP($T54,'2020_CapacityTable'!$B$23:$F$45,4)</f>
        <v>1630</v>
      </c>
      <c r="AW54" s="15">
        <f>VLOOKUP($T54,'2020_CapacityTable'!$B$23:$F$45,5)</f>
        <v>1700</v>
      </c>
      <c r="AX54" s="15">
        <f t="shared" si="14"/>
        <v>0</v>
      </c>
      <c r="AY54" s="15">
        <f t="shared" si="15"/>
        <v>730</v>
      </c>
      <c r="AZ54" s="15">
        <f t="shared" si="16"/>
        <v>1630</v>
      </c>
      <c r="BA54" s="15">
        <f t="shared" si="17"/>
        <v>1700</v>
      </c>
      <c r="BB54" s="3">
        <f t="shared" si="146"/>
        <v>1630</v>
      </c>
      <c r="BC54" s="138">
        <f>VLOOKUP($B54,'2022 counts'!$B$6:$AD$304,28,FALSE)</f>
        <v>1102</v>
      </c>
      <c r="BD54" s="138">
        <f>VLOOKUP($B54,'2022 counts'!$B$6:$AD$304,29,FALSE)</f>
        <v>969</v>
      </c>
      <c r="BE54" s="11">
        <f t="shared" si="19"/>
        <v>0.68</v>
      </c>
      <c r="BF54" s="2" t="str">
        <f t="shared" si="20"/>
        <v>D</v>
      </c>
      <c r="BG54" s="135">
        <v>4.7500000000000001E-2</v>
      </c>
      <c r="BH54" s="135">
        <f>IF($AQ54="","",VLOOKUP($B54, '2022 counts'!$B$6:$T$304,19,FALSE))</f>
        <v>4.7500000000000001E-2</v>
      </c>
      <c r="BI54" s="38">
        <f t="shared" si="21"/>
        <v>4.7500000000000001E-2</v>
      </c>
      <c r="BJ54" s="39" t="str">
        <f t="shared" si="22"/>
        <v/>
      </c>
      <c r="BK54" s="15">
        <f>VLOOKUP($U54,'2020_CapacityTable'!$B$49:$F$71,2)</f>
        <v>0</v>
      </c>
      <c r="BL54" s="15">
        <f>VLOOKUP($U54,'2020_CapacityTable'!$B$49:$F$71,3)</f>
        <v>14500</v>
      </c>
      <c r="BM54" s="15">
        <f>VLOOKUP($T54,'2020_CapacityTable'!$B$49:$F$71,4)</f>
        <v>32400</v>
      </c>
      <c r="BN54" s="15">
        <f>VLOOKUP($T54,'2020_CapacityTable'!$B$49:$F$71,5)</f>
        <v>33800</v>
      </c>
      <c r="BO54" s="15">
        <f t="shared" si="23"/>
        <v>0</v>
      </c>
      <c r="BP54" s="15">
        <f t="shared" si="24"/>
        <v>14500</v>
      </c>
      <c r="BQ54" s="15">
        <f t="shared" si="25"/>
        <v>32400</v>
      </c>
      <c r="BR54" s="15">
        <f t="shared" si="26"/>
        <v>33800</v>
      </c>
      <c r="BS54" s="3">
        <f t="shared" si="147"/>
        <v>32400</v>
      </c>
      <c r="BT54" s="40">
        <f>'State of the System - Sumter Co'!AD54</f>
        <v>32664</v>
      </c>
      <c r="BU54" s="41">
        <f t="shared" si="28"/>
        <v>1.01</v>
      </c>
      <c r="BV54" s="2" t="str">
        <f t="shared" si="29"/>
        <v>E</v>
      </c>
      <c r="BW54" s="2">
        <f t="shared" si="30"/>
        <v>6.38</v>
      </c>
      <c r="BX54" s="15">
        <f>VLOOKUP($U54,'2020_CapacityTable'!$B$23:$F$45,2)</f>
        <v>0</v>
      </c>
      <c r="BY54" s="15">
        <f>VLOOKUP($U54,'2020_CapacityTable'!$B$23:$F$45,3)</f>
        <v>730</v>
      </c>
      <c r="BZ54" s="15">
        <f>VLOOKUP($U54,'2020_CapacityTable'!$B$23:$F$45,4)</f>
        <v>1630</v>
      </c>
      <c r="CA54" s="15">
        <f>VLOOKUP($U54,'2020_CapacityTable'!$B$23:$F$45,5)</f>
        <v>1700</v>
      </c>
      <c r="CB54" s="15">
        <f t="shared" si="31"/>
        <v>0</v>
      </c>
      <c r="CC54" s="15">
        <f t="shared" si="32"/>
        <v>730</v>
      </c>
      <c r="CD54" s="15">
        <f t="shared" si="33"/>
        <v>1630</v>
      </c>
      <c r="CE54" s="15">
        <f t="shared" si="34"/>
        <v>1700</v>
      </c>
      <c r="CF54" s="3">
        <f t="shared" si="148"/>
        <v>1630</v>
      </c>
      <c r="CG54" s="2">
        <f>'State of the System - Sumter Co'!AH54</f>
        <v>1390</v>
      </c>
      <c r="CH54" s="2">
        <f>'State of the System - Sumter Co'!AI54</f>
        <v>1222</v>
      </c>
      <c r="CI54" s="11">
        <f t="shared" si="36"/>
        <v>0.85</v>
      </c>
      <c r="CJ54" s="2" t="str">
        <f t="shared" si="149"/>
        <v>D</v>
      </c>
      <c r="CK54" s="3">
        <f t="shared" si="51"/>
        <v>36504</v>
      </c>
      <c r="CL54" s="11">
        <f t="shared" si="38"/>
        <v>0.89</v>
      </c>
      <c r="CM54" s="11" t="str">
        <f t="shared" si="39"/>
        <v>CONGESTED (2025)</v>
      </c>
      <c r="CN54" s="3">
        <f t="shared" si="40"/>
        <v>1836</v>
      </c>
      <c r="CO54" s="11">
        <f t="shared" si="41"/>
        <v>0.76</v>
      </c>
      <c r="CP54" s="156" t="str">
        <f t="shared" si="150"/>
        <v>NOT CONGESTED</v>
      </c>
      <c r="CQ54" s="3"/>
      <c r="CR54" s="3"/>
      <c r="CS54" s="11" t="str">
        <f t="shared" si="43"/>
        <v/>
      </c>
      <c r="CT54" s="11">
        <f t="shared" si="151"/>
        <v>0.54</v>
      </c>
      <c r="CU54" s="11" t="str">
        <f t="shared" si="52"/>
        <v/>
      </c>
      <c r="CV54" s="11" t="str">
        <f t="shared" si="45"/>
        <v/>
      </c>
      <c r="CW54" s="2" t="s">
        <v>586</v>
      </c>
      <c r="CX54" s="1"/>
      <c r="CY54" s="145" t="str">
        <f t="shared" si="46"/>
        <v/>
      </c>
      <c r="CZ54" s="32">
        <f t="shared" si="47"/>
        <v>6.38</v>
      </c>
    </row>
    <row r="55" spans="1:104" s="9" customFormat="1" ht="12.75" customHeight="1">
      <c r="A55" s="1">
        <v>3253270</v>
      </c>
      <c r="B55" s="1">
        <f t="shared" si="48"/>
        <v>180002</v>
      </c>
      <c r="C55" s="1">
        <v>442</v>
      </c>
      <c r="D55" s="1" t="str">
        <f>VLOOKUP(C55,'2022 counts'!$A$6:$B$304,2,FALSE)</f>
        <v>STATE</v>
      </c>
      <c r="E55" s="1">
        <v>180002</v>
      </c>
      <c r="F55" s="2" t="s">
        <v>136</v>
      </c>
      <c r="G55" s="156">
        <v>45</v>
      </c>
      <c r="H55" s="11">
        <v>0.257931336831</v>
      </c>
      <c r="I55" s="10" t="s">
        <v>40</v>
      </c>
      <c r="J55" s="10" t="s">
        <v>766</v>
      </c>
      <c r="K55" s="10" t="s">
        <v>725</v>
      </c>
      <c r="L55" s="157">
        <v>4</v>
      </c>
      <c r="M55" s="1">
        <f>'State of the System - Sumter Co'!K55</f>
        <v>4</v>
      </c>
      <c r="N55" s="1" t="str">
        <f>IF('State of the System - Sumter Co'!L55="URBAN","U","R")</f>
        <v>U</v>
      </c>
      <c r="O55" s="1" t="str">
        <f>IF('State of the System - Sumter Co'!M55="UNDIVIDED","U",IF('State of the System - Sumter Co'!M55="DIVIDED","D","F"))</f>
        <v>D</v>
      </c>
      <c r="P55" s="1" t="str">
        <f>'State of the System - Sumter Co'!N55</f>
        <v>INTERRUPTED</v>
      </c>
      <c r="Q55" s="1" t="str">
        <f t="shared" si="0"/>
        <v/>
      </c>
      <c r="R55" s="1" t="str">
        <f>'State of the System - Sumter Co'!O55</f>
        <v/>
      </c>
      <c r="S55" s="1" t="str">
        <f t="shared" si="144"/>
        <v>-1</v>
      </c>
      <c r="T55" s="1" t="str">
        <f t="shared" si="2"/>
        <v>U-4D-1</v>
      </c>
      <c r="U55" s="1" t="str">
        <f t="shared" si="155"/>
        <v>U-4D-1</v>
      </c>
      <c r="V55" s="1" t="s">
        <v>137</v>
      </c>
      <c r="W55" s="1" t="s">
        <v>11</v>
      </c>
      <c r="X55" s="1" t="s">
        <v>138</v>
      </c>
      <c r="Y55" s="1" t="str">
        <f>'State of the System - Sumter Co'!R55</f>
        <v>D</v>
      </c>
      <c r="Z55" s="157" t="str">
        <f t="shared" si="4"/>
        <v>NHS Non-Interstate</v>
      </c>
      <c r="AA55" s="15">
        <f>VLOOKUP($T55,'2020_CapacityTable'!$B$49:$F$71,2)</f>
        <v>0</v>
      </c>
      <c r="AB55" s="15">
        <f>VLOOKUP($T55,'2020_CapacityTable'!$B$49:$F$71,3)</f>
        <v>37900</v>
      </c>
      <c r="AC55" s="15">
        <f>VLOOKUP($T55,'2020_CapacityTable'!$B$49:$F$71,4)</f>
        <v>39800</v>
      </c>
      <c r="AD55" s="15">
        <f>VLOOKUP($T55,'2020_CapacityTable'!$B$49:$F$71,5)</f>
        <v>39800</v>
      </c>
      <c r="AE55" s="35" t="str">
        <f t="shared" si="145"/>
        <v/>
      </c>
      <c r="AF55" s="36" t="str">
        <f t="shared" si="6"/>
        <v/>
      </c>
      <c r="AG55" s="35" t="str">
        <f t="shared" si="153"/>
        <v/>
      </c>
      <c r="AH55" s="35" t="str">
        <f t="shared" si="154"/>
        <v/>
      </c>
      <c r="AI55" s="35"/>
      <c r="AJ55" s="36"/>
      <c r="AK55" s="15">
        <f t="shared" si="8"/>
        <v>0</v>
      </c>
      <c r="AL55" s="15">
        <f t="shared" si="9"/>
        <v>37900</v>
      </c>
      <c r="AM55" s="15">
        <f t="shared" si="10"/>
        <v>39800</v>
      </c>
      <c r="AN55" s="15">
        <f t="shared" si="11"/>
        <v>39800</v>
      </c>
      <c r="AO55" s="3">
        <f t="shared" si="152"/>
        <v>39800</v>
      </c>
      <c r="AP55" s="138">
        <f>VLOOKUP($B55,'2022 counts'!$B$6:$R$304,17,FALSE)</f>
        <v>26460</v>
      </c>
      <c r="AQ55" s="11">
        <f t="shared" si="12"/>
        <v>0.66</v>
      </c>
      <c r="AR55" s="2" t="str">
        <f t="shared" si="13"/>
        <v>C</v>
      </c>
      <c r="AS55" s="26">
        <f t="shared" si="50"/>
        <v>2.4900000000000002</v>
      </c>
      <c r="AT55" s="15">
        <f>VLOOKUP($T55,'2020_CapacityTable'!$B$23:$F$45,2)</f>
        <v>0</v>
      </c>
      <c r="AU55" s="15">
        <f>VLOOKUP($T55,'2020_CapacityTable'!$B$23:$F$45,3)</f>
        <v>1910</v>
      </c>
      <c r="AV55" s="15">
        <f>VLOOKUP($T55,'2020_CapacityTable'!$B$23:$F$45,4)</f>
        <v>2000</v>
      </c>
      <c r="AW55" s="15">
        <f>VLOOKUP($T55,'2020_CapacityTable'!$B$23:$F$45,5)</f>
        <v>2000</v>
      </c>
      <c r="AX55" s="15">
        <f t="shared" si="14"/>
        <v>0</v>
      </c>
      <c r="AY55" s="15">
        <f t="shared" si="15"/>
        <v>1910</v>
      </c>
      <c r="AZ55" s="15">
        <f t="shared" si="16"/>
        <v>2000</v>
      </c>
      <c r="BA55" s="15">
        <f t="shared" si="17"/>
        <v>2000</v>
      </c>
      <c r="BB55" s="3">
        <f t="shared" si="146"/>
        <v>2000</v>
      </c>
      <c r="BC55" s="138">
        <f>VLOOKUP($B55,'2022 counts'!$B$6:$AD$304,28,FALSE)</f>
        <v>1262</v>
      </c>
      <c r="BD55" s="138">
        <f>VLOOKUP($B55,'2022 counts'!$B$6:$AD$304,29,FALSE)</f>
        <v>1119</v>
      </c>
      <c r="BE55" s="11">
        <f t="shared" si="19"/>
        <v>0.63</v>
      </c>
      <c r="BF55" s="2" t="str">
        <f t="shared" si="20"/>
        <v>C</v>
      </c>
      <c r="BG55" s="135">
        <v>3.7499999999999999E-2</v>
      </c>
      <c r="BH55" s="135">
        <f>IF($AQ55="","",VLOOKUP($B55, '2022 counts'!$B$6:$T$304,19,FALSE))</f>
        <v>0</v>
      </c>
      <c r="BI55" s="38">
        <f t="shared" si="21"/>
        <v>0.01</v>
      </c>
      <c r="BJ55" s="39" t="str">
        <f t="shared" si="22"/>
        <v>minimum, (1)</v>
      </c>
      <c r="BK55" s="15">
        <f>VLOOKUP($U55,'2020_CapacityTable'!$B$49:$F$71,2)</f>
        <v>0</v>
      </c>
      <c r="BL55" s="15">
        <f>VLOOKUP($U55,'2020_CapacityTable'!$B$49:$F$71,3)</f>
        <v>37900</v>
      </c>
      <c r="BM55" s="15">
        <f>VLOOKUP($T55,'2020_CapacityTable'!$B$49:$F$71,4)</f>
        <v>39800</v>
      </c>
      <c r="BN55" s="15">
        <f>VLOOKUP($T55,'2020_CapacityTable'!$B$49:$F$71,5)</f>
        <v>39800</v>
      </c>
      <c r="BO55" s="15">
        <f t="shared" si="23"/>
        <v>0</v>
      </c>
      <c r="BP55" s="15">
        <f t="shared" si="24"/>
        <v>37900</v>
      </c>
      <c r="BQ55" s="15">
        <f t="shared" si="25"/>
        <v>39800</v>
      </c>
      <c r="BR55" s="15">
        <f t="shared" si="26"/>
        <v>39800</v>
      </c>
      <c r="BS55" s="3">
        <f t="shared" si="147"/>
        <v>39800</v>
      </c>
      <c r="BT55" s="40">
        <f>'State of the System - Sumter Co'!AD55</f>
        <v>27810</v>
      </c>
      <c r="BU55" s="41">
        <f t="shared" si="28"/>
        <v>0.7</v>
      </c>
      <c r="BV55" s="2" t="str">
        <f t="shared" si="29"/>
        <v>C</v>
      </c>
      <c r="BW55" s="2">
        <f t="shared" si="30"/>
        <v>2.62</v>
      </c>
      <c r="BX55" s="15">
        <f>VLOOKUP($U55,'2020_CapacityTable'!$B$23:$F$45,2)</f>
        <v>0</v>
      </c>
      <c r="BY55" s="15">
        <f>VLOOKUP($U55,'2020_CapacityTable'!$B$23:$F$45,3)</f>
        <v>1910</v>
      </c>
      <c r="BZ55" s="15">
        <f>VLOOKUP($U55,'2020_CapacityTable'!$B$23:$F$45,4)</f>
        <v>2000</v>
      </c>
      <c r="CA55" s="15">
        <f>VLOOKUP($U55,'2020_CapacityTable'!$B$23:$F$45,5)</f>
        <v>2000</v>
      </c>
      <c r="CB55" s="15">
        <f t="shared" si="31"/>
        <v>0</v>
      </c>
      <c r="CC55" s="15">
        <f t="shared" si="32"/>
        <v>1910</v>
      </c>
      <c r="CD55" s="15">
        <f t="shared" si="33"/>
        <v>2000</v>
      </c>
      <c r="CE55" s="15">
        <f t="shared" si="34"/>
        <v>2000</v>
      </c>
      <c r="CF55" s="3">
        <f t="shared" si="148"/>
        <v>2000</v>
      </c>
      <c r="CG55" s="2">
        <f>'State of the System - Sumter Co'!AH55</f>
        <v>1326</v>
      </c>
      <c r="CH55" s="2">
        <f>'State of the System - Sumter Co'!AI55</f>
        <v>1176</v>
      </c>
      <c r="CI55" s="11">
        <f t="shared" si="36"/>
        <v>0.66</v>
      </c>
      <c r="CJ55" s="2" t="str">
        <f t="shared" si="149"/>
        <v>C</v>
      </c>
      <c r="CK55" s="3">
        <f t="shared" si="51"/>
        <v>42984</v>
      </c>
      <c r="CL55" s="11">
        <f t="shared" si="38"/>
        <v>0.65</v>
      </c>
      <c r="CM55" s="11" t="str">
        <f t="shared" si="39"/>
        <v>NOT CONGESTED</v>
      </c>
      <c r="CN55" s="3">
        <f t="shared" si="40"/>
        <v>2160</v>
      </c>
      <c r="CO55" s="11">
        <f t="shared" si="41"/>
        <v>0.61</v>
      </c>
      <c r="CP55" s="156" t="str">
        <f t="shared" si="150"/>
        <v>NOT CONGESTED</v>
      </c>
      <c r="CQ55" s="2"/>
      <c r="CR55" s="42"/>
      <c r="CS55" s="11" t="str">
        <f t="shared" si="43"/>
        <v/>
      </c>
      <c r="CT55" s="11" t="str">
        <f t="shared" si="151"/>
        <v/>
      </c>
      <c r="CU55" s="11" t="str">
        <f t="shared" si="52"/>
        <v/>
      </c>
      <c r="CV55" s="11" t="str">
        <f t="shared" si="45"/>
        <v/>
      </c>
      <c r="CW55" s="2" t="s">
        <v>586</v>
      </c>
      <c r="CX55" s="1"/>
      <c r="CY55" s="145" t="str">
        <f t="shared" si="46"/>
        <v/>
      </c>
      <c r="CZ55" s="32" t="str">
        <f t="shared" si="47"/>
        <v/>
      </c>
    </row>
    <row r="56" spans="1:104" s="9" customFormat="1" ht="12.75" customHeight="1">
      <c r="A56" s="1">
        <v>3253280</v>
      </c>
      <c r="B56" s="1" t="str">
        <f t="shared" si="48"/>
        <v>180002: 180206</v>
      </c>
      <c r="C56" s="157">
        <v>446</v>
      </c>
      <c r="D56" s="1" t="str">
        <f>VLOOKUP(C56,'2022 counts'!$A$6:$B$304,2,FALSE)</f>
        <v>STATE</v>
      </c>
      <c r="E56" s="157" t="s">
        <v>172</v>
      </c>
      <c r="F56" s="2" t="s">
        <v>136</v>
      </c>
      <c r="G56" s="156">
        <v>55</v>
      </c>
      <c r="H56" s="11">
        <v>1.00564844464</v>
      </c>
      <c r="I56" s="10" t="s">
        <v>40</v>
      </c>
      <c r="J56" s="10" t="s">
        <v>770</v>
      </c>
      <c r="K56" s="10" t="s">
        <v>116</v>
      </c>
      <c r="L56" s="157">
        <v>4</v>
      </c>
      <c r="M56" s="1">
        <f>'State of the System - Sumter Co'!K56</f>
        <v>4</v>
      </c>
      <c r="N56" s="1" t="str">
        <f>IF('State of the System - Sumter Co'!L56="URBAN","U","R")</f>
        <v>U</v>
      </c>
      <c r="O56" s="1" t="str">
        <f>IF('State of the System - Sumter Co'!M56="UNDIVIDED","U",IF('State of the System - Sumter Co'!M56="DIVIDED","D","F"))</f>
        <v>D</v>
      </c>
      <c r="P56" s="1" t="str">
        <f>'State of the System - Sumter Co'!N56</f>
        <v>INTERRUPTED</v>
      </c>
      <c r="Q56" s="1" t="str">
        <f t="shared" si="0"/>
        <v/>
      </c>
      <c r="R56" s="1" t="str">
        <f>'State of the System - Sumter Co'!O56</f>
        <v/>
      </c>
      <c r="S56" s="1" t="str">
        <f t="shared" si="144"/>
        <v>-1</v>
      </c>
      <c r="T56" s="1" t="str">
        <f t="shared" si="2"/>
        <v>U-4D-1</v>
      </c>
      <c r="U56" s="1" t="str">
        <f t="shared" si="155"/>
        <v>U-4D-1</v>
      </c>
      <c r="V56" s="1" t="s">
        <v>137</v>
      </c>
      <c r="W56" s="1" t="s">
        <v>25</v>
      </c>
      <c r="X56" s="1" t="s">
        <v>138</v>
      </c>
      <c r="Y56" s="1" t="str">
        <f>'State of the System - Sumter Co'!R56</f>
        <v>D</v>
      </c>
      <c r="Z56" s="157" t="str">
        <f t="shared" si="4"/>
        <v>NHS Non-Interstate</v>
      </c>
      <c r="AA56" s="15">
        <f>VLOOKUP($T56,'2020_CapacityTable'!$B$49:$F$71,2)</f>
        <v>0</v>
      </c>
      <c r="AB56" s="15">
        <f>VLOOKUP($T56,'2020_CapacityTable'!$B$49:$F$71,3)</f>
        <v>37900</v>
      </c>
      <c r="AC56" s="15">
        <f>VLOOKUP($T56,'2020_CapacityTable'!$B$49:$F$71,4)</f>
        <v>39800</v>
      </c>
      <c r="AD56" s="15">
        <f>VLOOKUP($T56,'2020_CapacityTable'!$B$49:$F$71,5)</f>
        <v>39800</v>
      </c>
      <c r="AE56" s="35" t="str">
        <f t="shared" si="145"/>
        <v/>
      </c>
      <c r="AF56" s="36" t="str">
        <f t="shared" si="6"/>
        <v/>
      </c>
      <c r="AG56" s="35" t="str">
        <f t="shared" si="153"/>
        <v/>
      </c>
      <c r="AH56" s="35" t="str">
        <f t="shared" si="154"/>
        <v/>
      </c>
      <c r="AI56" s="35"/>
      <c r="AJ56" s="36"/>
      <c r="AK56" s="15">
        <f t="shared" si="8"/>
        <v>0</v>
      </c>
      <c r="AL56" s="15">
        <f t="shared" si="9"/>
        <v>37900</v>
      </c>
      <c r="AM56" s="15">
        <f t="shared" si="10"/>
        <v>39800</v>
      </c>
      <c r="AN56" s="15">
        <f t="shared" si="11"/>
        <v>39800</v>
      </c>
      <c r="AO56" s="3">
        <f t="shared" si="152"/>
        <v>39800</v>
      </c>
      <c r="AP56" s="138">
        <f>VLOOKUP($B56,'2022 counts'!$B$6:$R$304,17,FALSE)</f>
        <v>26120</v>
      </c>
      <c r="AQ56" s="11">
        <f t="shared" si="12"/>
        <v>0.66</v>
      </c>
      <c r="AR56" s="2" t="str">
        <f t="shared" si="13"/>
        <v>C</v>
      </c>
      <c r="AS56" s="26">
        <f t="shared" si="50"/>
        <v>9.59</v>
      </c>
      <c r="AT56" s="15">
        <f>VLOOKUP($T56,'2020_CapacityTable'!$B$23:$F$45,2)</f>
        <v>0</v>
      </c>
      <c r="AU56" s="15">
        <f>VLOOKUP($T56,'2020_CapacityTable'!$B$23:$F$45,3)</f>
        <v>1910</v>
      </c>
      <c r="AV56" s="15">
        <f>VLOOKUP($T56,'2020_CapacityTable'!$B$23:$F$45,4)</f>
        <v>2000</v>
      </c>
      <c r="AW56" s="15">
        <f>VLOOKUP($T56,'2020_CapacityTable'!$B$23:$F$45,5)</f>
        <v>2000</v>
      </c>
      <c r="AX56" s="15">
        <f t="shared" si="14"/>
        <v>0</v>
      </c>
      <c r="AY56" s="15">
        <f t="shared" si="15"/>
        <v>1910</v>
      </c>
      <c r="AZ56" s="15">
        <f t="shared" si="16"/>
        <v>2000</v>
      </c>
      <c r="BA56" s="15">
        <f t="shared" si="17"/>
        <v>2000</v>
      </c>
      <c r="BB56" s="3">
        <f t="shared" si="146"/>
        <v>2000</v>
      </c>
      <c r="BC56" s="138">
        <f>VLOOKUP($B56,'2022 counts'!$B$6:$AD$304,28,FALSE)</f>
        <v>1256</v>
      </c>
      <c r="BD56" s="138">
        <f>VLOOKUP($B56,'2022 counts'!$B$6:$AD$304,29,FALSE)</f>
        <v>1113.5</v>
      </c>
      <c r="BE56" s="11">
        <f t="shared" si="19"/>
        <v>0.63</v>
      </c>
      <c r="BF56" s="2" t="str">
        <f t="shared" si="20"/>
        <v>C</v>
      </c>
      <c r="BG56" s="135">
        <v>1.7500000000000002E-2</v>
      </c>
      <c r="BH56" s="135">
        <f>IF($AQ56="","",VLOOKUP($B56, '2022 counts'!$B$6:$T$304,19,FALSE))</f>
        <v>0</v>
      </c>
      <c r="BI56" s="38">
        <f t="shared" si="21"/>
        <v>0.01</v>
      </c>
      <c r="BJ56" s="39" t="str">
        <f t="shared" si="22"/>
        <v>minimum, (1)</v>
      </c>
      <c r="BK56" s="15">
        <f>VLOOKUP($U56,'2020_CapacityTable'!$B$49:$F$71,2)</f>
        <v>0</v>
      </c>
      <c r="BL56" s="15">
        <f>VLOOKUP($U56,'2020_CapacityTable'!$B$49:$F$71,3)</f>
        <v>37900</v>
      </c>
      <c r="BM56" s="15">
        <f>VLOOKUP($T56,'2020_CapacityTable'!$B$49:$F$71,4)</f>
        <v>39800</v>
      </c>
      <c r="BN56" s="15">
        <f>VLOOKUP($T56,'2020_CapacityTable'!$B$49:$F$71,5)</f>
        <v>39800</v>
      </c>
      <c r="BO56" s="15">
        <f t="shared" si="23"/>
        <v>0</v>
      </c>
      <c r="BP56" s="15">
        <f t="shared" si="24"/>
        <v>37900</v>
      </c>
      <c r="BQ56" s="15">
        <f t="shared" si="25"/>
        <v>39800</v>
      </c>
      <c r="BR56" s="15">
        <f t="shared" si="26"/>
        <v>39800</v>
      </c>
      <c r="BS56" s="3">
        <f t="shared" si="147"/>
        <v>39800</v>
      </c>
      <c r="BT56" s="40">
        <f>'State of the System - Sumter Co'!AD56</f>
        <v>27452</v>
      </c>
      <c r="BU56" s="41">
        <f t="shared" si="28"/>
        <v>0.69</v>
      </c>
      <c r="BV56" s="2" t="str">
        <f t="shared" si="29"/>
        <v>C</v>
      </c>
      <c r="BW56" s="2">
        <f t="shared" si="30"/>
        <v>10.08</v>
      </c>
      <c r="BX56" s="15">
        <f>VLOOKUP($U56,'2020_CapacityTable'!$B$23:$F$45,2)</f>
        <v>0</v>
      </c>
      <c r="BY56" s="15">
        <f>VLOOKUP($U56,'2020_CapacityTable'!$B$23:$F$45,3)</f>
        <v>1910</v>
      </c>
      <c r="BZ56" s="15">
        <f>VLOOKUP($U56,'2020_CapacityTable'!$B$23:$F$45,4)</f>
        <v>2000</v>
      </c>
      <c r="CA56" s="15">
        <f>VLOOKUP($U56,'2020_CapacityTable'!$B$23:$F$45,5)</f>
        <v>2000</v>
      </c>
      <c r="CB56" s="15">
        <f t="shared" si="31"/>
        <v>0</v>
      </c>
      <c r="CC56" s="15">
        <f t="shared" si="32"/>
        <v>1910</v>
      </c>
      <c r="CD56" s="15">
        <f t="shared" si="33"/>
        <v>2000</v>
      </c>
      <c r="CE56" s="15">
        <f t="shared" si="34"/>
        <v>2000</v>
      </c>
      <c r="CF56" s="3">
        <f t="shared" si="148"/>
        <v>2000</v>
      </c>
      <c r="CG56" s="2">
        <f>'State of the System - Sumter Co'!AH56</f>
        <v>1320</v>
      </c>
      <c r="CH56" s="2">
        <f>'State of the System - Sumter Co'!AI56</f>
        <v>1170</v>
      </c>
      <c r="CI56" s="11">
        <f t="shared" si="36"/>
        <v>0.66</v>
      </c>
      <c r="CJ56" s="2" t="str">
        <f t="shared" si="149"/>
        <v>C</v>
      </c>
      <c r="CK56" s="3">
        <f t="shared" si="51"/>
        <v>42984</v>
      </c>
      <c r="CL56" s="11">
        <f t="shared" si="38"/>
        <v>0.64</v>
      </c>
      <c r="CM56" s="11" t="str">
        <f t="shared" si="39"/>
        <v>NOT CONGESTED</v>
      </c>
      <c r="CN56" s="3">
        <f t="shared" si="40"/>
        <v>2160</v>
      </c>
      <c r="CO56" s="11">
        <f t="shared" si="41"/>
        <v>0.61</v>
      </c>
      <c r="CP56" s="156" t="str">
        <f t="shared" si="150"/>
        <v>NOT CONGESTED</v>
      </c>
      <c r="CQ56" s="2"/>
      <c r="CR56" s="42"/>
      <c r="CS56" s="11" t="str">
        <f t="shared" si="43"/>
        <v/>
      </c>
      <c r="CT56" s="11" t="str">
        <f t="shared" si="151"/>
        <v/>
      </c>
      <c r="CU56" s="11" t="str">
        <f t="shared" si="52"/>
        <v/>
      </c>
      <c r="CV56" s="11" t="str">
        <f t="shared" si="45"/>
        <v/>
      </c>
      <c r="CW56" s="2" t="s">
        <v>586</v>
      </c>
      <c r="CX56" s="1"/>
      <c r="CY56" s="145" t="str">
        <f t="shared" si="46"/>
        <v/>
      </c>
      <c r="CZ56" s="32" t="str">
        <f t="shared" si="47"/>
        <v/>
      </c>
    </row>
    <row r="57" spans="1:104" s="9" customFormat="1" ht="12.75" customHeight="1">
      <c r="A57" s="1">
        <v>3253290</v>
      </c>
      <c r="B57" s="1">
        <f t="shared" si="48"/>
        <v>180206</v>
      </c>
      <c r="C57" s="1">
        <v>448</v>
      </c>
      <c r="D57" s="1" t="str">
        <f>VLOOKUP(C57,'2022 counts'!$A$6:$B$304,2,FALSE)</f>
        <v>STATE</v>
      </c>
      <c r="E57" s="1">
        <v>180206</v>
      </c>
      <c r="F57" s="2" t="s">
        <v>136</v>
      </c>
      <c r="G57" s="156">
        <v>45</v>
      </c>
      <c r="H57" s="11">
        <v>0.49772846485200001</v>
      </c>
      <c r="I57" s="10" t="s">
        <v>40</v>
      </c>
      <c r="J57" s="10" t="s">
        <v>116</v>
      </c>
      <c r="K57" s="10" t="s">
        <v>726</v>
      </c>
      <c r="L57" s="157">
        <v>4</v>
      </c>
      <c r="M57" s="1">
        <f>'State of the System - Sumter Co'!K57</f>
        <v>4</v>
      </c>
      <c r="N57" s="1" t="str">
        <f>IF('State of the System - Sumter Co'!L57="URBAN","U","R")</f>
        <v>U</v>
      </c>
      <c r="O57" s="1" t="str">
        <f>IF('State of the System - Sumter Co'!M57="UNDIVIDED","U",IF('State of the System - Sumter Co'!M57="DIVIDED","D","F"))</f>
        <v>D</v>
      </c>
      <c r="P57" s="1" t="str">
        <f>'State of the System - Sumter Co'!N57</f>
        <v>INTERRUPTED</v>
      </c>
      <c r="Q57" s="1" t="str">
        <f t="shared" si="0"/>
        <v/>
      </c>
      <c r="R57" s="1" t="str">
        <f>'State of the System - Sumter Co'!O57</f>
        <v/>
      </c>
      <c r="S57" s="1" t="str">
        <f t="shared" si="144"/>
        <v>-1</v>
      </c>
      <c r="T57" s="1" t="str">
        <f t="shared" si="2"/>
        <v>U-4D-1</v>
      </c>
      <c r="U57" s="1" t="str">
        <f t="shared" si="155"/>
        <v>U-4D-1</v>
      </c>
      <c r="V57" s="1" t="s">
        <v>137</v>
      </c>
      <c r="W57" s="1" t="s">
        <v>25</v>
      </c>
      <c r="X57" s="1" t="s">
        <v>138</v>
      </c>
      <c r="Y57" s="1" t="str">
        <f>'State of the System - Sumter Co'!R57</f>
        <v>D</v>
      </c>
      <c r="Z57" s="157" t="str">
        <f t="shared" si="4"/>
        <v>NHS Non-Interstate</v>
      </c>
      <c r="AA57" s="15">
        <f>VLOOKUP($T57,'2020_CapacityTable'!$B$49:$F$71,2)</f>
        <v>0</v>
      </c>
      <c r="AB57" s="15">
        <f>VLOOKUP($T57,'2020_CapacityTable'!$B$49:$F$71,3)</f>
        <v>37900</v>
      </c>
      <c r="AC57" s="15">
        <f>VLOOKUP($T57,'2020_CapacityTable'!$B$49:$F$71,4)</f>
        <v>39800</v>
      </c>
      <c r="AD57" s="15">
        <f>VLOOKUP($T57,'2020_CapacityTable'!$B$49:$F$71,5)</f>
        <v>39800</v>
      </c>
      <c r="AE57" s="35" t="str">
        <f t="shared" si="145"/>
        <v/>
      </c>
      <c r="AF57" s="36" t="str">
        <f t="shared" si="6"/>
        <v/>
      </c>
      <c r="AG57" s="35" t="str">
        <f t="shared" si="153"/>
        <v/>
      </c>
      <c r="AH57" s="35" t="str">
        <f t="shared" si="154"/>
        <v/>
      </c>
      <c r="AI57" s="35"/>
      <c r="AJ57" s="36"/>
      <c r="AK57" s="15">
        <f t="shared" si="8"/>
        <v>0</v>
      </c>
      <c r="AL57" s="15">
        <f t="shared" si="9"/>
        <v>37900</v>
      </c>
      <c r="AM57" s="15">
        <f t="shared" si="10"/>
        <v>39800</v>
      </c>
      <c r="AN57" s="15">
        <f t="shared" si="11"/>
        <v>39800</v>
      </c>
      <c r="AO57" s="3">
        <f t="shared" si="152"/>
        <v>39800</v>
      </c>
      <c r="AP57" s="138">
        <f>VLOOKUP($B57,'2022 counts'!$B$6:$R$304,17,FALSE)</f>
        <v>26200</v>
      </c>
      <c r="AQ57" s="11">
        <f t="shared" si="12"/>
        <v>0.66</v>
      </c>
      <c r="AR57" s="2" t="str">
        <f t="shared" si="13"/>
        <v>C</v>
      </c>
      <c r="AS57" s="26">
        <f t="shared" si="50"/>
        <v>4.76</v>
      </c>
      <c r="AT57" s="15">
        <f>VLOOKUP($T57,'2020_CapacityTable'!$B$23:$F$45,2)</f>
        <v>0</v>
      </c>
      <c r="AU57" s="15">
        <f>VLOOKUP($T57,'2020_CapacityTable'!$B$23:$F$45,3)</f>
        <v>1910</v>
      </c>
      <c r="AV57" s="15">
        <f>VLOOKUP($T57,'2020_CapacityTable'!$B$23:$F$45,4)</f>
        <v>2000</v>
      </c>
      <c r="AW57" s="15">
        <f>VLOOKUP($T57,'2020_CapacityTable'!$B$23:$F$45,5)</f>
        <v>2000</v>
      </c>
      <c r="AX57" s="15">
        <f t="shared" si="14"/>
        <v>0</v>
      </c>
      <c r="AY57" s="15">
        <f t="shared" si="15"/>
        <v>1910</v>
      </c>
      <c r="AZ57" s="15">
        <f t="shared" si="16"/>
        <v>2000</v>
      </c>
      <c r="BA57" s="15">
        <f t="shared" si="17"/>
        <v>2000</v>
      </c>
      <c r="BB57" s="3">
        <f t="shared" si="146"/>
        <v>2000</v>
      </c>
      <c r="BC57" s="138">
        <f>VLOOKUP($B57,'2022 counts'!$B$6:$AD$304,28,FALSE)</f>
        <v>1250</v>
      </c>
      <c r="BD57" s="138">
        <f>VLOOKUP($B57,'2022 counts'!$B$6:$AD$304,29,FALSE)</f>
        <v>1108</v>
      </c>
      <c r="BE57" s="11">
        <f t="shared" si="19"/>
        <v>0.63</v>
      </c>
      <c r="BF57" s="2" t="str">
        <f t="shared" si="20"/>
        <v>C</v>
      </c>
      <c r="BG57" s="135">
        <v>0</v>
      </c>
      <c r="BH57" s="135">
        <f>IF($AQ57="","",VLOOKUP($B57, '2022 counts'!$B$6:$T$304,19,FALSE))</f>
        <v>0</v>
      </c>
      <c r="BI57" s="38">
        <f t="shared" si="21"/>
        <v>0.01</v>
      </c>
      <c r="BJ57" s="39" t="str">
        <f t="shared" si="22"/>
        <v>minimum</v>
      </c>
      <c r="BK57" s="15">
        <f>VLOOKUP($U57,'2020_CapacityTable'!$B$49:$F$71,2)</f>
        <v>0</v>
      </c>
      <c r="BL57" s="15">
        <f>VLOOKUP($U57,'2020_CapacityTable'!$B$49:$F$71,3)</f>
        <v>37900</v>
      </c>
      <c r="BM57" s="15">
        <f>VLOOKUP($T57,'2020_CapacityTable'!$B$49:$F$71,4)</f>
        <v>39800</v>
      </c>
      <c r="BN57" s="15">
        <f>VLOOKUP($T57,'2020_CapacityTable'!$B$49:$F$71,5)</f>
        <v>39800</v>
      </c>
      <c r="BO57" s="15">
        <f t="shared" si="23"/>
        <v>0</v>
      </c>
      <c r="BP57" s="15">
        <f t="shared" si="24"/>
        <v>37900</v>
      </c>
      <c r="BQ57" s="15">
        <f t="shared" si="25"/>
        <v>39800</v>
      </c>
      <c r="BR57" s="15">
        <f t="shared" si="26"/>
        <v>39800</v>
      </c>
      <c r="BS57" s="3">
        <f t="shared" si="147"/>
        <v>39800</v>
      </c>
      <c r="BT57" s="40">
        <f>'State of the System - Sumter Co'!AD57</f>
        <v>27536</v>
      </c>
      <c r="BU57" s="41">
        <f t="shared" si="28"/>
        <v>0.69</v>
      </c>
      <c r="BV57" s="2" t="str">
        <f t="shared" si="29"/>
        <v>C</v>
      </c>
      <c r="BW57" s="2">
        <f t="shared" si="30"/>
        <v>5</v>
      </c>
      <c r="BX57" s="15">
        <f>VLOOKUP($U57,'2020_CapacityTable'!$B$23:$F$45,2)</f>
        <v>0</v>
      </c>
      <c r="BY57" s="15">
        <f>VLOOKUP($U57,'2020_CapacityTable'!$B$23:$F$45,3)</f>
        <v>1910</v>
      </c>
      <c r="BZ57" s="15">
        <f>VLOOKUP($U57,'2020_CapacityTable'!$B$23:$F$45,4)</f>
        <v>2000</v>
      </c>
      <c r="CA57" s="15">
        <f>VLOOKUP($U57,'2020_CapacityTable'!$B$23:$F$45,5)</f>
        <v>2000</v>
      </c>
      <c r="CB57" s="15">
        <f t="shared" si="31"/>
        <v>0</v>
      </c>
      <c r="CC57" s="15">
        <f t="shared" si="32"/>
        <v>1910</v>
      </c>
      <c r="CD57" s="15">
        <f t="shared" si="33"/>
        <v>2000</v>
      </c>
      <c r="CE57" s="15">
        <f t="shared" si="34"/>
        <v>2000</v>
      </c>
      <c r="CF57" s="3">
        <f t="shared" si="148"/>
        <v>2000</v>
      </c>
      <c r="CG57" s="2">
        <f>'State of the System - Sumter Co'!AH57</f>
        <v>1314</v>
      </c>
      <c r="CH57" s="2">
        <f>'State of the System - Sumter Co'!AI57</f>
        <v>1165</v>
      </c>
      <c r="CI57" s="11">
        <f t="shared" si="36"/>
        <v>0.66</v>
      </c>
      <c r="CJ57" s="2" t="str">
        <f t="shared" si="149"/>
        <v>C</v>
      </c>
      <c r="CK57" s="3">
        <f t="shared" si="51"/>
        <v>42984</v>
      </c>
      <c r="CL57" s="11">
        <f t="shared" si="38"/>
        <v>0.64</v>
      </c>
      <c r="CM57" s="11" t="str">
        <f t="shared" si="39"/>
        <v>NOT CONGESTED</v>
      </c>
      <c r="CN57" s="3">
        <f t="shared" si="40"/>
        <v>2160</v>
      </c>
      <c r="CO57" s="11">
        <f t="shared" si="41"/>
        <v>0.61</v>
      </c>
      <c r="CP57" s="156" t="str">
        <f t="shared" si="150"/>
        <v>NOT CONGESTED</v>
      </c>
      <c r="CQ57" s="3" t="s">
        <v>557</v>
      </c>
      <c r="CR57" s="44">
        <v>0</v>
      </c>
      <c r="CS57" s="11" t="str">
        <f t="shared" si="43"/>
        <v/>
      </c>
      <c r="CT57" s="11" t="str">
        <f t="shared" si="151"/>
        <v/>
      </c>
      <c r="CU57" s="11" t="str">
        <f t="shared" si="52"/>
        <v/>
      </c>
      <c r="CV57" s="11" t="str">
        <f t="shared" si="45"/>
        <v/>
      </c>
      <c r="CW57" s="2" t="s">
        <v>586</v>
      </c>
      <c r="CX57" s="1"/>
      <c r="CY57" s="145" t="str">
        <f t="shared" si="46"/>
        <v/>
      </c>
      <c r="CZ57" s="32" t="str">
        <f t="shared" si="47"/>
        <v/>
      </c>
    </row>
    <row r="58" spans="1:104" s="9" customFormat="1" ht="12.75" customHeight="1">
      <c r="A58" s="1">
        <v>3269100</v>
      </c>
      <c r="B58" s="1">
        <f t="shared" si="48"/>
        <v>118</v>
      </c>
      <c r="C58" s="1">
        <v>332</v>
      </c>
      <c r="D58" s="1">
        <f>VLOOKUP(C58,'2022 counts'!$A$6:$B$304,2,FALSE)</f>
        <v>118</v>
      </c>
      <c r="E58" s="1"/>
      <c r="F58" s="2" t="s">
        <v>6</v>
      </c>
      <c r="G58" s="156">
        <v>35</v>
      </c>
      <c r="H58" s="11">
        <v>0.50668972629499998</v>
      </c>
      <c r="I58" s="10" t="s">
        <v>120</v>
      </c>
      <c r="J58" s="10" t="s">
        <v>81</v>
      </c>
      <c r="K58" s="10" t="s">
        <v>121</v>
      </c>
      <c r="L58" s="157">
        <v>2</v>
      </c>
      <c r="M58" s="1">
        <f>'State of the System - Sumter Co'!K58</f>
        <v>2</v>
      </c>
      <c r="N58" s="1" t="str">
        <f>IF('State of the System - Sumter Co'!L58="URBAN","U","R")</f>
        <v>U</v>
      </c>
      <c r="O58" s="1" t="str">
        <f>IF('State of the System - Sumter Co'!M58="UNDIVIDED","U",IF('State of the System - Sumter Co'!M58="DIVIDED","D","F"))</f>
        <v>U</v>
      </c>
      <c r="P58" s="1" t="str">
        <f>'State of the System - Sumter Co'!N58</f>
        <v>INTERRUPTED</v>
      </c>
      <c r="Q58" s="1" t="str">
        <f t="shared" si="0"/>
        <v/>
      </c>
      <c r="R58" s="1" t="str">
        <f>'State of the System - Sumter Co'!O58</f>
        <v/>
      </c>
      <c r="S58" s="1" t="str">
        <f t="shared" si="144"/>
        <v>-2</v>
      </c>
      <c r="T58" s="1" t="str">
        <f t="shared" si="2"/>
        <v>U-2U-2</v>
      </c>
      <c r="U58" s="1" t="str">
        <f t="shared" si="155"/>
        <v>U-2U-2</v>
      </c>
      <c r="V58" s="1" t="s">
        <v>10</v>
      </c>
      <c r="W58" s="1" t="s">
        <v>11</v>
      </c>
      <c r="X58" s="1" t="s">
        <v>21</v>
      </c>
      <c r="Y58" s="1" t="str">
        <f>'State of the System - Sumter Co'!R58</f>
        <v>D</v>
      </c>
      <c r="Z58" s="157" t="str">
        <f t="shared" si="4"/>
        <v>Other CMP Network Roadways</v>
      </c>
      <c r="AA58" s="15">
        <f>VLOOKUP($T58,'2020_CapacityTable'!$B$49:$F$71,2)</f>
        <v>0</v>
      </c>
      <c r="AB58" s="15">
        <f>VLOOKUP($T58,'2020_CapacityTable'!$B$49:$F$71,3)</f>
        <v>7300</v>
      </c>
      <c r="AC58" s="15">
        <f>VLOOKUP($T58,'2020_CapacityTable'!$B$49:$F$71,4)</f>
        <v>14800</v>
      </c>
      <c r="AD58" s="15">
        <f>VLOOKUP($T58,'2020_CapacityTable'!$B$49:$F$71,5)</f>
        <v>15600</v>
      </c>
      <c r="AE58" s="35">
        <f t="shared" si="145"/>
        <v>-0.1</v>
      </c>
      <c r="AF58" s="36" t="str">
        <f t="shared" si="6"/>
        <v/>
      </c>
      <c r="AG58" s="35">
        <v>-0.2</v>
      </c>
      <c r="AH58" s="35" t="str">
        <f t="shared" si="154"/>
        <v/>
      </c>
      <c r="AI58" s="35"/>
      <c r="AJ58" s="36"/>
      <c r="AK58" s="15">
        <f t="shared" si="8"/>
        <v>0</v>
      </c>
      <c r="AL58" s="15">
        <f t="shared" si="9"/>
        <v>5110</v>
      </c>
      <c r="AM58" s="15">
        <f t="shared" si="10"/>
        <v>10360</v>
      </c>
      <c r="AN58" s="15">
        <f t="shared" si="11"/>
        <v>10920</v>
      </c>
      <c r="AO58" s="3">
        <f t="shared" si="152"/>
        <v>10360</v>
      </c>
      <c r="AP58" s="138">
        <f>VLOOKUP($B58,'2022 counts'!$B$6:$R$304,17,FALSE)</f>
        <v>696</v>
      </c>
      <c r="AQ58" s="11">
        <f t="shared" si="12"/>
        <v>7.0000000000000007E-2</v>
      </c>
      <c r="AR58" s="2" t="str">
        <f t="shared" si="13"/>
        <v>C</v>
      </c>
      <c r="AS58" s="26">
        <f t="shared" si="50"/>
        <v>0.13</v>
      </c>
      <c r="AT58" s="15">
        <f>VLOOKUP($T58,'2020_CapacityTable'!$B$23:$F$45,2)</f>
        <v>0</v>
      </c>
      <c r="AU58" s="15">
        <f>VLOOKUP($T58,'2020_CapacityTable'!$B$23:$F$45,3)</f>
        <v>370</v>
      </c>
      <c r="AV58" s="15">
        <f>VLOOKUP($T58,'2020_CapacityTable'!$B$23:$F$45,4)</f>
        <v>750</v>
      </c>
      <c r="AW58" s="15">
        <f>VLOOKUP($T58,'2020_CapacityTable'!$B$23:$F$45,5)</f>
        <v>800</v>
      </c>
      <c r="AX58" s="15">
        <f t="shared" si="14"/>
        <v>0</v>
      </c>
      <c r="AY58" s="15">
        <f t="shared" si="15"/>
        <v>259</v>
      </c>
      <c r="AZ58" s="15">
        <f t="shared" si="16"/>
        <v>525</v>
      </c>
      <c r="BA58" s="15">
        <f t="shared" si="17"/>
        <v>560</v>
      </c>
      <c r="BB58" s="3">
        <f t="shared" si="146"/>
        <v>525</v>
      </c>
      <c r="BC58" s="138">
        <f>VLOOKUP($B58,'2022 counts'!$B$6:$AD$304,28,FALSE)</f>
        <v>40</v>
      </c>
      <c r="BD58" s="138">
        <f>VLOOKUP($B58,'2022 counts'!$B$6:$AD$304,29,FALSE)</f>
        <v>31</v>
      </c>
      <c r="BE58" s="11">
        <f t="shared" si="19"/>
        <v>0.08</v>
      </c>
      <c r="BF58" s="2" t="str">
        <f t="shared" si="20"/>
        <v>C</v>
      </c>
      <c r="BG58" s="135">
        <v>0</v>
      </c>
      <c r="BH58" s="135">
        <f>IF($AQ58="","",VLOOKUP($B58, '2022 counts'!$B$6:$T$304,19,FALSE))</f>
        <v>0</v>
      </c>
      <c r="BI58" s="38">
        <f t="shared" si="21"/>
        <v>0.01</v>
      </c>
      <c r="BJ58" s="39" t="str">
        <f t="shared" si="22"/>
        <v>minimum</v>
      </c>
      <c r="BK58" s="15">
        <f>VLOOKUP($U58,'2020_CapacityTable'!$B$49:$F$71,2)</f>
        <v>0</v>
      </c>
      <c r="BL58" s="15">
        <f>VLOOKUP($U58,'2020_CapacityTable'!$B$49:$F$71,3)</f>
        <v>7300</v>
      </c>
      <c r="BM58" s="15">
        <f>VLOOKUP($T58,'2020_CapacityTable'!$B$49:$F$71,4)</f>
        <v>14800</v>
      </c>
      <c r="BN58" s="15">
        <f>VLOOKUP($T58,'2020_CapacityTable'!$B$49:$F$71,5)</f>
        <v>15600</v>
      </c>
      <c r="BO58" s="15">
        <f t="shared" si="23"/>
        <v>0</v>
      </c>
      <c r="BP58" s="15">
        <f t="shared" si="24"/>
        <v>5110</v>
      </c>
      <c r="BQ58" s="15">
        <f t="shared" si="25"/>
        <v>10360</v>
      </c>
      <c r="BR58" s="15">
        <f t="shared" si="26"/>
        <v>10920</v>
      </c>
      <c r="BS58" s="3">
        <f t="shared" si="147"/>
        <v>10360</v>
      </c>
      <c r="BT58" s="40">
        <f>'State of the System - Sumter Co'!AD58</f>
        <v>732</v>
      </c>
      <c r="BU58" s="41">
        <f t="shared" si="28"/>
        <v>7.0000000000000007E-2</v>
      </c>
      <c r="BV58" s="2" t="str">
        <f t="shared" si="29"/>
        <v>C</v>
      </c>
      <c r="BW58" s="2">
        <f t="shared" si="30"/>
        <v>0.14000000000000001</v>
      </c>
      <c r="BX58" s="15">
        <f>VLOOKUP($U58,'2020_CapacityTable'!$B$23:$F$45,2)</f>
        <v>0</v>
      </c>
      <c r="BY58" s="15">
        <f>VLOOKUP($U58,'2020_CapacityTable'!$B$23:$F$45,3)</f>
        <v>370</v>
      </c>
      <c r="BZ58" s="15">
        <f>VLOOKUP($U58,'2020_CapacityTable'!$B$23:$F$45,4)</f>
        <v>750</v>
      </c>
      <c r="CA58" s="15">
        <f>VLOOKUP($U58,'2020_CapacityTable'!$B$23:$F$45,5)</f>
        <v>800</v>
      </c>
      <c r="CB58" s="15">
        <f t="shared" si="31"/>
        <v>0</v>
      </c>
      <c r="CC58" s="15">
        <f t="shared" si="32"/>
        <v>259</v>
      </c>
      <c r="CD58" s="15">
        <f t="shared" si="33"/>
        <v>525</v>
      </c>
      <c r="CE58" s="15">
        <f t="shared" si="34"/>
        <v>560</v>
      </c>
      <c r="CF58" s="3">
        <f t="shared" si="148"/>
        <v>525</v>
      </c>
      <c r="CG58" s="2">
        <f>'State of the System - Sumter Co'!AH58</f>
        <v>42</v>
      </c>
      <c r="CH58" s="2">
        <f>'State of the System - Sumter Co'!AI58</f>
        <v>33</v>
      </c>
      <c r="CI58" s="11">
        <f t="shared" si="36"/>
        <v>0.08</v>
      </c>
      <c r="CJ58" s="2" t="str">
        <f t="shared" si="149"/>
        <v>C</v>
      </c>
      <c r="CK58" s="3">
        <f t="shared" si="51"/>
        <v>11794</v>
      </c>
      <c r="CL58" s="11">
        <f t="shared" si="38"/>
        <v>0.06</v>
      </c>
      <c r="CM58" s="11" t="str">
        <f t="shared" si="39"/>
        <v>NOT CONGESTED</v>
      </c>
      <c r="CN58" s="3">
        <f t="shared" si="40"/>
        <v>605</v>
      </c>
      <c r="CO58" s="11">
        <f t="shared" si="41"/>
        <v>7.0000000000000007E-2</v>
      </c>
      <c r="CP58" s="156" t="str">
        <f t="shared" si="150"/>
        <v>NOT CONGESTED</v>
      </c>
      <c r="CQ58" s="2"/>
      <c r="CR58" s="42"/>
      <c r="CS58" s="11" t="str">
        <f t="shared" si="43"/>
        <v/>
      </c>
      <c r="CT58" s="11" t="str">
        <f t="shared" si="151"/>
        <v/>
      </c>
      <c r="CU58" s="11" t="str">
        <f t="shared" si="52"/>
        <v/>
      </c>
      <c r="CV58" s="11" t="str">
        <f t="shared" si="45"/>
        <v/>
      </c>
      <c r="CW58" s="2"/>
      <c r="CX58" s="1"/>
      <c r="CY58" s="145" t="str">
        <f t="shared" si="46"/>
        <v/>
      </c>
      <c r="CZ58" s="32" t="str">
        <f t="shared" si="47"/>
        <v/>
      </c>
    </row>
    <row r="59" spans="1:104" s="9" customFormat="1" ht="12.75" customHeight="1">
      <c r="A59" s="1">
        <v>3290000</v>
      </c>
      <c r="B59" s="1">
        <f t="shared" si="48"/>
        <v>97</v>
      </c>
      <c r="C59" s="1">
        <v>500</v>
      </c>
      <c r="D59" s="1">
        <f>VLOOKUP(C59,'2022 counts'!$A$6:$B$304,2,FALSE)</f>
        <v>97</v>
      </c>
      <c r="E59" s="1"/>
      <c r="F59" s="2" t="s">
        <v>25</v>
      </c>
      <c r="G59" s="156">
        <v>35</v>
      </c>
      <c r="H59" s="11">
        <v>1.1675931507199999</v>
      </c>
      <c r="I59" s="10" t="s">
        <v>694</v>
      </c>
      <c r="J59" s="10" t="s">
        <v>712</v>
      </c>
      <c r="K59" s="10" t="s">
        <v>727</v>
      </c>
      <c r="L59" s="157">
        <v>4</v>
      </c>
      <c r="M59" s="1">
        <f>'State of the System - Sumter Co'!K59</f>
        <v>4</v>
      </c>
      <c r="N59" s="1" t="str">
        <f>IF('State of the System - Sumter Co'!L59="URBAN","U","R")</f>
        <v>U</v>
      </c>
      <c r="O59" s="1" t="str">
        <f>IF('State of the System - Sumter Co'!M59="UNDIVIDED","U",IF('State of the System - Sumter Co'!M59="DIVIDED","D","F"))</f>
        <v>D</v>
      </c>
      <c r="P59" s="1" t="str">
        <f>'State of the System - Sumter Co'!N59</f>
        <v>INTERRUPTED</v>
      </c>
      <c r="Q59" s="1" t="str">
        <f t="shared" si="0"/>
        <v/>
      </c>
      <c r="R59" s="1" t="str">
        <f>'State of the System - Sumter Co'!O59</f>
        <v/>
      </c>
      <c r="S59" s="1" t="str">
        <f t="shared" si="144"/>
        <v>-2</v>
      </c>
      <c r="T59" s="1" t="str">
        <f t="shared" si="2"/>
        <v>U-4D-2</v>
      </c>
      <c r="U59" s="1" t="str">
        <f t="shared" si="155"/>
        <v>U-4D-2</v>
      </c>
      <c r="V59" s="1" t="s">
        <v>10</v>
      </c>
      <c r="W59" s="1" t="s">
        <v>25</v>
      </c>
      <c r="X59" s="1" t="s">
        <v>21</v>
      </c>
      <c r="Y59" s="1" t="str">
        <f>'State of the System - Sumter Co'!R59</f>
        <v>D</v>
      </c>
      <c r="Z59" s="157" t="str">
        <f t="shared" si="4"/>
        <v>Other CMP Network Roadways</v>
      </c>
      <c r="AA59" s="15">
        <f>VLOOKUP($T59,'2020_CapacityTable'!$B$49:$F$71,2)</f>
        <v>0</v>
      </c>
      <c r="AB59" s="15">
        <f>VLOOKUP($T59,'2020_CapacityTable'!$B$49:$F$71,3)</f>
        <v>14500</v>
      </c>
      <c r="AC59" s="15">
        <f>VLOOKUP($T59,'2020_CapacityTable'!$B$49:$F$71,4)</f>
        <v>32400</v>
      </c>
      <c r="AD59" s="15">
        <f>VLOOKUP($T59,'2020_CapacityTable'!$B$49:$F$71,5)</f>
        <v>33800</v>
      </c>
      <c r="AE59" s="35">
        <f t="shared" si="145"/>
        <v>-0.1</v>
      </c>
      <c r="AF59" s="36" t="str">
        <f t="shared" si="6"/>
        <v/>
      </c>
      <c r="AG59" s="35" t="str">
        <f>IF(AND(L59=2,P59="interrupted",O59="U"),"LOOK","")</f>
        <v/>
      </c>
      <c r="AH59" s="35" t="str">
        <f t="shared" si="154"/>
        <v/>
      </c>
      <c r="AI59" s="35"/>
      <c r="AJ59" s="36">
        <v>0.05</v>
      </c>
      <c r="AK59" s="15">
        <f t="shared" si="8"/>
        <v>0</v>
      </c>
      <c r="AL59" s="15">
        <f t="shared" si="9"/>
        <v>13775</v>
      </c>
      <c r="AM59" s="15">
        <f t="shared" si="10"/>
        <v>30780</v>
      </c>
      <c r="AN59" s="15">
        <f t="shared" si="11"/>
        <v>32110</v>
      </c>
      <c r="AO59" s="3">
        <f t="shared" si="152"/>
        <v>30780</v>
      </c>
      <c r="AP59" s="138">
        <f>VLOOKUP($B59,'2022 counts'!$B$6:$R$304,17,FALSE)</f>
        <v>17456</v>
      </c>
      <c r="AQ59" s="11">
        <f t="shared" si="12"/>
        <v>0.56999999999999995</v>
      </c>
      <c r="AR59" s="2" t="str">
        <f t="shared" si="13"/>
        <v>D</v>
      </c>
      <c r="AS59" s="26">
        <f t="shared" si="50"/>
        <v>7.44</v>
      </c>
      <c r="AT59" s="15">
        <f>VLOOKUP($T59,'2020_CapacityTable'!$B$23:$F$45,2)</f>
        <v>0</v>
      </c>
      <c r="AU59" s="15">
        <f>VLOOKUP($T59,'2020_CapacityTable'!$B$23:$F$45,3)</f>
        <v>730</v>
      </c>
      <c r="AV59" s="15">
        <f>VLOOKUP($T59,'2020_CapacityTable'!$B$23:$F$45,4)</f>
        <v>1630</v>
      </c>
      <c r="AW59" s="15">
        <f>VLOOKUP($T59,'2020_CapacityTable'!$B$23:$F$45,5)</f>
        <v>1700</v>
      </c>
      <c r="AX59" s="15">
        <f t="shared" si="14"/>
        <v>0</v>
      </c>
      <c r="AY59" s="15">
        <f t="shared" si="15"/>
        <v>694</v>
      </c>
      <c r="AZ59" s="15">
        <f t="shared" si="16"/>
        <v>1549</v>
      </c>
      <c r="BA59" s="15">
        <f t="shared" si="17"/>
        <v>1615</v>
      </c>
      <c r="BB59" s="3">
        <f t="shared" si="146"/>
        <v>1549</v>
      </c>
      <c r="BC59" s="138">
        <f>VLOOKUP($B59,'2022 counts'!$B$6:$AD$304,28,FALSE)</f>
        <v>938</v>
      </c>
      <c r="BD59" s="138">
        <f>VLOOKUP($B59,'2022 counts'!$B$6:$AD$304,29,FALSE)</f>
        <v>597</v>
      </c>
      <c r="BE59" s="11">
        <f t="shared" si="19"/>
        <v>0.61</v>
      </c>
      <c r="BF59" s="2" t="str">
        <f t="shared" si="20"/>
        <v>D</v>
      </c>
      <c r="BG59" s="135">
        <v>0.06</v>
      </c>
      <c r="BH59" s="135">
        <f>IF($AQ59="","",VLOOKUP($B59, '2022 counts'!$B$6:$T$304,19,FALSE))</f>
        <v>0.06</v>
      </c>
      <c r="BI59" s="38">
        <f t="shared" si="21"/>
        <v>0.06</v>
      </c>
      <c r="BJ59" s="39" t="str">
        <f t="shared" si="22"/>
        <v/>
      </c>
      <c r="BK59" s="15">
        <f>VLOOKUP($U59,'2020_CapacityTable'!$B$49:$F$71,2)</f>
        <v>0</v>
      </c>
      <c r="BL59" s="15">
        <f>VLOOKUP($U59,'2020_CapacityTable'!$B$49:$F$71,3)</f>
        <v>14500</v>
      </c>
      <c r="BM59" s="15">
        <f>VLOOKUP($T59,'2020_CapacityTable'!$B$49:$F$71,4)</f>
        <v>32400</v>
      </c>
      <c r="BN59" s="15">
        <f>VLOOKUP($T59,'2020_CapacityTable'!$B$49:$F$71,5)</f>
        <v>33800</v>
      </c>
      <c r="BO59" s="15">
        <f t="shared" si="23"/>
        <v>0</v>
      </c>
      <c r="BP59" s="15">
        <f t="shared" si="24"/>
        <v>13775</v>
      </c>
      <c r="BQ59" s="15">
        <f t="shared" si="25"/>
        <v>30780</v>
      </c>
      <c r="BR59" s="15">
        <f t="shared" si="26"/>
        <v>32110</v>
      </c>
      <c r="BS59" s="3">
        <f t="shared" si="147"/>
        <v>30780</v>
      </c>
      <c r="BT59" s="40">
        <f>'State of the System - Sumter Co'!AD59</f>
        <v>23360</v>
      </c>
      <c r="BU59" s="41">
        <f t="shared" si="28"/>
        <v>0.76</v>
      </c>
      <c r="BV59" s="2" t="str">
        <f t="shared" si="29"/>
        <v>D</v>
      </c>
      <c r="BW59" s="2">
        <f t="shared" si="30"/>
        <v>9.9600000000000009</v>
      </c>
      <c r="BX59" s="15">
        <f>VLOOKUP($U59,'2020_CapacityTable'!$B$23:$F$45,2)</f>
        <v>0</v>
      </c>
      <c r="BY59" s="15">
        <f>VLOOKUP($U59,'2020_CapacityTable'!$B$23:$F$45,3)</f>
        <v>730</v>
      </c>
      <c r="BZ59" s="15">
        <f>VLOOKUP($U59,'2020_CapacityTable'!$B$23:$F$45,4)</f>
        <v>1630</v>
      </c>
      <c r="CA59" s="15">
        <f>VLOOKUP($U59,'2020_CapacityTable'!$B$23:$F$45,5)</f>
        <v>1700</v>
      </c>
      <c r="CB59" s="15">
        <f t="shared" si="31"/>
        <v>0</v>
      </c>
      <c r="CC59" s="15">
        <f t="shared" si="32"/>
        <v>694</v>
      </c>
      <c r="CD59" s="15">
        <f t="shared" si="33"/>
        <v>1549</v>
      </c>
      <c r="CE59" s="15">
        <f t="shared" si="34"/>
        <v>1615</v>
      </c>
      <c r="CF59" s="3">
        <f t="shared" si="148"/>
        <v>1549</v>
      </c>
      <c r="CG59" s="2">
        <f>'State of the System - Sumter Co'!AH59</f>
        <v>1255</v>
      </c>
      <c r="CH59" s="2">
        <f>'State of the System - Sumter Co'!AI59</f>
        <v>799</v>
      </c>
      <c r="CI59" s="11">
        <f t="shared" si="36"/>
        <v>0.81</v>
      </c>
      <c r="CJ59" s="2" t="str">
        <f t="shared" si="149"/>
        <v>D</v>
      </c>
      <c r="CK59" s="3">
        <f t="shared" si="51"/>
        <v>34679</v>
      </c>
      <c r="CL59" s="11">
        <f t="shared" si="38"/>
        <v>0.67</v>
      </c>
      <c r="CM59" s="11" t="str">
        <f t="shared" si="39"/>
        <v>NOT CONGESTED</v>
      </c>
      <c r="CN59" s="3">
        <f t="shared" si="40"/>
        <v>1744</v>
      </c>
      <c r="CO59" s="11">
        <f t="shared" si="41"/>
        <v>0.72</v>
      </c>
      <c r="CP59" s="156" t="str">
        <f t="shared" si="150"/>
        <v>NOT CONGESTED</v>
      </c>
      <c r="CQ59" s="2"/>
      <c r="CR59" s="42"/>
      <c r="CS59" s="11" t="str">
        <f t="shared" si="43"/>
        <v/>
      </c>
      <c r="CT59" s="11" t="str">
        <f t="shared" si="151"/>
        <v/>
      </c>
      <c r="CU59" s="11" t="str">
        <f t="shared" si="52"/>
        <v/>
      </c>
      <c r="CV59" s="11" t="str">
        <f t="shared" si="45"/>
        <v/>
      </c>
      <c r="CW59" s="3" t="s">
        <v>586</v>
      </c>
      <c r="CX59" s="1"/>
      <c r="CY59" s="145" t="str">
        <f t="shared" si="46"/>
        <v/>
      </c>
      <c r="CZ59" s="32" t="str">
        <f t="shared" si="47"/>
        <v/>
      </c>
    </row>
    <row r="60" spans="1:104" s="9" customFormat="1" ht="12.75" customHeight="1">
      <c r="A60" s="1">
        <v>3293100</v>
      </c>
      <c r="B60" s="1">
        <f t="shared" si="48"/>
        <v>124</v>
      </c>
      <c r="C60" s="1">
        <v>336</v>
      </c>
      <c r="D60" s="1">
        <f>VLOOKUP(C60,'2022 counts'!$A$6:$B$304,2,FALSE)</f>
        <v>124</v>
      </c>
      <c r="E60" s="1"/>
      <c r="F60" s="2" t="s">
        <v>6</v>
      </c>
      <c r="G60" s="156">
        <v>40</v>
      </c>
      <c r="H60" s="11">
        <v>0.45903197597899997</v>
      </c>
      <c r="I60" s="10" t="s">
        <v>89</v>
      </c>
      <c r="J60" s="10" t="s">
        <v>729</v>
      </c>
      <c r="K60" s="10" t="s">
        <v>122</v>
      </c>
      <c r="L60" s="157">
        <v>2</v>
      </c>
      <c r="M60" s="1">
        <f>'State of the System - Sumter Co'!K60</f>
        <v>2</v>
      </c>
      <c r="N60" s="1" t="str">
        <f>IF('State of the System - Sumter Co'!L60="URBAN","U","R")</f>
        <v>R</v>
      </c>
      <c r="O60" s="1" t="str">
        <f>IF('State of the System - Sumter Co'!M60="UNDIVIDED","U",IF('State of the System - Sumter Co'!M60="DIVIDED","D","F"))</f>
        <v>U</v>
      </c>
      <c r="P60" s="1" t="str">
        <f>'State of the System - Sumter Co'!N60</f>
        <v>INTERRUPTED</v>
      </c>
      <c r="Q60" s="1" t="str">
        <f t="shared" si="0"/>
        <v>x</v>
      </c>
      <c r="R60" s="1" t="str">
        <f>'State of the System - Sumter Co'!O60</f>
        <v/>
      </c>
      <c r="S60" s="1" t="str">
        <f t="shared" si="144"/>
        <v/>
      </c>
      <c r="T60" s="1" t="str">
        <f t="shared" si="2"/>
        <v>R-2Ux</v>
      </c>
      <c r="U60" s="1" t="str">
        <f t="shared" si="155"/>
        <v>R-2Ux</v>
      </c>
      <c r="V60" s="1" t="s">
        <v>10</v>
      </c>
      <c r="W60" s="1" t="s">
        <v>11</v>
      </c>
      <c r="X60" s="1" t="s">
        <v>21</v>
      </c>
      <c r="Y60" s="1" t="str">
        <f>'State of the System - Sumter Co'!R60</f>
        <v>C</v>
      </c>
      <c r="Z60" s="157" t="str">
        <f t="shared" si="4"/>
        <v>Other CMP Network Roadways</v>
      </c>
      <c r="AA60" s="15">
        <f>VLOOKUP($T60,'2020_CapacityTable'!$B$49:$F$71,2)</f>
        <v>0</v>
      </c>
      <c r="AB60" s="15">
        <f>VLOOKUP($T60,'2020_CapacityTable'!$B$49:$F$71,3)</f>
        <v>12900</v>
      </c>
      <c r="AC60" s="15">
        <f>VLOOKUP($T60,'2020_CapacityTable'!$B$49:$F$71,4)</f>
        <v>14200</v>
      </c>
      <c r="AD60" s="15">
        <f>VLOOKUP($T60,'2020_CapacityTable'!$B$49:$F$71,5)</f>
        <v>14200</v>
      </c>
      <c r="AE60" s="35">
        <f t="shared" si="145"/>
        <v>-0.1</v>
      </c>
      <c r="AF60" s="36" t="str">
        <f t="shared" si="6"/>
        <v/>
      </c>
      <c r="AG60" s="35">
        <v>-0.2</v>
      </c>
      <c r="AH60" s="35" t="str">
        <f t="shared" si="154"/>
        <v/>
      </c>
      <c r="AI60" s="35"/>
      <c r="AJ60" s="36"/>
      <c r="AK60" s="15">
        <f t="shared" si="8"/>
        <v>0</v>
      </c>
      <c r="AL60" s="15">
        <f t="shared" si="9"/>
        <v>9030</v>
      </c>
      <c r="AM60" s="15">
        <f t="shared" si="10"/>
        <v>9940</v>
      </c>
      <c r="AN60" s="15">
        <f t="shared" si="11"/>
        <v>9940</v>
      </c>
      <c r="AO60" s="3">
        <f t="shared" si="152"/>
        <v>9030</v>
      </c>
      <c r="AP60" s="138">
        <f>VLOOKUP($B60,'2022 counts'!$B$6:$R$304,17,FALSE)</f>
        <v>718</v>
      </c>
      <c r="AQ60" s="11">
        <f t="shared" si="12"/>
        <v>0.08</v>
      </c>
      <c r="AR60" s="2" t="str">
        <f t="shared" si="13"/>
        <v>C</v>
      </c>
      <c r="AS60" s="26">
        <f t="shared" si="50"/>
        <v>0.12</v>
      </c>
      <c r="AT60" s="15">
        <f>VLOOKUP($T60,'2020_CapacityTable'!$B$23:$F$45,2)</f>
        <v>0</v>
      </c>
      <c r="AU60" s="15">
        <f>VLOOKUP($T60,'2020_CapacityTable'!$B$23:$F$45,3)</f>
        <v>670</v>
      </c>
      <c r="AV60" s="15">
        <f>VLOOKUP($T60,'2020_CapacityTable'!$B$23:$F$45,4)</f>
        <v>740</v>
      </c>
      <c r="AW60" s="15">
        <f>VLOOKUP($T60,'2020_CapacityTable'!$B$23:$F$45,5)</f>
        <v>740</v>
      </c>
      <c r="AX60" s="15">
        <f t="shared" si="14"/>
        <v>0</v>
      </c>
      <c r="AY60" s="15">
        <f t="shared" si="15"/>
        <v>469</v>
      </c>
      <c r="AZ60" s="15">
        <f t="shared" si="16"/>
        <v>518</v>
      </c>
      <c r="BA60" s="15">
        <f t="shared" si="17"/>
        <v>518</v>
      </c>
      <c r="BB60" s="3">
        <f t="shared" si="146"/>
        <v>469</v>
      </c>
      <c r="BC60" s="138">
        <f>VLOOKUP($B60,'2022 counts'!$B$6:$AD$304,28,FALSE)</f>
        <v>25</v>
      </c>
      <c r="BD60" s="138">
        <f>VLOOKUP($B60,'2022 counts'!$B$6:$AD$304,29,FALSE)</f>
        <v>53</v>
      </c>
      <c r="BE60" s="11">
        <f t="shared" si="19"/>
        <v>0.11</v>
      </c>
      <c r="BF60" s="2" t="str">
        <f t="shared" si="20"/>
        <v>C</v>
      </c>
      <c r="BG60" s="135">
        <v>0</v>
      </c>
      <c r="BH60" s="135">
        <f>IF($AQ60="","",VLOOKUP($B60, '2022 counts'!$B$6:$T$304,19,FALSE))</f>
        <v>1.4999999999999999E-2</v>
      </c>
      <c r="BI60" s="38">
        <f t="shared" si="21"/>
        <v>1.4999999999999999E-2</v>
      </c>
      <c r="BJ60" s="39" t="str">
        <f t="shared" si="22"/>
        <v>(1)</v>
      </c>
      <c r="BK60" s="15">
        <f>VLOOKUP($U60,'2020_CapacityTable'!$B$49:$F$71,2)</f>
        <v>0</v>
      </c>
      <c r="BL60" s="15">
        <f>VLOOKUP($U60,'2020_CapacityTable'!$B$49:$F$71,3)</f>
        <v>12900</v>
      </c>
      <c r="BM60" s="15">
        <f>VLOOKUP($T60,'2020_CapacityTable'!$B$49:$F$71,4)</f>
        <v>14200</v>
      </c>
      <c r="BN60" s="15">
        <f>VLOOKUP($T60,'2020_CapacityTable'!$B$49:$F$71,5)</f>
        <v>14200</v>
      </c>
      <c r="BO60" s="15">
        <f t="shared" si="23"/>
        <v>0</v>
      </c>
      <c r="BP60" s="15">
        <f t="shared" si="24"/>
        <v>9030</v>
      </c>
      <c r="BQ60" s="15">
        <f t="shared" si="25"/>
        <v>9940</v>
      </c>
      <c r="BR60" s="15">
        <f t="shared" si="26"/>
        <v>9940</v>
      </c>
      <c r="BS60" s="3">
        <f t="shared" si="147"/>
        <v>9030</v>
      </c>
      <c r="BT60" s="40">
        <f>'State of the System - Sumter Co'!AD60</f>
        <v>773</v>
      </c>
      <c r="BU60" s="41">
        <f t="shared" si="28"/>
        <v>0.09</v>
      </c>
      <c r="BV60" s="2" t="str">
        <f t="shared" si="29"/>
        <v>C</v>
      </c>
      <c r="BW60" s="2">
        <f t="shared" si="30"/>
        <v>0.13</v>
      </c>
      <c r="BX60" s="15">
        <f>VLOOKUP($U60,'2020_CapacityTable'!$B$23:$F$45,2)</f>
        <v>0</v>
      </c>
      <c r="BY60" s="15">
        <f>VLOOKUP($U60,'2020_CapacityTable'!$B$23:$F$45,3)</f>
        <v>670</v>
      </c>
      <c r="BZ60" s="15">
        <f>VLOOKUP($U60,'2020_CapacityTable'!$B$23:$F$45,4)</f>
        <v>740</v>
      </c>
      <c r="CA60" s="15">
        <f>VLOOKUP($U60,'2020_CapacityTable'!$B$23:$F$45,5)</f>
        <v>740</v>
      </c>
      <c r="CB60" s="15">
        <f t="shared" si="31"/>
        <v>0</v>
      </c>
      <c r="CC60" s="15">
        <f t="shared" si="32"/>
        <v>469</v>
      </c>
      <c r="CD60" s="15">
        <f t="shared" si="33"/>
        <v>518</v>
      </c>
      <c r="CE60" s="15">
        <f t="shared" si="34"/>
        <v>518</v>
      </c>
      <c r="CF60" s="3">
        <f t="shared" si="148"/>
        <v>469</v>
      </c>
      <c r="CG60" s="2">
        <f>'State of the System - Sumter Co'!AH60</f>
        <v>27</v>
      </c>
      <c r="CH60" s="2">
        <f>'State of the System - Sumter Co'!AI60</f>
        <v>57</v>
      </c>
      <c r="CI60" s="11">
        <f t="shared" si="36"/>
        <v>0.12</v>
      </c>
      <c r="CJ60" s="2" t="str">
        <f t="shared" si="149"/>
        <v>C</v>
      </c>
      <c r="CK60" s="3">
        <f t="shared" si="51"/>
        <v>10735</v>
      </c>
      <c r="CL60" s="11">
        <f t="shared" si="38"/>
        <v>7.0000000000000007E-2</v>
      </c>
      <c r="CM60" s="11" t="str">
        <f t="shared" si="39"/>
        <v>NOT CONGESTED</v>
      </c>
      <c r="CN60" s="3">
        <f t="shared" si="40"/>
        <v>559</v>
      </c>
      <c r="CO60" s="11">
        <f t="shared" si="41"/>
        <v>0.1</v>
      </c>
      <c r="CP60" s="156" t="str">
        <f t="shared" si="150"/>
        <v>NOT CONGESTED</v>
      </c>
      <c r="CQ60" s="2"/>
      <c r="CR60" s="42"/>
      <c r="CS60" s="11" t="str">
        <f t="shared" si="43"/>
        <v/>
      </c>
      <c r="CT60" s="11" t="str">
        <f t="shared" si="151"/>
        <v/>
      </c>
      <c r="CU60" s="11" t="str">
        <f t="shared" si="52"/>
        <v/>
      </c>
      <c r="CV60" s="11" t="str">
        <f t="shared" si="45"/>
        <v/>
      </c>
      <c r="CW60" s="3"/>
      <c r="CX60" s="1"/>
      <c r="CY60" s="145" t="str">
        <f t="shared" si="46"/>
        <v/>
      </c>
      <c r="CZ60" s="32" t="str">
        <f t="shared" si="47"/>
        <v/>
      </c>
    </row>
    <row r="61" spans="1:104" s="9" customFormat="1" ht="12.75" customHeight="1">
      <c r="A61" s="1">
        <v>3293110</v>
      </c>
      <c r="B61" s="1">
        <f t="shared" si="48"/>
        <v>123</v>
      </c>
      <c r="C61" s="1">
        <v>334</v>
      </c>
      <c r="D61" s="1">
        <f>VLOOKUP(C61,'2022 counts'!$A$6:$B$304,2,FALSE)</f>
        <v>123</v>
      </c>
      <c r="E61" s="1"/>
      <c r="F61" s="2" t="s">
        <v>6</v>
      </c>
      <c r="G61" s="156">
        <v>40</v>
      </c>
      <c r="H61" s="11">
        <v>2.0125532170299998</v>
      </c>
      <c r="I61" s="10" t="s">
        <v>89</v>
      </c>
      <c r="J61" s="10" t="s">
        <v>122</v>
      </c>
      <c r="K61" s="10" t="s">
        <v>728</v>
      </c>
      <c r="L61" s="157">
        <v>2</v>
      </c>
      <c r="M61" s="1">
        <f>'State of the System - Sumter Co'!K61</f>
        <v>2</v>
      </c>
      <c r="N61" s="1" t="str">
        <f>IF('State of the System - Sumter Co'!L61="URBAN","U","R")</f>
        <v>U</v>
      </c>
      <c r="O61" s="1" t="str">
        <f>IF('State of the System - Sumter Co'!M61="UNDIVIDED","U",IF('State of the System - Sumter Co'!M61="DIVIDED","D","F"))</f>
        <v>U</v>
      </c>
      <c r="P61" s="1" t="str">
        <f>'State of the System - Sumter Co'!N61</f>
        <v>INTERRUPTED</v>
      </c>
      <c r="Q61" s="1" t="str">
        <f t="shared" si="0"/>
        <v/>
      </c>
      <c r="R61" s="1" t="str">
        <f>'State of the System - Sumter Co'!O61</f>
        <v/>
      </c>
      <c r="S61" s="1" t="str">
        <f t="shared" si="144"/>
        <v>-1</v>
      </c>
      <c r="T61" s="1" t="str">
        <f t="shared" si="2"/>
        <v>U-2U-1</v>
      </c>
      <c r="U61" s="1" t="str">
        <f t="shared" si="155"/>
        <v>U-2U-1</v>
      </c>
      <c r="V61" s="1" t="s">
        <v>10</v>
      </c>
      <c r="W61" s="1" t="s">
        <v>11</v>
      </c>
      <c r="X61" s="1" t="s">
        <v>21</v>
      </c>
      <c r="Y61" s="1" t="str">
        <f>'State of the System - Sumter Co'!R61</f>
        <v>D</v>
      </c>
      <c r="Z61" s="157" t="str">
        <f t="shared" si="4"/>
        <v>Other CMP Network Roadways</v>
      </c>
      <c r="AA61" s="15">
        <f>VLOOKUP($T61,'2020_CapacityTable'!$B$49:$F$71,2)</f>
        <v>0</v>
      </c>
      <c r="AB61" s="15">
        <f>VLOOKUP($T61,'2020_CapacityTable'!$B$49:$F$71,3)</f>
        <v>16800</v>
      </c>
      <c r="AC61" s="15">
        <f>VLOOKUP($T61,'2020_CapacityTable'!$B$49:$F$71,4)</f>
        <v>17700</v>
      </c>
      <c r="AD61" s="15">
        <f>VLOOKUP($T61,'2020_CapacityTable'!$B$49:$F$71,5)</f>
        <v>17700</v>
      </c>
      <c r="AE61" s="35">
        <f t="shared" si="145"/>
        <v>-0.1</v>
      </c>
      <c r="AF61" s="36" t="str">
        <f t="shared" si="6"/>
        <v/>
      </c>
      <c r="AG61" s="35"/>
      <c r="AH61" s="35" t="str">
        <f t="shared" si="154"/>
        <v/>
      </c>
      <c r="AI61" s="35"/>
      <c r="AJ61" s="36"/>
      <c r="AK61" s="15">
        <f t="shared" si="8"/>
        <v>0</v>
      </c>
      <c r="AL61" s="15">
        <f t="shared" si="9"/>
        <v>15120</v>
      </c>
      <c r="AM61" s="15">
        <f t="shared" si="10"/>
        <v>15930</v>
      </c>
      <c r="AN61" s="15">
        <f t="shared" si="11"/>
        <v>15930</v>
      </c>
      <c r="AO61" s="3">
        <f t="shared" si="152"/>
        <v>15930</v>
      </c>
      <c r="AP61" s="138">
        <f>VLOOKUP($B61,'2022 counts'!$B$6:$R$304,17,FALSE)</f>
        <v>1248</v>
      </c>
      <c r="AQ61" s="11">
        <f t="shared" si="12"/>
        <v>0.08</v>
      </c>
      <c r="AR61" s="2" t="str">
        <f t="shared" si="13"/>
        <v>C</v>
      </c>
      <c r="AS61" s="26">
        <f t="shared" si="50"/>
        <v>0.92</v>
      </c>
      <c r="AT61" s="15">
        <f>VLOOKUP($T61,'2020_CapacityTable'!$B$23:$F$45,2)</f>
        <v>0</v>
      </c>
      <c r="AU61" s="15">
        <f>VLOOKUP($T61,'2020_CapacityTable'!$B$23:$F$45,3)</f>
        <v>830</v>
      </c>
      <c r="AV61" s="15">
        <f>VLOOKUP($T61,'2020_CapacityTable'!$B$23:$F$45,4)</f>
        <v>880</v>
      </c>
      <c r="AW61" s="15">
        <f>VLOOKUP($T61,'2020_CapacityTable'!$B$23:$F$45,5)</f>
        <v>880</v>
      </c>
      <c r="AX61" s="15">
        <f t="shared" si="14"/>
        <v>0</v>
      </c>
      <c r="AY61" s="15">
        <f t="shared" si="15"/>
        <v>747</v>
      </c>
      <c r="AZ61" s="15">
        <f t="shared" si="16"/>
        <v>792</v>
      </c>
      <c r="BA61" s="15">
        <f t="shared" si="17"/>
        <v>792</v>
      </c>
      <c r="BB61" s="3">
        <f t="shared" si="146"/>
        <v>792</v>
      </c>
      <c r="BC61" s="138">
        <f>VLOOKUP($B61,'2022 counts'!$B$6:$AD$304,28,FALSE)</f>
        <v>104</v>
      </c>
      <c r="BD61" s="138">
        <f>VLOOKUP($B61,'2022 counts'!$B$6:$AD$304,29,FALSE)</f>
        <v>65</v>
      </c>
      <c r="BE61" s="11">
        <f t="shared" si="19"/>
        <v>0.13</v>
      </c>
      <c r="BF61" s="2" t="str">
        <f t="shared" si="20"/>
        <v>C</v>
      </c>
      <c r="BG61" s="135">
        <v>4.4999999999999998E-2</v>
      </c>
      <c r="BH61" s="135">
        <f>IF($AQ61="","",VLOOKUP($B61, '2022 counts'!$B$6:$T$304,19,FALSE))</f>
        <v>4.4999999999999998E-2</v>
      </c>
      <c r="BI61" s="38">
        <f t="shared" si="21"/>
        <v>4.4999999999999998E-2</v>
      </c>
      <c r="BJ61" s="39" t="str">
        <f t="shared" si="22"/>
        <v/>
      </c>
      <c r="BK61" s="15">
        <f>VLOOKUP($U61,'2020_CapacityTable'!$B$49:$F$71,2)</f>
        <v>0</v>
      </c>
      <c r="BL61" s="15">
        <f>VLOOKUP($U61,'2020_CapacityTable'!$B$49:$F$71,3)</f>
        <v>16800</v>
      </c>
      <c r="BM61" s="15">
        <f>VLOOKUP($T61,'2020_CapacityTable'!$B$49:$F$71,4)</f>
        <v>17700</v>
      </c>
      <c r="BN61" s="15">
        <f>VLOOKUP($T61,'2020_CapacityTable'!$B$49:$F$71,5)</f>
        <v>17700</v>
      </c>
      <c r="BO61" s="15">
        <f t="shared" si="23"/>
        <v>0</v>
      </c>
      <c r="BP61" s="15">
        <f t="shared" si="24"/>
        <v>15120</v>
      </c>
      <c r="BQ61" s="15">
        <f t="shared" si="25"/>
        <v>15930</v>
      </c>
      <c r="BR61" s="15">
        <f t="shared" si="26"/>
        <v>15930</v>
      </c>
      <c r="BS61" s="3">
        <f t="shared" si="147"/>
        <v>15930</v>
      </c>
      <c r="BT61" s="40">
        <f>'State of the System - Sumter Co'!AD61</f>
        <v>1555</v>
      </c>
      <c r="BU61" s="41">
        <f t="shared" si="28"/>
        <v>0.1</v>
      </c>
      <c r="BV61" s="2" t="str">
        <f t="shared" si="29"/>
        <v>C</v>
      </c>
      <c r="BW61" s="2">
        <f t="shared" si="30"/>
        <v>1.1399999999999999</v>
      </c>
      <c r="BX61" s="15">
        <f>VLOOKUP($U61,'2020_CapacityTable'!$B$23:$F$45,2)</f>
        <v>0</v>
      </c>
      <c r="BY61" s="15">
        <f>VLOOKUP($U61,'2020_CapacityTable'!$B$23:$F$45,3)</f>
        <v>830</v>
      </c>
      <c r="BZ61" s="15">
        <f>VLOOKUP($U61,'2020_CapacityTable'!$B$23:$F$45,4)</f>
        <v>880</v>
      </c>
      <c r="CA61" s="15">
        <f>VLOOKUP($U61,'2020_CapacityTable'!$B$23:$F$45,5)</f>
        <v>880</v>
      </c>
      <c r="CB61" s="15">
        <f t="shared" si="31"/>
        <v>0</v>
      </c>
      <c r="CC61" s="15">
        <f t="shared" si="32"/>
        <v>747</v>
      </c>
      <c r="CD61" s="15">
        <f t="shared" si="33"/>
        <v>792</v>
      </c>
      <c r="CE61" s="15">
        <f t="shared" si="34"/>
        <v>792</v>
      </c>
      <c r="CF61" s="3">
        <f t="shared" si="148"/>
        <v>792</v>
      </c>
      <c r="CG61" s="2">
        <f>'State of the System - Sumter Co'!AH61</f>
        <v>130</v>
      </c>
      <c r="CH61" s="2">
        <f>'State of the System - Sumter Co'!AI61</f>
        <v>81</v>
      </c>
      <c r="CI61" s="11">
        <f t="shared" si="36"/>
        <v>0.16</v>
      </c>
      <c r="CJ61" s="2" t="str">
        <f t="shared" si="149"/>
        <v>C</v>
      </c>
      <c r="CK61" s="3">
        <f t="shared" si="51"/>
        <v>17204</v>
      </c>
      <c r="CL61" s="11">
        <f t="shared" si="38"/>
        <v>0.09</v>
      </c>
      <c r="CM61" s="11" t="str">
        <f t="shared" si="39"/>
        <v>NOT CONGESTED</v>
      </c>
      <c r="CN61" s="3">
        <f t="shared" si="40"/>
        <v>855</v>
      </c>
      <c r="CO61" s="11">
        <f t="shared" si="41"/>
        <v>0.15</v>
      </c>
      <c r="CP61" s="156" t="str">
        <f t="shared" si="150"/>
        <v>NOT CONGESTED</v>
      </c>
      <c r="CQ61" s="2"/>
      <c r="CR61" s="42"/>
      <c r="CS61" s="11" t="str">
        <f t="shared" si="43"/>
        <v/>
      </c>
      <c r="CT61" s="11" t="str">
        <f t="shared" si="151"/>
        <v/>
      </c>
      <c r="CU61" s="11" t="str">
        <f t="shared" si="52"/>
        <v/>
      </c>
      <c r="CV61" s="11" t="str">
        <f t="shared" si="45"/>
        <v/>
      </c>
      <c r="CW61" s="3"/>
      <c r="CX61" s="1"/>
      <c r="CY61" s="145" t="str">
        <f t="shared" si="46"/>
        <v/>
      </c>
      <c r="CZ61" s="32" t="str">
        <f t="shared" si="47"/>
        <v/>
      </c>
    </row>
    <row r="62" spans="1:104" s="9" customFormat="1" ht="12.75" customHeight="1">
      <c r="A62" s="1">
        <v>3297000</v>
      </c>
      <c r="B62" s="1">
        <f t="shared" si="48"/>
        <v>112</v>
      </c>
      <c r="C62" s="1">
        <v>386</v>
      </c>
      <c r="D62" s="1">
        <f>VLOOKUP(C62,'2022 counts'!$A$6:$B$304,2,FALSE)</f>
        <v>112</v>
      </c>
      <c r="E62" s="5" t="s">
        <v>243</v>
      </c>
      <c r="F62" s="2" t="s">
        <v>6</v>
      </c>
      <c r="G62" s="156">
        <v>35</v>
      </c>
      <c r="H62" s="11">
        <v>1.8547265040900001</v>
      </c>
      <c r="I62" s="10" t="s">
        <v>86</v>
      </c>
      <c r="J62" s="10" t="s">
        <v>730</v>
      </c>
      <c r="K62" s="10" t="s">
        <v>728</v>
      </c>
      <c r="L62" s="157">
        <v>2</v>
      </c>
      <c r="M62" s="1">
        <f>'State of the System - Sumter Co'!K62</f>
        <v>2</v>
      </c>
      <c r="N62" s="1" t="str">
        <f>IF('State of the System - Sumter Co'!L62="URBAN","U","R")</f>
        <v>R</v>
      </c>
      <c r="O62" s="1" t="str">
        <f>IF('State of the System - Sumter Co'!M62="UNDIVIDED","U",IF('State of the System - Sumter Co'!M62="DIVIDED","D","F"))</f>
        <v>U</v>
      </c>
      <c r="P62" s="1" t="str">
        <f>'State of the System - Sumter Co'!N62</f>
        <v>INTERRUPTED</v>
      </c>
      <c r="Q62" s="1" t="str">
        <f t="shared" si="0"/>
        <v>x</v>
      </c>
      <c r="R62" s="1" t="str">
        <f>'State of the System - Sumter Co'!O62</f>
        <v/>
      </c>
      <c r="S62" s="1" t="str">
        <f t="shared" si="144"/>
        <v/>
      </c>
      <c r="T62" s="1" t="str">
        <f t="shared" si="2"/>
        <v>R-2Ux</v>
      </c>
      <c r="U62" s="1" t="str">
        <f t="shared" si="155"/>
        <v>R-2Ux</v>
      </c>
      <c r="V62" s="1" t="s">
        <v>10</v>
      </c>
      <c r="W62" s="1" t="s">
        <v>11</v>
      </c>
      <c r="X62" s="1" t="s">
        <v>21</v>
      </c>
      <c r="Y62" s="1" t="str">
        <f>'State of the System - Sumter Co'!R62</f>
        <v>C</v>
      </c>
      <c r="Z62" s="157" t="str">
        <f t="shared" si="4"/>
        <v>Other CMP Network Roadways</v>
      </c>
      <c r="AA62" s="15">
        <f>VLOOKUP($T62,'2020_CapacityTable'!$B$49:$F$71,2)</f>
        <v>0</v>
      </c>
      <c r="AB62" s="15">
        <f>VLOOKUP($T62,'2020_CapacityTable'!$B$49:$F$71,3)</f>
        <v>12900</v>
      </c>
      <c r="AC62" s="15">
        <f>VLOOKUP($T62,'2020_CapacityTable'!$B$49:$F$71,4)</f>
        <v>14200</v>
      </c>
      <c r="AD62" s="15">
        <f>VLOOKUP($T62,'2020_CapacityTable'!$B$49:$F$71,5)</f>
        <v>14200</v>
      </c>
      <c r="AE62" s="35">
        <f t="shared" si="145"/>
        <v>-0.1</v>
      </c>
      <c r="AF62" s="36" t="str">
        <f t="shared" si="6"/>
        <v/>
      </c>
      <c r="AG62" s="35">
        <v>-0.2</v>
      </c>
      <c r="AH62" s="35" t="str">
        <f t="shared" si="154"/>
        <v/>
      </c>
      <c r="AI62" s="35"/>
      <c r="AJ62" s="36"/>
      <c r="AK62" s="15">
        <f t="shared" si="8"/>
        <v>0</v>
      </c>
      <c r="AL62" s="15">
        <f t="shared" si="9"/>
        <v>9030</v>
      </c>
      <c r="AM62" s="15">
        <f t="shared" si="10"/>
        <v>9940</v>
      </c>
      <c r="AN62" s="15">
        <f t="shared" si="11"/>
        <v>9940</v>
      </c>
      <c r="AO62" s="3">
        <f t="shared" si="152"/>
        <v>9030</v>
      </c>
      <c r="AP62" s="138">
        <f>VLOOKUP($B62,'2022 counts'!$B$6:$R$304,17,FALSE)</f>
        <v>362</v>
      </c>
      <c r="AQ62" s="11">
        <f t="shared" si="12"/>
        <v>0.04</v>
      </c>
      <c r="AR62" s="2" t="str">
        <f t="shared" si="13"/>
        <v>C</v>
      </c>
      <c r="AS62" s="26">
        <f t="shared" si="50"/>
        <v>0.25</v>
      </c>
      <c r="AT62" s="15">
        <f>VLOOKUP($T62,'2020_CapacityTable'!$B$23:$F$45,2)</f>
        <v>0</v>
      </c>
      <c r="AU62" s="15">
        <f>VLOOKUP($T62,'2020_CapacityTable'!$B$23:$F$45,3)</f>
        <v>670</v>
      </c>
      <c r="AV62" s="15">
        <f>VLOOKUP($T62,'2020_CapacityTable'!$B$23:$F$45,4)</f>
        <v>740</v>
      </c>
      <c r="AW62" s="15">
        <f>VLOOKUP($T62,'2020_CapacityTable'!$B$23:$F$45,5)</f>
        <v>740</v>
      </c>
      <c r="AX62" s="15">
        <f t="shared" si="14"/>
        <v>0</v>
      </c>
      <c r="AY62" s="15">
        <f t="shared" si="15"/>
        <v>469</v>
      </c>
      <c r="AZ62" s="15">
        <f t="shared" si="16"/>
        <v>518</v>
      </c>
      <c r="BA62" s="15">
        <f t="shared" si="17"/>
        <v>518</v>
      </c>
      <c r="BB62" s="3">
        <f t="shared" si="146"/>
        <v>469</v>
      </c>
      <c r="BC62" s="138">
        <f>VLOOKUP($B62,'2022 counts'!$B$6:$AD$304,28,FALSE)</f>
        <v>19</v>
      </c>
      <c r="BD62" s="138">
        <f>VLOOKUP($B62,'2022 counts'!$B$6:$AD$304,29,FALSE)</f>
        <v>16</v>
      </c>
      <c r="BE62" s="11">
        <f t="shared" si="19"/>
        <v>0.04</v>
      </c>
      <c r="BF62" s="2" t="str">
        <f t="shared" si="20"/>
        <v>C</v>
      </c>
      <c r="BG62" s="135">
        <v>0</v>
      </c>
      <c r="BH62" s="135">
        <f>IF($AQ62="","",VLOOKUP($B62, '2022 counts'!$B$6:$T$304,19,FALSE))</f>
        <v>0</v>
      </c>
      <c r="BI62" s="38">
        <f t="shared" si="21"/>
        <v>0.01</v>
      </c>
      <c r="BJ62" s="39" t="str">
        <f t="shared" si="22"/>
        <v>minimum</v>
      </c>
      <c r="BK62" s="15">
        <f>VLOOKUP($U62,'2020_CapacityTable'!$B$49:$F$71,2)</f>
        <v>0</v>
      </c>
      <c r="BL62" s="15">
        <f>VLOOKUP($U62,'2020_CapacityTable'!$B$49:$F$71,3)</f>
        <v>12900</v>
      </c>
      <c r="BM62" s="15">
        <f>VLOOKUP($T62,'2020_CapacityTable'!$B$49:$F$71,4)</f>
        <v>14200</v>
      </c>
      <c r="BN62" s="15">
        <f>VLOOKUP($T62,'2020_CapacityTable'!$B$49:$F$71,5)</f>
        <v>14200</v>
      </c>
      <c r="BO62" s="15">
        <f t="shared" si="23"/>
        <v>0</v>
      </c>
      <c r="BP62" s="15">
        <f t="shared" si="24"/>
        <v>9030</v>
      </c>
      <c r="BQ62" s="15">
        <f t="shared" si="25"/>
        <v>9940</v>
      </c>
      <c r="BR62" s="15">
        <f t="shared" si="26"/>
        <v>9940</v>
      </c>
      <c r="BS62" s="3">
        <f t="shared" si="147"/>
        <v>9030</v>
      </c>
      <c r="BT62" s="40">
        <f>'State of the System - Sumter Co'!AD62</f>
        <v>380</v>
      </c>
      <c r="BU62" s="41">
        <f t="shared" si="28"/>
        <v>0.04</v>
      </c>
      <c r="BV62" s="2" t="str">
        <f t="shared" si="29"/>
        <v>C</v>
      </c>
      <c r="BW62" s="2">
        <f t="shared" si="30"/>
        <v>0.26</v>
      </c>
      <c r="BX62" s="15">
        <f>VLOOKUP($U62,'2020_CapacityTable'!$B$23:$F$45,2)</f>
        <v>0</v>
      </c>
      <c r="BY62" s="15">
        <f>VLOOKUP($U62,'2020_CapacityTable'!$B$23:$F$45,3)</f>
        <v>670</v>
      </c>
      <c r="BZ62" s="15">
        <f>VLOOKUP($U62,'2020_CapacityTable'!$B$23:$F$45,4)</f>
        <v>740</v>
      </c>
      <c r="CA62" s="15">
        <f>VLOOKUP($U62,'2020_CapacityTable'!$B$23:$F$45,5)</f>
        <v>740</v>
      </c>
      <c r="CB62" s="15">
        <f t="shared" si="31"/>
        <v>0</v>
      </c>
      <c r="CC62" s="15">
        <f t="shared" si="32"/>
        <v>469</v>
      </c>
      <c r="CD62" s="15">
        <f t="shared" si="33"/>
        <v>518</v>
      </c>
      <c r="CE62" s="15">
        <f t="shared" si="34"/>
        <v>518</v>
      </c>
      <c r="CF62" s="3">
        <f t="shared" si="148"/>
        <v>469</v>
      </c>
      <c r="CG62" s="2">
        <f>'State of the System - Sumter Co'!AH62</f>
        <v>20</v>
      </c>
      <c r="CH62" s="2">
        <f>'State of the System - Sumter Co'!AI62</f>
        <v>17</v>
      </c>
      <c r="CI62" s="11">
        <f t="shared" si="36"/>
        <v>0.04</v>
      </c>
      <c r="CJ62" s="2" t="str">
        <f t="shared" si="149"/>
        <v>C</v>
      </c>
      <c r="CK62" s="3">
        <f t="shared" si="51"/>
        <v>10735</v>
      </c>
      <c r="CL62" s="11">
        <f t="shared" si="38"/>
        <v>0.04</v>
      </c>
      <c r="CM62" s="11" t="str">
        <f t="shared" si="39"/>
        <v>NOT CONGESTED</v>
      </c>
      <c r="CN62" s="3">
        <f t="shared" si="40"/>
        <v>559</v>
      </c>
      <c r="CO62" s="11">
        <f t="shared" si="41"/>
        <v>0.04</v>
      </c>
      <c r="CP62" s="156" t="str">
        <f t="shared" si="150"/>
        <v>NOT CONGESTED</v>
      </c>
      <c r="CQ62" s="2"/>
      <c r="CR62" s="42"/>
      <c r="CS62" s="11" t="str">
        <f t="shared" si="43"/>
        <v/>
      </c>
      <c r="CT62" s="11" t="str">
        <f t="shared" si="151"/>
        <v/>
      </c>
      <c r="CU62" s="11" t="str">
        <f t="shared" si="52"/>
        <v/>
      </c>
      <c r="CV62" s="11" t="str">
        <f t="shared" si="45"/>
        <v/>
      </c>
      <c r="CW62" s="3"/>
      <c r="CX62" s="1"/>
      <c r="CY62" s="145" t="str">
        <f t="shared" si="46"/>
        <v/>
      </c>
      <c r="CZ62" s="32" t="str">
        <f t="shared" si="47"/>
        <v/>
      </c>
    </row>
    <row r="63" spans="1:104" s="9" customFormat="1" ht="12.75" customHeight="1">
      <c r="A63" s="1">
        <v>3300000</v>
      </c>
      <c r="B63" s="1">
        <f t="shared" si="48"/>
        <v>164</v>
      </c>
      <c r="C63" s="1">
        <v>292</v>
      </c>
      <c r="D63" s="1">
        <f>VLOOKUP(C63,'2022 counts'!$A$6:$B$304,2,FALSE)</f>
        <v>164</v>
      </c>
      <c r="E63" s="1"/>
      <c r="F63" s="2" t="s">
        <v>6</v>
      </c>
      <c r="G63" s="156">
        <v>35</v>
      </c>
      <c r="H63" s="11">
        <v>0.35824751055999998</v>
      </c>
      <c r="I63" s="10" t="s">
        <v>18</v>
      </c>
      <c r="J63" s="10" t="s">
        <v>732</v>
      </c>
      <c r="K63" s="10" t="s">
        <v>15</v>
      </c>
      <c r="L63" s="157">
        <v>4</v>
      </c>
      <c r="M63" s="1">
        <f>'State of the System - Sumter Co'!K63</f>
        <v>4</v>
      </c>
      <c r="N63" s="1" t="str">
        <f>IF('State of the System - Sumter Co'!L63="URBAN","U","R")</f>
        <v>U</v>
      </c>
      <c r="O63" s="1" t="str">
        <f>IF('State of the System - Sumter Co'!M63="UNDIVIDED","U",IF('State of the System - Sumter Co'!M63="DIVIDED","D","F"))</f>
        <v>D</v>
      </c>
      <c r="P63" s="1" t="str">
        <f>'State of the System - Sumter Co'!N63</f>
        <v>INTERRUPTED</v>
      </c>
      <c r="Q63" s="1" t="str">
        <f t="shared" si="0"/>
        <v/>
      </c>
      <c r="R63" s="1" t="str">
        <f>'State of the System - Sumter Co'!O63</f>
        <v/>
      </c>
      <c r="S63" s="1" t="str">
        <f t="shared" si="144"/>
        <v>-2</v>
      </c>
      <c r="T63" s="1" t="str">
        <f t="shared" si="2"/>
        <v>U-4D-2</v>
      </c>
      <c r="U63" s="1" t="str">
        <f t="shared" si="155"/>
        <v>U-4D-2</v>
      </c>
      <c r="V63" s="1" t="s">
        <v>10</v>
      </c>
      <c r="W63" s="1" t="s">
        <v>11</v>
      </c>
      <c r="X63" s="1" t="s">
        <v>12</v>
      </c>
      <c r="Y63" s="1" t="str">
        <f>'State of the System - Sumter Co'!R63</f>
        <v>D</v>
      </c>
      <c r="Z63" s="157" t="str">
        <f t="shared" si="4"/>
        <v>Other CMP Network Roadways</v>
      </c>
      <c r="AA63" s="15">
        <f>VLOOKUP($T63,'2020_CapacityTable'!$B$49:$F$71,2)</f>
        <v>0</v>
      </c>
      <c r="AB63" s="15">
        <f>VLOOKUP($T63,'2020_CapacityTable'!$B$49:$F$71,3)</f>
        <v>14500</v>
      </c>
      <c r="AC63" s="15">
        <f>VLOOKUP($T63,'2020_CapacityTable'!$B$49:$F$71,4)</f>
        <v>32400</v>
      </c>
      <c r="AD63" s="15">
        <f>VLOOKUP($T63,'2020_CapacityTable'!$B$49:$F$71,5)</f>
        <v>33800</v>
      </c>
      <c r="AE63" s="35">
        <f t="shared" si="145"/>
        <v>-0.1</v>
      </c>
      <c r="AF63" s="36" t="str">
        <f t="shared" si="6"/>
        <v/>
      </c>
      <c r="AG63" s="35" t="str">
        <f>IF(L63=2,IF(P63="interrupted","LOOK",""),"")</f>
        <v/>
      </c>
      <c r="AH63" s="35" t="str">
        <f t="shared" si="154"/>
        <v/>
      </c>
      <c r="AI63" s="35"/>
      <c r="AJ63" s="36"/>
      <c r="AK63" s="15">
        <f t="shared" si="8"/>
        <v>0</v>
      </c>
      <c r="AL63" s="15">
        <f t="shared" si="9"/>
        <v>13050</v>
      </c>
      <c r="AM63" s="15">
        <f t="shared" si="10"/>
        <v>29160</v>
      </c>
      <c r="AN63" s="15">
        <f t="shared" si="11"/>
        <v>30420</v>
      </c>
      <c r="AO63" s="3">
        <f t="shared" si="152"/>
        <v>29160</v>
      </c>
      <c r="AP63" s="138">
        <f>VLOOKUP($B63,'2022 counts'!$B$6:$R$304,17,FALSE)</f>
        <v>18780</v>
      </c>
      <c r="AQ63" s="11">
        <f t="shared" si="12"/>
        <v>0.64</v>
      </c>
      <c r="AR63" s="2" t="str">
        <f t="shared" si="13"/>
        <v>D</v>
      </c>
      <c r="AS63" s="26">
        <f t="shared" si="50"/>
        <v>2.46</v>
      </c>
      <c r="AT63" s="15">
        <f>VLOOKUP($T63,'2020_CapacityTable'!$B$23:$F$45,2)</f>
        <v>0</v>
      </c>
      <c r="AU63" s="15">
        <f>VLOOKUP($T63,'2020_CapacityTable'!$B$23:$F$45,3)</f>
        <v>730</v>
      </c>
      <c r="AV63" s="15">
        <f>VLOOKUP($T63,'2020_CapacityTable'!$B$23:$F$45,4)</f>
        <v>1630</v>
      </c>
      <c r="AW63" s="15">
        <f>VLOOKUP($T63,'2020_CapacityTable'!$B$23:$F$45,5)</f>
        <v>1700</v>
      </c>
      <c r="AX63" s="15">
        <f t="shared" si="14"/>
        <v>0</v>
      </c>
      <c r="AY63" s="15">
        <f t="shared" si="15"/>
        <v>657</v>
      </c>
      <c r="AZ63" s="15">
        <f t="shared" si="16"/>
        <v>1467</v>
      </c>
      <c r="BA63" s="15">
        <f t="shared" si="17"/>
        <v>1530</v>
      </c>
      <c r="BB63" s="3">
        <f t="shared" si="146"/>
        <v>1467</v>
      </c>
      <c r="BC63" s="138">
        <f>VLOOKUP($B63,'2022 counts'!$B$6:$AD$304,28,FALSE)</f>
        <v>940</v>
      </c>
      <c r="BD63" s="138">
        <f>VLOOKUP($B63,'2022 counts'!$B$6:$AD$304,29,FALSE)</f>
        <v>896</v>
      </c>
      <c r="BE63" s="11">
        <f t="shared" si="19"/>
        <v>0.64</v>
      </c>
      <c r="BF63" s="2" t="str">
        <f t="shared" si="20"/>
        <v>D</v>
      </c>
      <c r="BG63" s="135">
        <v>0</v>
      </c>
      <c r="BH63" s="135">
        <f>IF($AQ63="","",VLOOKUP($B63, '2022 counts'!$B$6:$T$304,19,FALSE))</f>
        <v>0</v>
      </c>
      <c r="BI63" s="38">
        <f t="shared" si="21"/>
        <v>0.01</v>
      </c>
      <c r="BJ63" s="39" t="str">
        <f t="shared" si="22"/>
        <v>minimum</v>
      </c>
      <c r="BK63" s="15">
        <f>VLOOKUP($U63,'2020_CapacityTable'!$B$49:$F$71,2)</f>
        <v>0</v>
      </c>
      <c r="BL63" s="15">
        <f>VLOOKUP($U63,'2020_CapacityTable'!$B$49:$F$71,3)</f>
        <v>14500</v>
      </c>
      <c r="BM63" s="15">
        <f>VLOOKUP($T63,'2020_CapacityTable'!$B$49:$F$71,4)</f>
        <v>32400</v>
      </c>
      <c r="BN63" s="15">
        <f>VLOOKUP($T63,'2020_CapacityTable'!$B$49:$F$71,5)</f>
        <v>33800</v>
      </c>
      <c r="BO63" s="15">
        <f t="shared" si="23"/>
        <v>0</v>
      </c>
      <c r="BP63" s="15">
        <f t="shared" si="24"/>
        <v>13050</v>
      </c>
      <c r="BQ63" s="15">
        <f t="shared" si="25"/>
        <v>29160</v>
      </c>
      <c r="BR63" s="15">
        <f t="shared" si="26"/>
        <v>30420</v>
      </c>
      <c r="BS63" s="3">
        <f t="shared" si="147"/>
        <v>29160</v>
      </c>
      <c r="BT63" s="40">
        <f>'State of the System - Sumter Co'!AD63</f>
        <v>19738</v>
      </c>
      <c r="BU63" s="41">
        <f t="shared" si="28"/>
        <v>0.68</v>
      </c>
      <c r="BV63" s="2" t="str">
        <f t="shared" si="29"/>
        <v>D</v>
      </c>
      <c r="BW63" s="2">
        <f t="shared" si="30"/>
        <v>2.58</v>
      </c>
      <c r="BX63" s="15">
        <f>VLOOKUP($U63,'2020_CapacityTable'!$B$23:$F$45,2)</f>
        <v>0</v>
      </c>
      <c r="BY63" s="15">
        <f>VLOOKUP($U63,'2020_CapacityTable'!$B$23:$F$45,3)</f>
        <v>730</v>
      </c>
      <c r="BZ63" s="15">
        <f>VLOOKUP($U63,'2020_CapacityTable'!$B$23:$F$45,4)</f>
        <v>1630</v>
      </c>
      <c r="CA63" s="15">
        <f>VLOOKUP($U63,'2020_CapacityTable'!$B$23:$F$45,5)</f>
        <v>1700</v>
      </c>
      <c r="CB63" s="15">
        <f t="shared" si="31"/>
        <v>0</v>
      </c>
      <c r="CC63" s="15">
        <f t="shared" si="32"/>
        <v>657</v>
      </c>
      <c r="CD63" s="15">
        <f t="shared" si="33"/>
        <v>1467</v>
      </c>
      <c r="CE63" s="15">
        <f t="shared" si="34"/>
        <v>1530</v>
      </c>
      <c r="CF63" s="3">
        <f t="shared" si="148"/>
        <v>1467</v>
      </c>
      <c r="CG63" s="2">
        <f>'State of the System - Sumter Co'!AH63</f>
        <v>988</v>
      </c>
      <c r="CH63" s="2">
        <f>'State of the System - Sumter Co'!AI63</f>
        <v>942</v>
      </c>
      <c r="CI63" s="11">
        <f t="shared" si="36"/>
        <v>0.67</v>
      </c>
      <c r="CJ63" s="2" t="str">
        <f t="shared" si="149"/>
        <v>D</v>
      </c>
      <c r="CK63" s="3">
        <f t="shared" si="51"/>
        <v>32854</v>
      </c>
      <c r="CL63" s="11">
        <f t="shared" si="38"/>
        <v>0.6</v>
      </c>
      <c r="CM63" s="11" t="str">
        <f t="shared" si="39"/>
        <v>NOT CONGESTED</v>
      </c>
      <c r="CN63" s="3">
        <f t="shared" si="40"/>
        <v>1652</v>
      </c>
      <c r="CO63" s="11">
        <f t="shared" si="41"/>
        <v>0.6</v>
      </c>
      <c r="CP63" s="156" t="str">
        <f t="shared" si="150"/>
        <v>NOT CONGESTED</v>
      </c>
      <c r="CQ63" s="3"/>
      <c r="CR63" s="3"/>
      <c r="CS63" s="11" t="str">
        <f t="shared" si="43"/>
        <v/>
      </c>
      <c r="CT63" s="11" t="str">
        <f t="shared" si="151"/>
        <v/>
      </c>
      <c r="CU63" s="11" t="str">
        <f t="shared" si="52"/>
        <v/>
      </c>
      <c r="CV63" s="11" t="str">
        <f t="shared" si="45"/>
        <v/>
      </c>
      <c r="CW63" s="3"/>
      <c r="CX63" s="1"/>
      <c r="CY63" s="145" t="str">
        <f t="shared" si="46"/>
        <v/>
      </c>
      <c r="CZ63" s="32" t="str">
        <f t="shared" si="47"/>
        <v/>
      </c>
    </row>
    <row r="64" spans="1:104" s="9" customFormat="1" ht="12.75" customHeight="1">
      <c r="A64" s="1">
        <v>3301000</v>
      </c>
      <c r="B64" s="1">
        <f t="shared" si="48"/>
        <v>111</v>
      </c>
      <c r="C64" s="1">
        <v>281</v>
      </c>
      <c r="D64" s="1">
        <f>VLOOKUP(C64,'2022 counts'!$A$6:$B$304,2,FALSE)</f>
        <v>111</v>
      </c>
      <c r="E64" s="1"/>
      <c r="F64" s="2" t="s">
        <v>6</v>
      </c>
      <c r="G64" s="156">
        <v>45</v>
      </c>
      <c r="H64" s="11">
        <v>0.73467287664900005</v>
      </c>
      <c r="I64" s="10" t="s">
        <v>695</v>
      </c>
      <c r="J64" s="10" t="s">
        <v>730</v>
      </c>
      <c r="K64" s="10" t="s">
        <v>728</v>
      </c>
      <c r="L64" s="157">
        <v>2</v>
      </c>
      <c r="M64" s="1">
        <f>'State of the System - Sumter Co'!K64</f>
        <v>2</v>
      </c>
      <c r="N64" s="1" t="str">
        <f>IF('State of the System - Sumter Co'!L64="URBAN","U","R")</f>
        <v>U</v>
      </c>
      <c r="O64" s="1" t="str">
        <f>IF('State of the System - Sumter Co'!M64="UNDIVIDED","U",IF('State of the System - Sumter Co'!M64="DIVIDED","D","F"))</f>
        <v>U</v>
      </c>
      <c r="P64" s="1" t="str">
        <f>'State of the System - Sumter Co'!N64</f>
        <v>INTERRUPTED</v>
      </c>
      <c r="Q64" s="1" t="str">
        <f t="shared" si="0"/>
        <v/>
      </c>
      <c r="R64" s="1" t="str">
        <f>'State of the System - Sumter Co'!O64</f>
        <v/>
      </c>
      <c r="S64" s="1" t="str">
        <f t="shared" si="144"/>
        <v>-1</v>
      </c>
      <c r="T64" s="1" t="str">
        <f t="shared" si="2"/>
        <v>U-2U-1</v>
      </c>
      <c r="U64" s="1" t="str">
        <f t="shared" si="155"/>
        <v>U-2U-1</v>
      </c>
      <c r="V64" s="1" t="s">
        <v>10</v>
      </c>
      <c r="W64" s="1" t="s">
        <v>11</v>
      </c>
      <c r="X64" s="1" t="s">
        <v>21</v>
      </c>
      <c r="Y64" s="1" t="str">
        <f>'State of the System - Sumter Co'!R64</f>
        <v>D</v>
      </c>
      <c r="Z64" s="157" t="str">
        <f t="shared" si="4"/>
        <v>Other CMP Network Roadways</v>
      </c>
      <c r="AA64" s="15">
        <f>VLOOKUP($T64,'2020_CapacityTable'!$B$49:$F$71,2)</f>
        <v>0</v>
      </c>
      <c r="AB64" s="15">
        <f>VLOOKUP($T64,'2020_CapacityTable'!$B$49:$F$71,3)</f>
        <v>16800</v>
      </c>
      <c r="AC64" s="15">
        <f>VLOOKUP($T64,'2020_CapacityTable'!$B$49:$F$71,4)</f>
        <v>17700</v>
      </c>
      <c r="AD64" s="15">
        <f>VLOOKUP($T64,'2020_CapacityTable'!$B$49:$F$71,5)</f>
        <v>17700</v>
      </c>
      <c r="AE64" s="35">
        <f t="shared" si="145"/>
        <v>-0.1</v>
      </c>
      <c r="AF64" s="36" t="str">
        <f t="shared" si="6"/>
        <v/>
      </c>
      <c r="AG64" s="35">
        <v>-0.2</v>
      </c>
      <c r="AH64" s="35" t="str">
        <f t="shared" si="154"/>
        <v/>
      </c>
      <c r="AI64" s="35"/>
      <c r="AJ64" s="36"/>
      <c r="AK64" s="15">
        <f t="shared" si="8"/>
        <v>0</v>
      </c>
      <c r="AL64" s="15">
        <f t="shared" si="9"/>
        <v>11760</v>
      </c>
      <c r="AM64" s="15">
        <f t="shared" si="10"/>
        <v>12390</v>
      </c>
      <c r="AN64" s="15">
        <f t="shared" si="11"/>
        <v>12390</v>
      </c>
      <c r="AO64" s="3">
        <f t="shared" si="152"/>
        <v>12390</v>
      </c>
      <c r="AP64" s="138">
        <f>VLOOKUP($B64,'2022 counts'!$B$6:$R$304,17,FALSE)</f>
        <v>5016</v>
      </c>
      <c r="AQ64" s="11">
        <f t="shared" si="12"/>
        <v>0.4</v>
      </c>
      <c r="AR64" s="2" t="str">
        <f t="shared" si="13"/>
        <v>C</v>
      </c>
      <c r="AS64" s="26">
        <f t="shared" si="50"/>
        <v>1.35</v>
      </c>
      <c r="AT64" s="15">
        <f>VLOOKUP($T64,'2020_CapacityTable'!$B$23:$F$45,2)</f>
        <v>0</v>
      </c>
      <c r="AU64" s="15">
        <f>VLOOKUP($T64,'2020_CapacityTable'!$B$23:$F$45,3)</f>
        <v>830</v>
      </c>
      <c r="AV64" s="15">
        <f>VLOOKUP($T64,'2020_CapacityTable'!$B$23:$F$45,4)</f>
        <v>880</v>
      </c>
      <c r="AW64" s="15">
        <f>VLOOKUP($T64,'2020_CapacityTable'!$B$23:$F$45,5)</f>
        <v>880</v>
      </c>
      <c r="AX64" s="15">
        <f t="shared" si="14"/>
        <v>0</v>
      </c>
      <c r="AY64" s="15">
        <f t="shared" si="15"/>
        <v>581</v>
      </c>
      <c r="AZ64" s="15">
        <f t="shared" si="16"/>
        <v>616</v>
      </c>
      <c r="BA64" s="15">
        <f t="shared" si="17"/>
        <v>616</v>
      </c>
      <c r="BB64" s="3">
        <f t="shared" si="146"/>
        <v>616</v>
      </c>
      <c r="BC64" s="138">
        <f>VLOOKUP($B64,'2022 counts'!$B$6:$AD$304,28,FALSE)</f>
        <v>198</v>
      </c>
      <c r="BD64" s="138">
        <f>VLOOKUP($B64,'2022 counts'!$B$6:$AD$304,29,FALSE)</f>
        <v>218</v>
      </c>
      <c r="BE64" s="11">
        <f t="shared" si="19"/>
        <v>0.35</v>
      </c>
      <c r="BF64" s="2" t="str">
        <f t="shared" si="20"/>
        <v>C</v>
      </c>
      <c r="BG64" s="135">
        <v>0.02</v>
      </c>
      <c r="BH64" s="135">
        <f>IF($AQ64="","",VLOOKUP($B64, '2022 counts'!$B$6:$T$304,19,FALSE))</f>
        <v>0.02</v>
      </c>
      <c r="BI64" s="38">
        <f t="shared" si="21"/>
        <v>0.02</v>
      </c>
      <c r="BJ64" s="39" t="str">
        <f t="shared" si="22"/>
        <v/>
      </c>
      <c r="BK64" s="15">
        <f>VLOOKUP($U64,'2020_CapacityTable'!$B$49:$F$71,2)</f>
        <v>0</v>
      </c>
      <c r="BL64" s="15">
        <f>VLOOKUP($U64,'2020_CapacityTable'!$B$49:$F$71,3)</f>
        <v>16800</v>
      </c>
      <c r="BM64" s="15">
        <f>VLOOKUP($T64,'2020_CapacityTable'!$B$49:$F$71,4)</f>
        <v>17700</v>
      </c>
      <c r="BN64" s="15">
        <f>VLOOKUP($T64,'2020_CapacityTable'!$B$49:$F$71,5)</f>
        <v>17700</v>
      </c>
      <c r="BO64" s="15">
        <f t="shared" si="23"/>
        <v>0</v>
      </c>
      <c r="BP64" s="15">
        <f t="shared" si="24"/>
        <v>11760</v>
      </c>
      <c r="BQ64" s="15">
        <f t="shared" si="25"/>
        <v>12390</v>
      </c>
      <c r="BR64" s="15">
        <f t="shared" si="26"/>
        <v>12390</v>
      </c>
      <c r="BS64" s="3">
        <f t="shared" si="147"/>
        <v>12390</v>
      </c>
      <c r="BT64" s="40">
        <f>'State of the System - Sumter Co'!AD64</f>
        <v>5538</v>
      </c>
      <c r="BU64" s="41">
        <f t="shared" si="28"/>
        <v>0.45</v>
      </c>
      <c r="BV64" s="2" t="str">
        <f t="shared" si="29"/>
        <v>C</v>
      </c>
      <c r="BW64" s="2">
        <f t="shared" si="30"/>
        <v>1.49</v>
      </c>
      <c r="BX64" s="15">
        <f>VLOOKUP($U64,'2020_CapacityTable'!$B$23:$F$45,2)</f>
        <v>0</v>
      </c>
      <c r="BY64" s="15">
        <f>VLOOKUP($U64,'2020_CapacityTable'!$B$23:$F$45,3)</f>
        <v>830</v>
      </c>
      <c r="BZ64" s="15">
        <f>VLOOKUP($U64,'2020_CapacityTable'!$B$23:$F$45,4)</f>
        <v>880</v>
      </c>
      <c r="CA64" s="15">
        <f>VLOOKUP($U64,'2020_CapacityTable'!$B$23:$F$45,5)</f>
        <v>880</v>
      </c>
      <c r="CB64" s="15">
        <f t="shared" si="31"/>
        <v>0</v>
      </c>
      <c r="CC64" s="15">
        <f t="shared" si="32"/>
        <v>581</v>
      </c>
      <c r="CD64" s="15">
        <f t="shared" si="33"/>
        <v>616</v>
      </c>
      <c r="CE64" s="15">
        <f t="shared" si="34"/>
        <v>616</v>
      </c>
      <c r="CF64" s="3">
        <f t="shared" si="148"/>
        <v>616</v>
      </c>
      <c r="CG64" s="2">
        <f>'State of the System - Sumter Co'!AH64</f>
        <v>219</v>
      </c>
      <c r="CH64" s="2">
        <f>'State of the System - Sumter Co'!AI64</f>
        <v>241</v>
      </c>
      <c r="CI64" s="11">
        <f t="shared" si="36"/>
        <v>0.39</v>
      </c>
      <c r="CJ64" s="2" t="str">
        <f t="shared" si="149"/>
        <v>C</v>
      </c>
      <c r="CK64" s="3">
        <f t="shared" si="51"/>
        <v>13381</v>
      </c>
      <c r="CL64" s="11">
        <f t="shared" si="38"/>
        <v>0.41</v>
      </c>
      <c r="CM64" s="11" t="str">
        <f t="shared" si="39"/>
        <v>NOT CONGESTED</v>
      </c>
      <c r="CN64" s="3">
        <f t="shared" si="40"/>
        <v>665</v>
      </c>
      <c r="CO64" s="11">
        <f t="shared" si="41"/>
        <v>0.36</v>
      </c>
      <c r="CP64" s="156" t="str">
        <f t="shared" si="150"/>
        <v>NOT CONGESTED</v>
      </c>
      <c r="CQ64" s="2"/>
      <c r="CR64" s="42"/>
      <c r="CS64" s="11" t="str">
        <f t="shared" si="43"/>
        <v/>
      </c>
      <c r="CT64" s="11" t="str">
        <f t="shared" si="151"/>
        <v/>
      </c>
      <c r="CU64" s="11" t="str">
        <f t="shared" si="52"/>
        <v/>
      </c>
      <c r="CV64" s="11" t="str">
        <f t="shared" si="45"/>
        <v/>
      </c>
      <c r="CW64" s="3"/>
      <c r="CX64" s="1"/>
      <c r="CY64" s="145" t="str">
        <f t="shared" si="46"/>
        <v/>
      </c>
      <c r="CZ64" s="32" t="str">
        <f t="shared" si="47"/>
        <v/>
      </c>
    </row>
    <row r="65" spans="1:104" s="9" customFormat="1" ht="12.75" customHeight="1">
      <c r="A65" s="1">
        <v>3525100</v>
      </c>
      <c r="B65" s="1">
        <f t="shared" si="48"/>
        <v>48</v>
      </c>
      <c r="C65" s="1">
        <v>75</v>
      </c>
      <c r="D65" s="1">
        <f>VLOOKUP(C65,'2022 counts'!$A$6:$B$304,2,FALSE)</f>
        <v>48</v>
      </c>
      <c r="E65" s="1"/>
      <c r="F65" s="2" t="s">
        <v>6</v>
      </c>
      <c r="G65" s="156">
        <v>55</v>
      </c>
      <c r="H65" s="11">
        <v>1.0323122335399999</v>
      </c>
      <c r="I65" s="10" t="s">
        <v>731</v>
      </c>
      <c r="J65" s="10" t="s">
        <v>23</v>
      </c>
      <c r="K65" s="10" t="s">
        <v>714</v>
      </c>
      <c r="L65" s="157">
        <v>2</v>
      </c>
      <c r="M65" s="1">
        <f>'State of the System - Sumter Co'!K65</f>
        <v>2</v>
      </c>
      <c r="N65" s="1" t="str">
        <f>IF('State of the System - Sumter Co'!L65="URBAN","U","R")</f>
        <v>U</v>
      </c>
      <c r="O65" s="1" t="str">
        <f>IF('State of the System - Sumter Co'!M65="UNDIVIDED","U",IF('State of the System - Sumter Co'!M65="DIVIDED","D","F"))</f>
        <v>U</v>
      </c>
      <c r="P65" s="1" t="str">
        <f>'State of the System - Sumter Co'!N65</f>
        <v>UNINTERRUPTED</v>
      </c>
      <c r="Q65" s="1" t="str">
        <f t="shared" si="0"/>
        <v/>
      </c>
      <c r="R65" s="1" t="str">
        <f>'State of the System - Sumter Co'!O65</f>
        <v/>
      </c>
      <c r="S65" s="1" t="str">
        <f t="shared" si="144"/>
        <v>-x</v>
      </c>
      <c r="T65" s="1" t="str">
        <f t="shared" si="2"/>
        <v>U-2U-x</v>
      </c>
      <c r="U65" s="1" t="str">
        <f t="shared" si="155"/>
        <v>U-2U-x</v>
      </c>
      <c r="V65" s="1" t="s">
        <v>10</v>
      </c>
      <c r="W65" s="1" t="s">
        <v>11</v>
      </c>
      <c r="X65" s="1" t="s">
        <v>21</v>
      </c>
      <c r="Y65" s="1" t="str">
        <f>'State of the System - Sumter Co'!R65</f>
        <v>D</v>
      </c>
      <c r="Z65" s="157" t="str">
        <f t="shared" si="4"/>
        <v>Other CMP Network Roadways</v>
      </c>
      <c r="AA65" s="15">
        <f>VLOOKUP($T65,'2020_CapacityTable'!$B$49:$F$71,2)</f>
        <v>11700</v>
      </c>
      <c r="AB65" s="15">
        <f>VLOOKUP($T65,'2020_CapacityTable'!$B$49:$F$71,3)</f>
        <v>18000</v>
      </c>
      <c r="AC65" s="15">
        <f>VLOOKUP($T65,'2020_CapacityTable'!$B$49:$F$71,4)</f>
        <v>24200</v>
      </c>
      <c r="AD65" s="15">
        <f>VLOOKUP($T65,'2020_CapacityTable'!$B$49:$F$71,5)</f>
        <v>32600</v>
      </c>
      <c r="AE65" s="35"/>
      <c r="AF65" s="36" t="str">
        <f t="shared" si="6"/>
        <v/>
      </c>
      <c r="AG65" s="35"/>
      <c r="AH65" s="35" t="str">
        <f t="shared" si="154"/>
        <v/>
      </c>
      <c r="AI65" s="35"/>
      <c r="AJ65" s="36"/>
      <c r="AK65" s="15">
        <f t="shared" si="8"/>
        <v>11700</v>
      </c>
      <c r="AL65" s="15">
        <f t="shared" si="9"/>
        <v>18000</v>
      </c>
      <c r="AM65" s="15">
        <f t="shared" si="10"/>
        <v>24200</v>
      </c>
      <c r="AN65" s="15">
        <f t="shared" si="11"/>
        <v>32600</v>
      </c>
      <c r="AO65" s="3">
        <f t="shared" si="152"/>
        <v>24200</v>
      </c>
      <c r="AP65" s="138">
        <f>VLOOKUP($B65,'2022 counts'!$B$6:$R$304,17,FALSE)</f>
        <v>5588</v>
      </c>
      <c r="AQ65" s="11">
        <f t="shared" si="12"/>
        <v>0.23</v>
      </c>
      <c r="AR65" s="2" t="str">
        <f t="shared" si="13"/>
        <v>B</v>
      </c>
      <c r="AS65" s="26">
        <f t="shared" si="50"/>
        <v>2.11</v>
      </c>
      <c r="AT65" s="15">
        <f>VLOOKUP($T65,'2020_CapacityTable'!$B$23:$F$45,2)</f>
        <v>580</v>
      </c>
      <c r="AU65" s="15">
        <f>VLOOKUP($T65,'2020_CapacityTable'!$B$23:$F$45,3)</f>
        <v>890</v>
      </c>
      <c r="AV65" s="15">
        <f>VLOOKUP($T65,'2020_CapacityTable'!$B$23:$F$45,4)</f>
        <v>1200</v>
      </c>
      <c r="AW65" s="15">
        <f>VLOOKUP($T65,'2020_CapacityTable'!$B$23:$F$45,5)</f>
        <v>1610</v>
      </c>
      <c r="AX65" s="15">
        <f t="shared" si="14"/>
        <v>580</v>
      </c>
      <c r="AY65" s="15">
        <f t="shared" si="15"/>
        <v>890</v>
      </c>
      <c r="AZ65" s="15">
        <f t="shared" si="16"/>
        <v>1200</v>
      </c>
      <c r="BA65" s="15">
        <f t="shared" si="17"/>
        <v>1610</v>
      </c>
      <c r="BB65" s="3">
        <f t="shared" si="146"/>
        <v>1200</v>
      </c>
      <c r="BC65" s="138">
        <f>VLOOKUP($B65,'2022 counts'!$B$6:$AD$304,28,FALSE)</f>
        <v>239</v>
      </c>
      <c r="BD65" s="138">
        <f>VLOOKUP($B65,'2022 counts'!$B$6:$AD$304,29,FALSE)</f>
        <v>319</v>
      </c>
      <c r="BE65" s="11">
        <f t="shared" si="19"/>
        <v>0.27</v>
      </c>
      <c r="BF65" s="2" t="str">
        <f t="shared" si="20"/>
        <v>B</v>
      </c>
      <c r="BG65" s="135">
        <v>4.2500000000000003E-2</v>
      </c>
      <c r="BH65" s="135">
        <f>IF($AQ65="","",VLOOKUP($B65, '2022 counts'!$B$6:$T$304,19,FALSE))</f>
        <v>4.2500000000000003E-2</v>
      </c>
      <c r="BI65" s="38">
        <f t="shared" si="21"/>
        <v>4.2500000000000003E-2</v>
      </c>
      <c r="BJ65" s="39" t="str">
        <f t="shared" si="22"/>
        <v/>
      </c>
      <c r="BK65" s="15">
        <f>VLOOKUP($U65,'2020_CapacityTable'!$B$49:$F$71,2)</f>
        <v>11700</v>
      </c>
      <c r="BL65" s="15">
        <f>VLOOKUP($U65,'2020_CapacityTable'!$B$49:$F$71,3)</f>
        <v>18000</v>
      </c>
      <c r="BM65" s="15">
        <f>VLOOKUP($T65,'2020_CapacityTable'!$B$49:$F$71,4)</f>
        <v>24200</v>
      </c>
      <c r="BN65" s="15">
        <f>VLOOKUP($T65,'2020_CapacityTable'!$B$49:$F$71,5)</f>
        <v>32600</v>
      </c>
      <c r="BO65" s="15">
        <f t="shared" si="23"/>
        <v>11700</v>
      </c>
      <c r="BP65" s="15">
        <f t="shared" si="24"/>
        <v>18000</v>
      </c>
      <c r="BQ65" s="15">
        <f t="shared" si="25"/>
        <v>24200</v>
      </c>
      <c r="BR65" s="15">
        <f t="shared" si="26"/>
        <v>32600</v>
      </c>
      <c r="BS65" s="3">
        <f t="shared" si="147"/>
        <v>24200</v>
      </c>
      <c r="BT65" s="40">
        <f>'State of the System - Sumter Co'!AD65</f>
        <v>6881</v>
      </c>
      <c r="BU65" s="41">
        <f t="shared" si="28"/>
        <v>0.28000000000000003</v>
      </c>
      <c r="BV65" s="2" t="str">
        <f t="shared" si="29"/>
        <v>B</v>
      </c>
      <c r="BW65" s="2">
        <f t="shared" si="30"/>
        <v>2.59</v>
      </c>
      <c r="BX65" s="15">
        <f>VLOOKUP($U65,'2020_CapacityTable'!$B$23:$F$45,2)</f>
        <v>580</v>
      </c>
      <c r="BY65" s="15">
        <f>VLOOKUP($U65,'2020_CapacityTable'!$B$23:$F$45,3)</f>
        <v>890</v>
      </c>
      <c r="BZ65" s="15">
        <f>VLOOKUP($U65,'2020_CapacityTable'!$B$23:$F$45,4)</f>
        <v>1200</v>
      </c>
      <c r="CA65" s="15">
        <f>VLOOKUP($U65,'2020_CapacityTable'!$B$23:$F$45,5)</f>
        <v>1610</v>
      </c>
      <c r="CB65" s="15">
        <f t="shared" si="31"/>
        <v>580</v>
      </c>
      <c r="CC65" s="15">
        <f t="shared" si="32"/>
        <v>890</v>
      </c>
      <c r="CD65" s="15">
        <f t="shared" si="33"/>
        <v>1200</v>
      </c>
      <c r="CE65" s="15">
        <f t="shared" si="34"/>
        <v>1610</v>
      </c>
      <c r="CF65" s="3">
        <f t="shared" si="148"/>
        <v>1200</v>
      </c>
      <c r="CG65" s="2">
        <f>'State of the System - Sumter Co'!AH65</f>
        <v>294</v>
      </c>
      <c r="CH65" s="2">
        <f>'State of the System - Sumter Co'!AI65</f>
        <v>393</v>
      </c>
      <c r="CI65" s="11">
        <f t="shared" si="36"/>
        <v>0.33</v>
      </c>
      <c r="CJ65" s="2" t="str">
        <f t="shared" si="149"/>
        <v>B</v>
      </c>
      <c r="CK65" s="3">
        <f t="shared" si="51"/>
        <v>35208</v>
      </c>
      <c r="CL65" s="11">
        <f t="shared" si="38"/>
        <v>0.2</v>
      </c>
      <c r="CM65" s="11" t="str">
        <f t="shared" si="39"/>
        <v>NOT CONGESTED</v>
      </c>
      <c r="CN65" s="3">
        <f t="shared" si="40"/>
        <v>1739</v>
      </c>
      <c r="CO65" s="11">
        <f t="shared" si="41"/>
        <v>0.23</v>
      </c>
      <c r="CP65" s="156" t="str">
        <f t="shared" si="150"/>
        <v>NOT CONGESTED</v>
      </c>
      <c r="CQ65" s="3"/>
      <c r="CR65" s="3"/>
      <c r="CS65" s="11" t="str">
        <f t="shared" si="43"/>
        <v/>
      </c>
      <c r="CT65" s="11" t="str">
        <f t="shared" si="151"/>
        <v/>
      </c>
      <c r="CU65" s="11" t="str">
        <f t="shared" si="52"/>
        <v/>
      </c>
      <c r="CV65" s="11" t="str">
        <f t="shared" si="45"/>
        <v/>
      </c>
      <c r="CW65" s="3"/>
      <c r="CX65" s="1"/>
      <c r="CY65" s="145" t="str">
        <f t="shared" si="46"/>
        <v/>
      </c>
      <c r="CZ65" s="32" t="str">
        <f t="shared" si="47"/>
        <v/>
      </c>
    </row>
    <row r="66" spans="1:104" s="9" customFormat="1" ht="12.75" customHeight="1">
      <c r="A66" s="1">
        <v>3525110</v>
      </c>
      <c r="B66" s="1" t="str">
        <f t="shared" si="48"/>
        <v>2020-76</v>
      </c>
      <c r="C66" s="1">
        <v>76</v>
      </c>
      <c r="D66" s="1" t="str">
        <f>VLOOKUP(C66,'2022 counts'!$A$6:$B$304,2,FALSE)</f>
        <v>2020-76</v>
      </c>
      <c r="E66" s="1"/>
      <c r="F66" s="3" t="s">
        <v>6</v>
      </c>
      <c r="G66" s="156">
        <v>50</v>
      </c>
      <c r="H66" s="11">
        <v>3.1757488454999998</v>
      </c>
      <c r="I66" s="10" t="s">
        <v>731</v>
      </c>
      <c r="J66" s="10" t="s">
        <v>714</v>
      </c>
      <c r="K66" s="10" t="s">
        <v>716</v>
      </c>
      <c r="L66" s="157">
        <v>2</v>
      </c>
      <c r="M66" s="1">
        <f>'State of the System - Sumter Co'!K66</f>
        <v>2</v>
      </c>
      <c r="N66" s="1" t="str">
        <f>IF('State of the System - Sumter Co'!L66="URBAN","U","R")</f>
        <v>U</v>
      </c>
      <c r="O66" s="1" t="str">
        <f>IF('State of the System - Sumter Co'!M66="UNDIVIDED","U",IF('State of the System - Sumter Co'!M66="DIVIDED","D","F"))</f>
        <v>U</v>
      </c>
      <c r="P66" s="1" t="str">
        <f>'State of the System - Sumter Co'!N66</f>
        <v>UNINTERRUPTED</v>
      </c>
      <c r="Q66" s="1" t="str">
        <f t="shared" si="0"/>
        <v/>
      </c>
      <c r="R66" s="1" t="str">
        <f>'State of the System - Sumter Co'!O66</f>
        <v/>
      </c>
      <c r="S66" s="1" t="str">
        <f t="shared" si="144"/>
        <v>-x</v>
      </c>
      <c r="T66" s="1" t="str">
        <f t="shared" si="2"/>
        <v>U-2U-x</v>
      </c>
      <c r="U66" s="1" t="str">
        <f t="shared" si="155"/>
        <v>U-2U-x</v>
      </c>
      <c r="V66" s="1" t="s">
        <v>10</v>
      </c>
      <c r="W66" s="1" t="s">
        <v>11</v>
      </c>
      <c r="X66" s="1" t="s">
        <v>21</v>
      </c>
      <c r="Y66" s="1" t="str">
        <f>'State of the System - Sumter Co'!R66</f>
        <v>D</v>
      </c>
      <c r="Z66" s="157" t="str">
        <f t="shared" si="4"/>
        <v>Other CMP Network Roadways</v>
      </c>
      <c r="AA66" s="15">
        <f>VLOOKUP($T66,'2020_CapacityTable'!$B$49:$F$71,2)</f>
        <v>11700</v>
      </c>
      <c r="AB66" s="15">
        <f>VLOOKUP($T66,'2020_CapacityTable'!$B$49:$F$71,3)</f>
        <v>18000</v>
      </c>
      <c r="AC66" s="15">
        <f>VLOOKUP($T66,'2020_CapacityTable'!$B$49:$F$71,4)</f>
        <v>24200</v>
      </c>
      <c r="AD66" s="15">
        <f>VLOOKUP($T66,'2020_CapacityTable'!$B$49:$F$71,5)</f>
        <v>32600</v>
      </c>
      <c r="AE66" s="35"/>
      <c r="AF66" s="36" t="str">
        <f t="shared" si="6"/>
        <v/>
      </c>
      <c r="AG66" s="35"/>
      <c r="AH66" s="35" t="str">
        <f t="shared" si="154"/>
        <v/>
      </c>
      <c r="AI66" s="35"/>
      <c r="AJ66" s="36"/>
      <c r="AK66" s="15">
        <f t="shared" si="8"/>
        <v>11700</v>
      </c>
      <c r="AL66" s="15">
        <f t="shared" si="9"/>
        <v>18000</v>
      </c>
      <c r="AM66" s="15">
        <f t="shared" si="10"/>
        <v>24200</v>
      </c>
      <c r="AN66" s="15">
        <f t="shared" si="11"/>
        <v>32600</v>
      </c>
      <c r="AO66" s="3">
        <f t="shared" si="152"/>
        <v>24200</v>
      </c>
      <c r="AP66" s="138">
        <f>VLOOKUP($B66,'2022 counts'!$B$6:$R$304,17,FALSE)</f>
        <v>6242.2600000000093</v>
      </c>
      <c r="AQ66" s="11">
        <f t="shared" si="12"/>
        <v>0.26</v>
      </c>
      <c r="AR66" s="2" t="str">
        <f t="shared" si="13"/>
        <v>B</v>
      </c>
      <c r="AS66" s="26">
        <f t="shared" si="50"/>
        <v>7.24</v>
      </c>
      <c r="AT66" s="15">
        <f>VLOOKUP($T66,'2020_CapacityTable'!$B$23:$F$45,2)</f>
        <v>580</v>
      </c>
      <c r="AU66" s="15">
        <f>VLOOKUP($T66,'2020_CapacityTable'!$B$23:$F$45,3)</f>
        <v>890</v>
      </c>
      <c r="AV66" s="15">
        <f>VLOOKUP($T66,'2020_CapacityTable'!$B$23:$F$45,4)</f>
        <v>1200</v>
      </c>
      <c r="AW66" s="15">
        <f>VLOOKUP($T66,'2020_CapacityTable'!$B$23:$F$45,5)</f>
        <v>1610</v>
      </c>
      <c r="AX66" s="15">
        <f t="shared" si="14"/>
        <v>580</v>
      </c>
      <c r="AY66" s="15">
        <f t="shared" si="15"/>
        <v>890</v>
      </c>
      <c r="AZ66" s="15">
        <f t="shared" si="16"/>
        <v>1200</v>
      </c>
      <c r="BA66" s="15">
        <f t="shared" si="17"/>
        <v>1610</v>
      </c>
      <c r="BB66" s="3">
        <f t="shared" si="146"/>
        <v>1200</v>
      </c>
      <c r="BC66" s="138">
        <f>VLOOKUP($B66,'2022 counts'!$B$6:$AD$304,28,FALSE)</f>
        <v>350</v>
      </c>
      <c r="BD66" s="138">
        <f>VLOOKUP($B66,'2022 counts'!$B$6:$AD$304,29,FALSE)</f>
        <v>173</v>
      </c>
      <c r="BE66" s="11">
        <f t="shared" si="19"/>
        <v>0.28999999999999998</v>
      </c>
      <c r="BF66" s="2" t="str">
        <f t="shared" si="20"/>
        <v>B</v>
      </c>
      <c r="BG66" s="135">
        <v>7.4999999999999997E-2</v>
      </c>
      <c r="BH66" s="135">
        <f>IF($AQ66="","",VLOOKUP($B66, '2022 counts'!$B$6:$T$304,19,FALSE))</f>
        <v>7.4999999999999997E-2</v>
      </c>
      <c r="BI66" s="38">
        <f t="shared" si="21"/>
        <v>7.4999999999999997E-2</v>
      </c>
      <c r="BJ66" s="39" t="str">
        <f t="shared" si="22"/>
        <v/>
      </c>
      <c r="BK66" s="15">
        <f>VLOOKUP($U66,'2020_CapacityTable'!$B$49:$F$71,2)</f>
        <v>11700</v>
      </c>
      <c r="BL66" s="15">
        <f>VLOOKUP($U66,'2020_CapacityTable'!$B$49:$F$71,3)</f>
        <v>18000</v>
      </c>
      <c r="BM66" s="15">
        <f>VLOOKUP($T66,'2020_CapacityTable'!$B$49:$F$71,4)</f>
        <v>24200</v>
      </c>
      <c r="BN66" s="15">
        <f>VLOOKUP($T66,'2020_CapacityTable'!$B$49:$F$71,5)</f>
        <v>32600</v>
      </c>
      <c r="BO66" s="15">
        <f t="shared" si="23"/>
        <v>11700</v>
      </c>
      <c r="BP66" s="15">
        <f t="shared" si="24"/>
        <v>18000</v>
      </c>
      <c r="BQ66" s="15">
        <f t="shared" si="25"/>
        <v>24200</v>
      </c>
      <c r="BR66" s="15">
        <f t="shared" si="26"/>
        <v>32600</v>
      </c>
      <c r="BS66" s="3">
        <f t="shared" si="147"/>
        <v>24200</v>
      </c>
      <c r="BT66" s="40">
        <f>'State of the System - Sumter Co'!AD66</f>
        <v>8962</v>
      </c>
      <c r="BU66" s="41">
        <f t="shared" si="28"/>
        <v>0.37</v>
      </c>
      <c r="BV66" s="2" t="str">
        <f t="shared" si="29"/>
        <v>B</v>
      </c>
      <c r="BW66" s="2">
        <f t="shared" si="30"/>
        <v>10.39</v>
      </c>
      <c r="BX66" s="15">
        <f>VLOOKUP($U66,'2020_CapacityTable'!$B$23:$F$45,2)</f>
        <v>580</v>
      </c>
      <c r="BY66" s="15">
        <f>VLOOKUP($U66,'2020_CapacityTable'!$B$23:$F$45,3)</f>
        <v>890</v>
      </c>
      <c r="BZ66" s="15">
        <f>VLOOKUP($U66,'2020_CapacityTable'!$B$23:$F$45,4)</f>
        <v>1200</v>
      </c>
      <c r="CA66" s="15">
        <f>VLOOKUP($U66,'2020_CapacityTable'!$B$23:$F$45,5)</f>
        <v>1610</v>
      </c>
      <c r="CB66" s="15">
        <f t="shared" si="31"/>
        <v>580</v>
      </c>
      <c r="CC66" s="15">
        <f t="shared" si="32"/>
        <v>890</v>
      </c>
      <c r="CD66" s="15">
        <f t="shared" si="33"/>
        <v>1200</v>
      </c>
      <c r="CE66" s="15">
        <f t="shared" si="34"/>
        <v>1610</v>
      </c>
      <c r="CF66" s="3">
        <f t="shared" si="148"/>
        <v>1200</v>
      </c>
      <c r="CG66" s="2">
        <f>'State of the System - Sumter Co'!AH66</f>
        <v>502</v>
      </c>
      <c r="CH66" s="2">
        <f>'State of the System - Sumter Co'!AI66</f>
        <v>248</v>
      </c>
      <c r="CI66" s="11">
        <f t="shared" si="36"/>
        <v>0.42</v>
      </c>
      <c r="CJ66" s="2" t="str">
        <f t="shared" si="149"/>
        <v>B</v>
      </c>
      <c r="CK66" s="3">
        <f t="shared" si="51"/>
        <v>35208</v>
      </c>
      <c r="CL66" s="11">
        <f t="shared" si="38"/>
        <v>0.25</v>
      </c>
      <c r="CM66" s="11" t="str">
        <f t="shared" si="39"/>
        <v>NOT CONGESTED</v>
      </c>
      <c r="CN66" s="3">
        <f t="shared" si="40"/>
        <v>1739</v>
      </c>
      <c r="CO66" s="11">
        <f t="shared" si="41"/>
        <v>0.28999999999999998</v>
      </c>
      <c r="CP66" s="156" t="str">
        <f t="shared" si="150"/>
        <v>NOT CONGESTED</v>
      </c>
      <c r="CQ66" s="3"/>
      <c r="CR66" s="3"/>
      <c r="CS66" s="11" t="str">
        <f t="shared" si="43"/>
        <v/>
      </c>
      <c r="CT66" s="11" t="str">
        <f t="shared" si="151"/>
        <v/>
      </c>
      <c r="CU66" s="11" t="str">
        <f t="shared" si="52"/>
        <v/>
      </c>
      <c r="CV66" s="11" t="str">
        <f t="shared" si="45"/>
        <v/>
      </c>
      <c r="CW66" s="3"/>
      <c r="CX66" s="1"/>
      <c r="CY66" s="145" t="str">
        <f t="shared" si="46"/>
        <v/>
      </c>
      <c r="CZ66" s="32" t="str">
        <f t="shared" si="47"/>
        <v/>
      </c>
    </row>
    <row r="67" spans="1:104" s="9" customFormat="1" ht="12.75" customHeight="1">
      <c r="A67" s="1">
        <v>3526000</v>
      </c>
      <c r="B67" s="1">
        <f t="shared" si="48"/>
        <v>45</v>
      </c>
      <c r="C67" s="1">
        <v>65</v>
      </c>
      <c r="D67" s="1">
        <f>VLOOKUP(C67,'2022 counts'!$A$6:$B$304,2,FALSE)</f>
        <v>45</v>
      </c>
      <c r="E67" s="1"/>
      <c r="F67" s="2" t="s">
        <v>6</v>
      </c>
      <c r="G67" s="156">
        <v>55</v>
      </c>
      <c r="H67" s="11">
        <v>4.44738237416</v>
      </c>
      <c r="I67" s="10" t="s">
        <v>733</v>
      </c>
      <c r="J67" s="10" t="s">
        <v>23</v>
      </c>
      <c r="K67" s="10" t="s">
        <v>68</v>
      </c>
      <c r="L67" s="157">
        <v>2</v>
      </c>
      <c r="M67" s="1">
        <f>'State of the System - Sumter Co'!K67</f>
        <v>2</v>
      </c>
      <c r="N67" s="1" t="str">
        <f>IF('State of the System - Sumter Co'!L67="URBAN","U","R")</f>
        <v>R</v>
      </c>
      <c r="O67" s="1" t="str">
        <f>IF('State of the System - Sumter Co'!M67="UNDIVIDED","U",IF('State of the System - Sumter Co'!M67="DIVIDED","D","F"))</f>
        <v>U</v>
      </c>
      <c r="P67" s="1" t="str">
        <f>'State of the System - Sumter Co'!N67</f>
        <v>UNINTERRUPTED</v>
      </c>
      <c r="Q67" s="1" t="str">
        <f t="shared" si="0"/>
        <v>z</v>
      </c>
      <c r="R67" s="1" t="str">
        <f>'State of the System - Sumter Co'!O67</f>
        <v>UNDEVELOPED</v>
      </c>
      <c r="S67" s="1" t="str">
        <f t="shared" si="144"/>
        <v/>
      </c>
      <c r="T67" s="1" t="str">
        <f t="shared" si="2"/>
        <v>R-2Uz</v>
      </c>
      <c r="U67" s="1" t="str">
        <f t="shared" si="155"/>
        <v>R-2Uz</v>
      </c>
      <c r="V67" s="1" t="s">
        <v>10</v>
      </c>
      <c r="W67" s="1" t="s">
        <v>11</v>
      </c>
      <c r="X67" s="1" t="s">
        <v>69</v>
      </c>
      <c r="Y67" s="1" t="str">
        <f>'State of the System - Sumter Co'!R67</f>
        <v>C</v>
      </c>
      <c r="Z67" s="157" t="str">
        <f t="shared" si="4"/>
        <v>Other CMP Network Roadways</v>
      </c>
      <c r="AA67" s="15">
        <f>VLOOKUP($T67,'2020_CapacityTable'!$B$49:$F$71,2)</f>
        <v>4600</v>
      </c>
      <c r="AB67" s="15">
        <f>VLOOKUP($T67,'2020_CapacityTable'!$B$49:$F$71,3)</f>
        <v>8600</v>
      </c>
      <c r="AC67" s="15">
        <f>VLOOKUP($T67,'2020_CapacityTable'!$B$49:$F$71,4)</f>
        <v>14000</v>
      </c>
      <c r="AD67" s="15">
        <f>VLOOKUP($T67,'2020_CapacityTable'!$B$49:$F$71,5)</f>
        <v>28500</v>
      </c>
      <c r="AE67" s="35"/>
      <c r="AF67" s="36" t="str">
        <f t="shared" si="6"/>
        <v/>
      </c>
      <c r="AG67" s="35" t="str">
        <f>IF(AND(L67=2,P67="interrupted",O67="U"),"LOOK","")</f>
        <v/>
      </c>
      <c r="AH67" s="35" t="str">
        <f t="shared" si="154"/>
        <v/>
      </c>
      <c r="AI67" s="35"/>
      <c r="AJ67" s="36"/>
      <c r="AK67" s="15">
        <f t="shared" si="8"/>
        <v>4600</v>
      </c>
      <c r="AL67" s="15">
        <f t="shared" si="9"/>
        <v>8600</v>
      </c>
      <c r="AM67" s="15">
        <f t="shared" si="10"/>
        <v>14000</v>
      </c>
      <c r="AN67" s="15">
        <f t="shared" si="11"/>
        <v>28500</v>
      </c>
      <c r="AO67" s="3">
        <f t="shared" si="152"/>
        <v>8600</v>
      </c>
      <c r="AP67" s="138">
        <f>VLOOKUP($B67,'2022 counts'!$B$6:$R$304,17,FALSE)</f>
        <v>3592</v>
      </c>
      <c r="AQ67" s="11">
        <f t="shared" si="12"/>
        <v>0.42</v>
      </c>
      <c r="AR67" s="2" t="str">
        <f t="shared" si="13"/>
        <v>B</v>
      </c>
      <c r="AS67" s="26">
        <f t="shared" si="50"/>
        <v>5.83</v>
      </c>
      <c r="AT67" s="15">
        <f>VLOOKUP($T67,'2020_CapacityTable'!$B$23:$F$45,2)</f>
        <v>240</v>
      </c>
      <c r="AU67" s="15">
        <f>VLOOKUP($T67,'2020_CapacityTable'!$B$23:$F$45,3)</f>
        <v>450</v>
      </c>
      <c r="AV67" s="15">
        <f>VLOOKUP($T67,'2020_CapacityTable'!$B$23:$F$45,4)</f>
        <v>730</v>
      </c>
      <c r="AW67" s="15">
        <f>VLOOKUP($T67,'2020_CapacityTable'!$B$23:$F$45,5)</f>
        <v>1490</v>
      </c>
      <c r="AX67" s="15">
        <f t="shared" si="14"/>
        <v>240</v>
      </c>
      <c r="AY67" s="15">
        <f t="shared" si="15"/>
        <v>450</v>
      </c>
      <c r="AZ67" s="15">
        <f t="shared" si="16"/>
        <v>730</v>
      </c>
      <c r="BA67" s="15">
        <f t="shared" si="17"/>
        <v>1490</v>
      </c>
      <c r="BB67" s="3">
        <f t="shared" si="146"/>
        <v>450</v>
      </c>
      <c r="BC67" s="138">
        <f>VLOOKUP($B67,'2022 counts'!$B$6:$AD$304,28,FALSE)</f>
        <v>177</v>
      </c>
      <c r="BD67" s="138">
        <f>VLOOKUP($B67,'2022 counts'!$B$6:$AD$304,29,FALSE)</f>
        <v>183</v>
      </c>
      <c r="BE67" s="11">
        <f t="shared" si="19"/>
        <v>0.41</v>
      </c>
      <c r="BF67" s="2" t="str">
        <f t="shared" si="20"/>
        <v>B</v>
      </c>
      <c r="BG67" s="135">
        <v>5.5E-2</v>
      </c>
      <c r="BH67" s="135">
        <f>IF($AQ67="","",VLOOKUP($B67, '2022 counts'!$B$6:$T$304,19,FALSE))</f>
        <v>5.5E-2</v>
      </c>
      <c r="BI67" s="38">
        <f t="shared" si="21"/>
        <v>5.5E-2</v>
      </c>
      <c r="BJ67" s="39" t="str">
        <f t="shared" si="22"/>
        <v/>
      </c>
      <c r="BK67" s="15">
        <f>VLOOKUP($U67,'2020_CapacityTable'!$B$49:$F$71,2)</f>
        <v>4600</v>
      </c>
      <c r="BL67" s="15">
        <f>VLOOKUP($U67,'2020_CapacityTable'!$B$49:$F$71,3)</f>
        <v>8600</v>
      </c>
      <c r="BM67" s="15">
        <f>VLOOKUP($T67,'2020_CapacityTable'!$B$49:$F$71,4)</f>
        <v>14000</v>
      </c>
      <c r="BN67" s="15">
        <f>VLOOKUP($T67,'2020_CapacityTable'!$B$49:$F$71,5)</f>
        <v>28500</v>
      </c>
      <c r="BO67" s="15">
        <f t="shared" si="23"/>
        <v>4600</v>
      </c>
      <c r="BP67" s="15">
        <f t="shared" si="24"/>
        <v>8600</v>
      </c>
      <c r="BQ67" s="15">
        <f t="shared" si="25"/>
        <v>14000</v>
      </c>
      <c r="BR67" s="15">
        <f t="shared" si="26"/>
        <v>28500</v>
      </c>
      <c r="BS67" s="3">
        <f t="shared" si="147"/>
        <v>8600</v>
      </c>
      <c r="BT67" s="40">
        <f>'State of the System - Sumter Co'!AD67</f>
        <v>4695</v>
      </c>
      <c r="BU67" s="41">
        <f t="shared" si="28"/>
        <v>0.55000000000000004</v>
      </c>
      <c r="BV67" s="2" t="str">
        <f t="shared" si="29"/>
        <v>C</v>
      </c>
      <c r="BW67" s="2">
        <f t="shared" si="30"/>
        <v>7.62</v>
      </c>
      <c r="BX67" s="15">
        <f>VLOOKUP($U67,'2020_CapacityTable'!$B$23:$F$45,2)</f>
        <v>240</v>
      </c>
      <c r="BY67" s="15">
        <f>VLOOKUP($U67,'2020_CapacityTable'!$B$23:$F$45,3)</f>
        <v>450</v>
      </c>
      <c r="BZ67" s="15">
        <f>VLOOKUP($U67,'2020_CapacityTable'!$B$23:$F$45,4)</f>
        <v>730</v>
      </c>
      <c r="CA67" s="15">
        <f>VLOOKUP($U67,'2020_CapacityTable'!$B$23:$F$45,5)</f>
        <v>1490</v>
      </c>
      <c r="CB67" s="15">
        <f t="shared" si="31"/>
        <v>240</v>
      </c>
      <c r="CC67" s="15">
        <f t="shared" si="32"/>
        <v>450</v>
      </c>
      <c r="CD67" s="15">
        <f t="shared" si="33"/>
        <v>730</v>
      </c>
      <c r="CE67" s="15">
        <f t="shared" si="34"/>
        <v>1490</v>
      </c>
      <c r="CF67" s="3">
        <f t="shared" si="148"/>
        <v>450</v>
      </c>
      <c r="CG67" s="2">
        <f>'State of the System - Sumter Co'!AH67</f>
        <v>231</v>
      </c>
      <c r="CH67" s="2">
        <f>'State of the System - Sumter Co'!AI67</f>
        <v>239</v>
      </c>
      <c r="CI67" s="11">
        <f t="shared" si="36"/>
        <v>0.53</v>
      </c>
      <c r="CJ67" s="2" t="str">
        <f t="shared" si="149"/>
        <v>B</v>
      </c>
      <c r="CK67" s="3">
        <f t="shared" si="51"/>
        <v>30780</v>
      </c>
      <c r="CL67" s="11">
        <f t="shared" si="38"/>
        <v>0.15</v>
      </c>
      <c r="CM67" s="11" t="str">
        <f t="shared" si="39"/>
        <v>NOT CONGESTED</v>
      </c>
      <c r="CN67" s="3">
        <f t="shared" si="40"/>
        <v>1609</v>
      </c>
      <c r="CO67" s="11">
        <f t="shared" si="41"/>
        <v>0.15</v>
      </c>
      <c r="CP67" s="156" t="str">
        <f t="shared" si="150"/>
        <v>NOT CONGESTED</v>
      </c>
      <c r="CQ67" s="2"/>
      <c r="CR67" s="2"/>
      <c r="CS67" s="11" t="str">
        <f t="shared" si="43"/>
        <v/>
      </c>
      <c r="CT67" s="11" t="str">
        <f t="shared" si="151"/>
        <v/>
      </c>
      <c r="CU67" s="11" t="str">
        <f t="shared" si="52"/>
        <v/>
      </c>
      <c r="CV67" s="11" t="str">
        <f t="shared" si="45"/>
        <v/>
      </c>
      <c r="CW67" s="3"/>
      <c r="CX67" s="1"/>
      <c r="CY67" s="145" t="str">
        <f t="shared" si="46"/>
        <v/>
      </c>
      <c r="CZ67" s="32" t="str">
        <f t="shared" si="47"/>
        <v/>
      </c>
    </row>
    <row r="68" spans="1:104" s="9" customFormat="1" ht="12.75" customHeight="1">
      <c r="A68" s="1">
        <v>3528120</v>
      </c>
      <c r="B68" s="1">
        <f t="shared" si="48"/>
        <v>15</v>
      </c>
      <c r="C68" s="1">
        <v>1120</v>
      </c>
      <c r="D68" s="1">
        <f>VLOOKUP(C68,'2022 counts'!$A$6:$B$304,2,FALSE)</f>
        <v>15</v>
      </c>
      <c r="E68" s="1"/>
      <c r="F68" s="2" t="s">
        <v>25</v>
      </c>
      <c r="G68" s="156">
        <v>35</v>
      </c>
      <c r="H68" s="11">
        <v>1.4659597868800001</v>
      </c>
      <c r="I68" s="10" t="s">
        <v>712</v>
      </c>
      <c r="J68" s="10" t="s">
        <v>40</v>
      </c>
      <c r="K68" s="10" t="s">
        <v>41</v>
      </c>
      <c r="L68" s="157">
        <v>2</v>
      </c>
      <c r="M68" s="1">
        <f>'State of the System - Sumter Co'!K68</f>
        <v>2</v>
      </c>
      <c r="N68" s="1" t="str">
        <f>IF('State of the System - Sumter Co'!L68="URBAN","U","R")</f>
        <v>U</v>
      </c>
      <c r="O68" s="1" t="str">
        <f>IF('State of the System - Sumter Co'!M68="UNDIVIDED","U",IF('State of the System - Sumter Co'!M68="DIVIDED","D","F"))</f>
        <v>U</v>
      </c>
      <c r="P68" s="1" t="str">
        <f>'State of the System - Sumter Co'!N68</f>
        <v>INTERRUPTED</v>
      </c>
      <c r="Q68" s="1" t="str">
        <f t="shared" ref="Q68:Q131" si="156">IF(AND(N68="R",O68="U",P68="interrupted"),"x",IF(AND(N68="R",R68="undeveloped"),"z",IF(AND(N68="R",R68="developed"),"y","")))</f>
        <v/>
      </c>
      <c r="R68" s="1" t="str">
        <f>'State of the System - Sumter Co'!O68</f>
        <v/>
      </c>
      <c r="S68" s="1" t="str">
        <f t="shared" ref="S68:S99" si="157">IF(N68="r","",IF(P68="interrupted",IF(G68&lt;37.5,"-2","-1"),"-x"))</f>
        <v>-2</v>
      </c>
      <c r="T68" s="1" t="str">
        <f t="shared" ref="T68:T131" si="158">CONCATENATE(N68,"-",L68,O68,S68,Q68)</f>
        <v>U-2U-2</v>
      </c>
      <c r="U68" s="1" t="str">
        <f t="shared" si="155"/>
        <v>U-2U-2</v>
      </c>
      <c r="V68" s="1" t="s">
        <v>10</v>
      </c>
      <c r="W68" s="1" t="s">
        <v>25</v>
      </c>
      <c r="X68" s="1" t="s">
        <v>21</v>
      </c>
      <c r="Y68" s="1" t="str">
        <f>'State of the System - Sumter Co'!R68</f>
        <v>D</v>
      </c>
      <c r="Z68" s="157" t="str">
        <f t="shared" ref="Z68:Z131" si="159">IF(AND(V68="STATE",X68="FREEWAY"),"NHS Interstate",IF(V68="STATE","NHS Non-Interstate","Other CMP Network Roadways"))</f>
        <v>Other CMP Network Roadways</v>
      </c>
      <c r="AA68" s="15">
        <f>VLOOKUP($T68,'2020_CapacityTable'!$B$49:$F$71,2)</f>
        <v>0</v>
      </c>
      <c r="AB68" s="15">
        <f>VLOOKUP($T68,'2020_CapacityTable'!$B$49:$F$71,3)</f>
        <v>7300</v>
      </c>
      <c r="AC68" s="15">
        <f>VLOOKUP($T68,'2020_CapacityTable'!$B$49:$F$71,4)</f>
        <v>14800</v>
      </c>
      <c r="AD68" s="15">
        <f>VLOOKUP($T68,'2020_CapacityTable'!$B$49:$F$71,5)</f>
        <v>15600</v>
      </c>
      <c r="AE68" s="35">
        <f>IF(V68&lt;&gt;"STATE",-10%,"")</f>
        <v>-0.1</v>
      </c>
      <c r="AF68" s="36" t="str">
        <f t="shared" ref="AF68:AF131" si="160">IF($L68=2,IF($O68="D",5%,""),"")</f>
        <v/>
      </c>
      <c r="AG68" s="35"/>
      <c r="AH68" s="35" t="str">
        <f t="shared" si="154"/>
        <v/>
      </c>
      <c r="AI68" s="35"/>
      <c r="AJ68" s="36"/>
      <c r="AK68" s="15">
        <f t="shared" ref="AK68:AK131" si="161">ROUND(AA68*(1+SUM($AE68:$AJ68)),0)</f>
        <v>0</v>
      </c>
      <c r="AL68" s="15">
        <f t="shared" ref="AL68:AL131" si="162">ROUND(AB68*(1+SUM($AE68:$AJ68)),0)</f>
        <v>6570</v>
      </c>
      <c r="AM68" s="15">
        <f t="shared" ref="AM68:AM131" si="163">ROUND(AC68*(1+SUM($AE68:$AJ68)),0)</f>
        <v>13320</v>
      </c>
      <c r="AN68" s="15">
        <f t="shared" ref="AN68:AN131" si="164">ROUND(AD68*(1+SUM($AE68:$AJ68)),0)</f>
        <v>14040</v>
      </c>
      <c r="AO68" s="3">
        <f t="shared" si="152"/>
        <v>13320</v>
      </c>
      <c r="AP68" s="138">
        <f>VLOOKUP($B68,'2022 counts'!$B$6:$R$304,17,FALSE)</f>
        <v>3462</v>
      </c>
      <c r="AQ68" s="11">
        <f t="shared" ref="AQ68:AQ131" si="165">IF(AND(AP68="-"),"",ROUND(AP68/AO68,2))</f>
        <v>0.26</v>
      </c>
      <c r="AR68" s="2" t="str">
        <f t="shared" ref="AR68:AR131" si="166">IF(AQ68="","",IF(AP68&lt;=$AK68,"B",IF(AP68&lt;=$AL68,"C",IF(AP68&lt;=$AM68,"D",IF(AP68&lt;=$AN68,"E","F")))))</f>
        <v>C</v>
      </c>
      <c r="AS68" s="26">
        <f t="shared" ref="AS68:AS131" si="167">IF(AP68="-","",ROUND(AP68*H68*365/1000000,2))</f>
        <v>1.85</v>
      </c>
      <c r="AT68" s="15">
        <f>VLOOKUP($T68,'2020_CapacityTable'!$B$23:$F$45,2)</f>
        <v>0</v>
      </c>
      <c r="AU68" s="15">
        <f>VLOOKUP($T68,'2020_CapacityTable'!$B$23:$F$45,3)</f>
        <v>370</v>
      </c>
      <c r="AV68" s="15">
        <f>VLOOKUP($T68,'2020_CapacityTable'!$B$23:$F$45,4)</f>
        <v>750</v>
      </c>
      <c r="AW68" s="15">
        <f>VLOOKUP($T68,'2020_CapacityTable'!$B$23:$F$45,5)</f>
        <v>800</v>
      </c>
      <c r="AX68" s="15">
        <f t="shared" ref="AX68:AX131" si="168">ROUND(AT68*(1+SUM($AE68:$AJ68)),0)</f>
        <v>0</v>
      </c>
      <c r="AY68" s="15">
        <f t="shared" ref="AY68:AY131" si="169">ROUND(AU68*(1+SUM($AE68:$AJ68)),0)</f>
        <v>333</v>
      </c>
      <c r="AZ68" s="15">
        <f t="shared" ref="AZ68:AZ131" si="170">ROUND(AV68*(1+SUM($AE68:$AJ68)),0)</f>
        <v>675</v>
      </c>
      <c r="BA68" s="15">
        <f t="shared" ref="BA68:BA131" si="171">ROUND(AW68*(1+SUM($AE68:$AJ68)),0)</f>
        <v>720</v>
      </c>
      <c r="BB68" s="3">
        <f t="shared" ref="BB68:BB90" si="172">IF(Y68="","",IF(Y68="B",AX68,IF(Y68="C",AY68,IF(Y68="D",AZ68,BA68))))</f>
        <v>675</v>
      </c>
      <c r="BC68" s="138">
        <f>VLOOKUP($B68,'2022 counts'!$B$6:$AD$304,28,FALSE)</f>
        <v>178</v>
      </c>
      <c r="BD68" s="138">
        <f>VLOOKUP($B68,'2022 counts'!$B$6:$AD$304,29,FALSE)</f>
        <v>144</v>
      </c>
      <c r="BE68" s="11">
        <f t="shared" ref="BE68:BE131" si="173">IF(AND(BC68="-",BD68="-"),"",ROUND(MAX(BC68,BD68)/BB68,2))</f>
        <v>0.26</v>
      </c>
      <c r="BF68" s="2" t="str">
        <f t="shared" ref="BF68:BF131" si="174">IF(BE68="","",IF(MAX(BC68,BD68)&lt;=$AX68,"B",IF(MAX(BC68,BD68)&lt;=$AY68,"C",IF(MAX(BC68,BD68)&lt;=$AZ68,"D",IF(MAX(BC68,BD68)&lt;=$BA68,"E","F")))))</f>
        <v>C</v>
      </c>
      <c r="BG68" s="135">
        <v>7.4999999999999997E-3</v>
      </c>
      <c r="BH68" s="135">
        <f>IF($AQ68="","",VLOOKUP($B68, '2022 counts'!$B$6:$T$304,19,FALSE))</f>
        <v>7.4999999999999997E-3</v>
      </c>
      <c r="BI68" s="38">
        <f t="shared" ref="BI68:BI131" si="175">IF(BG68=BH68,IF(BG68&gt;0.01,BG68,0.01),IF(BH68&gt;0.01,BH68,0.01))</f>
        <v>0.01</v>
      </c>
      <c r="BJ68" s="39" t="str">
        <f t="shared" ref="BJ68:BJ131" si="176">IF(BG68=BI68,"",IF(AND(BH68&lt;0.01,BG68&gt;0.01),"minimum, (1)",IF(BH68=BI68,"(1)",IF(AND(BI68=0.01,BG68&lt;0.01),"minimum","HELP"))))</f>
        <v>minimum</v>
      </c>
      <c r="BK68" s="15">
        <f>VLOOKUP($U68,'2020_CapacityTable'!$B$49:$F$71,2)</f>
        <v>0</v>
      </c>
      <c r="BL68" s="15">
        <f>VLOOKUP($U68,'2020_CapacityTable'!$B$49:$F$71,3)</f>
        <v>7300</v>
      </c>
      <c r="BM68" s="15">
        <f>VLOOKUP($T68,'2020_CapacityTable'!$B$49:$F$71,4)</f>
        <v>14800</v>
      </c>
      <c r="BN68" s="15">
        <f>VLOOKUP($T68,'2020_CapacityTable'!$B$49:$F$71,5)</f>
        <v>15600</v>
      </c>
      <c r="BO68" s="15">
        <f t="shared" ref="BO68:BO131" si="177">ROUND(BK68*(1+SUM($AE68:$AJ68)),0)</f>
        <v>0</v>
      </c>
      <c r="BP68" s="15">
        <f t="shared" ref="BP68:BP131" si="178">ROUND(BL68*(1+SUM($AE68:$AJ68)),0)</f>
        <v>6570</v>
      </c>
      <c r="BQ68" s="15">
        <f t="shared" ref="BQ68:BQ131" si="179">ROUND(BM68*(1+SUM($AE68:$AJ68)),0)</f>
        <v>13320</v>
      </c>
      <c r="BR68" s="15">
        <f t="shared" ref="BR68:BR131" si="180">ROUND(BN68*(1+SUM($AE68:$AJ68)),0)</f>
        <v>14040</v>
      </c>
      <c r="BS68" s="3">
        <f t="shared" ref="BS68:BS90" si="181">IF($Y68="","",IF($Y68="B",BO68,IF($Y68="C",BP68,IF($Y68="D",BQ68,BR68))))</f>
        <v>13320</v>
      </c>
      <c r="BT68" s="40">
        <f>'State of the System - Sumter Co'!AD68</f>
        <v>3639</v>
      </c>
      <c r="BU68" s="41">
        <f t="shared" ref="BU68:BU131" si="182">IF(BT68="-","",ROUND(BT68/BS68,2))</f>
        <v>0.27</v>
      </c>
      <c r="BV68" s="2" t="str">
        <f t="shared" ref="BV68:BV131" si="183">IF(BU68="","",IF(BT68&lt;=$BO68,"B",IF(BT68&lt;=$BP68,"C",IF(BT68&lt;=$BQ68,"D",IF(BT68&lt;=$BR68,"E","F")))))</f>
        <v>C</v>
      </c>
      <c r="BW68" s="2">
        <f t="shared" ref="BW68:BW131" si="184">IF(BT68="-","",ROUND(BT68*H68*365/1000000,2))</f>
        <v>1.95</v>
      </c>
      <c r="BX68" s="15">
        <f>VLOOKUP($U68,'2020_CapacityTable'!$B$23:$F$45,2)</f>
        <v>0</v>
      </c>
      <c r="BY68" s="15">
        <f>VLOOKUP($U68,'2020_CapacityTable'!$B$23:$F$45,3)</f>
        <v>370</v>
      </c>
      <c r="BZ68" s="15">
        <f>VLOOKUP($U68,'2020_CapacityTable'!$B$23:$F$45,4)</f>
        <v>750</v>
      </c>
      <c r="CA68" s="15">
        <f>VLOOKUP($U68,'2020_CapacityTable'!$B$23:$F$45,5)</f>
        <v>800</v>
      </c>
      <c r="CB68" s="15">
        <f t="shared" ref="CB68:CB131" si="185">ROUND(BX68*(1+SUM($AE68:$AJ68)),0)</f>
        <v>0</v>
      </c>
      <c r="CC68" s="15">
        <f t="shared" ref="CC68:CC131" si="186">ROUND(BY68*(1+SUM($AE68:$AJ68)),0)</f>
        <v>333</v>
      </c>
      <c r="CD68" s="15">
        <f t="shared" ref="CD68:CD131" si="187">ROUND(BZ68*(1+SUM($AE68:$AJ68)),0)</f>
        <v>675</v>
      </c>
      <c r="CE68" s="15">
        <f t="shared" ref="CE68:CE131" si="188">ROUND(CA68*(1+SUM($AE68:$AJ68)),0)</f>
        <v>720</v>
      </c>
      <c r="CF68" s="3">
        <f t="shared" ref="CF68:CF90" si="189">IF($Y68="","",IF($Y68="B",CB68,IF($Y68="C",CC68,IF($Y68="D",CD68,CE68))))</f>
        <v>675</v>
      </c>
      <c r="CG68" s="2">
        <f>'State of the System - Sumter Co'!AH68</f>
        <v>187</v>
      </c>
      <c r="CH68" s="2">
        <f>'State of the System - Sumter Co'!AI68</f>
        <v>151</v>
      </c>
      <c r="CI68" s="11">
        <f t="shared" ref="CI68:CI131" si="190">IF(AND(CG68="",CH68=""),"",ROUND(MAX(CG68,CH68)/CF68,2))</f>
        <v>0.28000000000000003</v>
      </c>
      <c r="CJ68" s="2" t="str">
        <f t="shared" ref="CJ68:CJ90" si="191">IF(OR(CI68="",CI68="-",CI68=0),"",IF(MAX(CG68,CH68)&lt;=$AX68,"B",IF(MAX(CG68,CH68)&lt;=$AY68,"C",IF(MAX(CG68,CH68)&lt;=$AZ68,"D",IF(MAX(CG68,CH68)&lt;=$BA68,"E","F")))))</f>
        <v>C</v>
      </c>
      <c r="CK68" s="3">
        <f t="shared" ref="CK68:CK131" si="192">ROUND(1.08*AN68,0)</f>
        <v>15163</v>
      </c>
      <c r="CL68" s="11">
        <f t="shared" ref="CL68:CL131" si="193">IF(BT68="-","",ROUND(BT68/CK68,2))</f>
        <v>0.24</v>
      </c>
      <c r="CM68" s="11" t="str">
        <f t="shared" ref="CM68:CM131" si="194">IF(CL68="","",IF(AP68&gt;CK68,"EXTREMELY (2020)",IF(CL68&gt;1,"EXTREMELY (2025)",IF(AQ68&gt;1,"CONGESTED (2020)",IF(BU68&gt;1,"CONGESTED (2025)",IF(OR(AQ68&gt;=0.9,BU68&gt;=0.9),"APPROACHING CONGESTION","NOT CONGESTED"))))))</f>
        <v>NOT CONGESTED</v>
      </c>
      <c r="CN68" s="3">
        <f t="shared" ref="CN68:CN131" si="195">ROUND(1.08*BA68,0)</f>
        <v>778</v>
      </c>
      <c r="CO68" s="11">
        <f t="shared" ref="CO68:CO131" si="196">IF(OR(AND(CG68="-",CH68="-"),AND(CG68="",CH68="")),"",ROUND(MAX(CG68,CH68)/CN68,2))</f>
        <v>0.24</v>
      </c>
      <c r="CP68" s="156" t="str">
        <f t="shared" ref="CP68:CP90" si="197">IF(OR(CO68="",CO68=0),"",IF(OR(BC68&gt;CN68,BD68&gt;CN68),"EXTREMELY (2020)",IF(CO68&gt;1,"EXTREMELY (2025)",IF(BE68&gt;1,"CONGESTED (2020)",IF(CI68&gt;1,"CONGESTED (2025)",IF(OR(BE68&gt;=0.9,CI68&gt;=0.9),"APPROACHING CONGESTION","NOT CONGESTED"))))))</f>
        <v>NOT CONGESTED</v>
      </c>
      <c r="CQ68" s="2"/>
      <c r="CR68" s="42"/>
      <c r="CS68" s="11" t="str">
        <f t="shared" ref="CS68:CS131" si="198">IF(OR(AP68="",AR68="",AQ68&lt;1),"",ROUND(H68,2))</f>
        <v/>
      </c>
      <c r="CT68" s="11" t="str">
        <f t="shared" ref="CT68:CT90" si="199">IF(OR(BT68="",BV68="",BU68&lt;1),"",ROUND(H68,2))</f>
        <v/>
      </c>
      <c r="CU68" s="11" t="str">
        <f t="shared" ref="CU68:CU131" si="200">IF(OR(AP68="",AR68="",AP68&lt;$CK68),"",ROUND($H68,2))</f>
        <v/>
      </c>
      <c r="CV68" s="11" t="str">
        <f t="shared" ref="CV68:CV131" si="201">IF(OR(AQ68="",AS68="",BT68&lt;$CK68),"",ROUND($H68,2))</f>
        <v/>
      </c>
      <c r="CW68" s="3" t="s">
        <v>586</v>
      </c>
      <c r="CX68" s="1"/>
      <c r="CY68" s="145" t="str">
        <f t="shared" ref="CY68:CY131" si="202">IF(OR(AP68="",AR68="",AQ68&lt;1),"",ROUND($H68*AP68*365/1000000,2))</f>
        <v/>
      </c>
      <c r="CZ68" s="32" t="str">
        <f t="shared" ref="CZ68:CZ131" si="203">IF(OR(BT68="",BV68="",BU68&lt;1),"",ROUND(BT68*$H68*365/1000000,2))</f>
        <v/>
      </c>
    </row>
    <row r="69" spans="1:104" s="9" customFormat="1" ht="12.75" customHeight="1">
      <c r="A69" s="1">
        <v>3529000</v>
      </c>
      <c r="B69" s="1">
        <f t="shared" ref="B69:B132" si="204">IF($D69="STATE",E69,D69)</f>
        <v>64</v>
      </c>
      <c r="C69" s="1">
        <v>95</v>
      </c>
      <c r="D69" s="1">
        <f>VLOOKUP(C69,'2022 counts'!$A$6:$B$304,2,FALSE)</f>
        <v>64</v>
      </c>
      <c r="E69" s="1"/>
      <c r="F69" s="3" t="s">
        <v>6</v>
      </c>
      <c r="G69" s="156">
        <v>55</v>
      </c>
      <c r="H69" s="11">
        <v>6.3939945183900004</v>
      </c>
      <c r="I69" s="10" t="s">
        <v>734</v>
      </c>
      <c r="J69" s="10" t="s">
        <v>62</v>
      </c>
      <c r="K69" s="10" t="s">
        <v>81</v>
      </c>
      <c r="L69" s="157">
        <v>2</v>
      </c>
      <c r="M69" s="1">
        <f>'State of the System - Sumter Co'!K69</f>
        <v>2</v>
      </c>
      <c r="N69" s="1" t="str">
        <f>IF('State of the System - Sumter Co'!L69="URBAN","U","R")</f>
        <v>U</v>
      </c>
      <c r="O69" s="1" t="str">
        <f>IF('State of the System - Sumter Co'!M69="UNDIVIDED","U",IF('State of the System - Sumter Co'!M69="DIVIDED","D","F"))</f>
        <v>U</v>
      </c>
      <c r="P69" s="1" t="str">
        <f>'State of the System - Sumter Co'!N69</f>
        <v>UNINTERRUPTED</v>
      </c>
      <c r="Q69" s="1" t="str">
        <f t="shared" si="156"/>
        <v/>
      </c>
      <c r="R69" s="1" t="str">
        <f>'State of the System - Sumter Co'!O69</f>
        <v/>
      </c>
      <c r="S69" s="1" t="str">
        <f t="shared" si="157"/>
        <v>-x</v>
      </c>
      <c r="T69" s="1" t="str">
        <f t="shared" si="158"/>
        <v>U-2U-x</v>
      </c>
      <c r="U69" s="1" t="str">
        <f t="shared" si="155"/>
        <v>U-2U-x</v>
      </c>
      <c r="V69" s="1" t="s">
        <v>10</v>
      </c>
      <c r="W69" s="1" t="s">
        <v>90</v>
      </c>
      <c r="X69" s="1" t="s">
        <v>21</v>
      </c>
      <c r="Y69" s="1" t="str">
        <f>'State of the System - Sumter Co'!R69</f>
        <v>D</v>
      </c>
      <c r="Z69" s="157" t="str">
        <f t="shared" si="159"/>
        <v>Other CMP Network Roadways</v>
      </c>
      <c r="AA69" s="15">
        <f>VLOOKUP($T69,'2020_CapacityTable'!$B$49:$F$71,2)</f>
        <v>11700</v>
      </c>
      <c r="AB69" s="15">
        <f>VLOOKUP($T69,'2020_CapacityTable'!$B$49:$F$71,3)</f>
        <v>18000</v>
      </c>
      <c r="AC69" s="15">
        <f>VLOOKUP($T69,'2020_CapacityTable'!$B$49:$F$71,4)</f>
        <v>24200</v>
      </c>
      <c r="AD69" s="15">
        <f>VLOOKUP($T69,'2020_CapacityTable'!$B$49:$F$71,5)</f>
        <v>32600</v>
      </c>
      <c r="AE69" s="35"/>
      <c r="AF69" s="36" t="str">
        <f t="shared" si="160"/>
        <v/>
      </c>
      <c r="AG69" s="35" t="str">
        <f>IF(AND(L69=2,P69="interrupted",O69="U"),"LOOK","")</f>
        <v/>
      </c>
      <c r="AH69" s="35" t="str">
        <f t="shared" si="154"/>
        <v/>
      </c>
      <c r="AI69" s="35"/>
      <c r="AJ69" s="36"/>
      <c r="AK69" s="15">
        <f t="shared" si="161"/>
        <v>11700</v>
      </c>
      <c r="AL69" s="15">
        <f t="shared" si="162"/>
        <v>18000</v>
      </c>
      <c r="AM69" s="15">
        <f t="shared" si="163"/>
        <v>24200</v>
      </c>
      <c r="AN69" s="15">
        <f t="shared" si="164"/>
        <v>32600</v>
      </c>
      <c r="AO69" s="3">
        <f t="shared" ref="AO69:AO90" si="205">IF(Y69="","",IF(Y69="B",AK69,IF(Y69="C",AL69,IF(Y69="D",AM69,AN69))))</f>
        <v>24200</v>
      </c>
      <c r="AP69" s="138">
        <f>VLOOKUP($B69,'2022 counts'!$B$6:$R$304,17,FALSE)</f>
        <v>801</v>
      </c>
      <c r="AQ69" s="11">
        <f t="shared" si="165"/>
        <v>0.03</v>
      </c>
      <c r="AR69" s="2" t="str">
        <f t="shared" si="166"/>
        <v>B</v>
      </c>
      <c r="AS69" s="26">
        <f t="shared" si="167"/>
        <v>1.87</v>
      </c>
      <c r="AT69" s="15">
        <f>VLOOKUP($T69,'2020_CapacityTable'!$B$23:$F$45,2)</f>
        <v>580</v>
      </c>
      <c r="AU69" s="15">
        <f>VLOOKUP($T69,'2020_CapacityTable'!$B$23:$F$45,3)</f>
        <v>890</v>
      </c>
      <c r="AV69" s="15">
        <f>VLOOKUP($T69,'2020_CapacityTable'!$B$23:$F$45,4)</f>
        <v>1200</v>
      </c>
      <c r="AW69" s="15">
        <f>VLOOKUP($T69,'2020_CapacityTable'!$B$23:$F$45,5)</f>
        <v>1610</v>
      </c>
      <c r="AX69" s="15">
        <f t="shared" si="168"/>
        <v>580</v>
      </c>
      <c r="AY69" s="15">
        <f t="shared" si="169"/>
        <v>890</v>
      </c>
      <c r="AZ69" s="15">
        <f t="shared" si="170"/>
        <v>1200</v>
      </c>
      <c r="BA69" s="15">
        <f t="shared" si="171"/>
        <v>1610</v>
      </c>
      <c r="BB69" s="3">
        <f t="shared" si="172"/>
        <v>1200</v>
      </c>
      <c r="BC69" s="138">
        <f>VLOOKUP($B69,'2022 counts'!$B$6:$AD$304,28,FALSE)</f>
        <v>34</v>
      </c>
      <c r="BD69" s="138">
        <f>VLOOKUP($B69,'2022 counts'!$B$6:$AD$304,29,FALSE)</f>
        <v>52</v>
      </c>
      <c r="BE69" s="11">
        <f t="shared" si="173"/>
        <v>0.04</v>
      </c>
      <c r="BF69" s="2" t="str">
        <f t="shared" si="174"/>
        <v>B</v>
      </c>
      <c r="BG69" s="135">
        <v>0</v>
      </c>
      <c r="BH69" s="135">
        <f>IF($AQ69="","",VLOOKUP($B69, '2022 counts'!$B$6:$T$304,19,FALSE))</f>
        <v>0</v>
      </c>
      <c r="BI69" s="38">
        <f t="shared" si="175"/>
        <v>0.01</v>
      </c>
      <c r="BJ69" s="39" t="str">
        <f t="shared" si="176"/>
        <v>minimum</v>
      </c>
      <c r="BK69" s="15">
        <f>VLOOKUP($U69,'2020_CapacityTable'!$B$49:$F$71,2)</f>
        <v>11700</v>
      </c>
      <c r="BL69" s="15">
        <f>VLOOKUP($U69,'2020_CapacityTable'!$B$49:$F$71,3)</f>
        <v>18000</v>
      </c>
      <c r="BM69" s="15">
        <f>VLOOKUP($T69,'2020_CapacityTable'!$B$49:$F$71,4)</f>
        <v>24200</v>
      </c>
      <c r="BN69" s="15">
        <f>VLOOKUP($T69,'2020_CapacityTable'!$B$49:$F$71,5)</f>
        <v>32600</v>
      </c>
      <c r="BO69" s="15">
        <f t="shared" si="177"/>
        <v>11700</v>
      </c>
      <c r="BP69" s="15">
        <f t="shared" si="178"/>
        <v>18000</v>
      </c>
      <c r="BQ69" s="15">
        <f t="shared" si="179"/>
        <v>24200</v>
      </c>
      <c r="BR69" s="15">
        <f t="shared" si="180"/>
        <v>32600</v>
      </c>
      <c r="BS69" s="3">
        <f t="shared" si="181"/>
        <v>24200</v>
      </c>
      <c r="BT69" s="40">
        <f>'State of the System - Sumter Co'!AD69</f>
        <v>842</v>
      </c>
      <c r="BU69" s="41">
        <f t="shared" si="182"/>
        <v>0.03</v>
      </c>
      <c r="BV69" s="2" t="str">
        <f t="shared" si="183"/>
        <v>B</v>
      </c>
      <c r="BW69" s="2">
        <f t="shared" si="184"/>
        <v>1.97</v>
      </c>
      <c r="BX69" s="15">
        <f>VLOOKUP($U69,'2020_CapacityTable'!$B$23:$F$45,2)</f>
        <v>580</v>
      </c>
      <c r="BY69" s="15">
        <f>VLOOKUP($U69,'2020_CapacityTable'!$B$23:$F$45,3)</f>
        <v>890</v>
      </c>
      <c r="BZ69" s="15">
        <f>VLOOKUP($U69,'2020_CapacityTable'!$B$23:$F$45,4)</f>
        <v>1200</v>
      </c>
      <c r="CA69" s="15">
        <f>VLOOKUP($U69,'2020_CapacityTable'!$B$23:$F$45,5)</f>
        <v>1610</v>
      </c>
      <c r="CB69" s="15">
        <f t="shared" si="185"/>
        <v>580</v>
      </c>
      <c r="CC69" s="15">
        <f t="shared" si="186"/>
        <v>890</v>
      </c>
      <c r="CD69" s="15">
        <f t="shared" si="187"/>
        <v>1200</v>
      </c>
      <c r="CE69" s="15">
        <f t="shared" si="188"/>
        <v>1610</v>
      </c>
      <c r="CF69" s="3">
        <f t="shared" si="189"/>
        <v>1200</v>
      </c>
      <c r="CG69" s="2">
        <f>'State of the System - Sumter Co'!AH69</f>
        <v>36</v>
      </c>
      <c r="CH69" s="2">
        <f>'State of the System - Sumter Co'!AI69</f>
        <v>55</v>
      </c>
      <c r="CI69" s="11">
        <f t="shared" si="190"/>
        <v>0.05</v>
      </c>
      <c r="CJ69" s="2" t="str">
        <f t="shared" si="191"/>
        <v>B</v>
      </c>
      <c r="CK69" s="3">
        <f t="shared" si="192"/>
        <v>35208</v>
      </c>
      <c r="CL69" s="11">
        <f t="shared" si="193"/>
        <v>0.02</v>
      </c>
      <c r="CM69" s="11" t="str">
        <f t="shared" si="194"/>
        <v>NOT CONGESTED</v>
      </c>
      <c r="CN69" s="3">
        <f t="shared" si="195"/>
        <v>1739</v>
      </c>
      <c r="CO69" s="11">
        <f t="shared" si="196"/>
        <v>0.03</v>
      </c>
      <c r="CP69" s="156" t="str">
        <f t="shared" si="197"/>
        <v>NOT CONGESTED</v>
      </c>
      <c r="CQ69" s="2"/>
      <c r="CR69" s="42"/>
      <c r="CS69" s="11" t="str">
        <f t="shared" si="198"/>
        <v/>
      </c>
      <c r="CT69" s="11" t="str">
        <f t="shared" si="199"/>
        <v/>
      </c>
      <c r="CU69" s="11" t="str">
        <f t="shared" si="200"/>
        <v/>
      </c>
      <c r="CV69" s="11" t="str">
        <f t="shared" si="201"/>
        <v/>
      </c>
      <c r="CW69" s="3"/>
      <c r="CX69" s="1"/>
      <c r="CY69" s="145" t="str">
        <f t="shared" si="202"/>
        <v/>
      </c>
      <c r="CZ69" s="32" t="str">
        <f t="shared" si="203"/>
        <v/>
      </c>
    </row>
    <row r="70" spans="1:104" s="9" customFormat="1" ht="12.75" customHeight="1">
      <c r="A70" s="1">
        <v>3530000</v>
      </c>
      <c r="B70" s="1">
        <f t="shared" si="204"/>
        <v>44</v>
      </c>
      <c r="C70" s="1">
        <v>64</v>
      </c>
      <c r="D70" s="1">
        <f>VLOOKUP(C70,'2022 counts'!$A$6:$B$304,2,FALSE)</f>
        <v>44</v>
      </c>
      <c r="E70" s="1"/>
      <c r="F70" s="2" t="s">
        <v>6</v>
      </c>
      <c r="G70" s="156">
        <v>45</v>
      </c>
      <c r="H70" s="11">
        <v>0.78886435571900004</v>
      </c>
      <c r="I70" s="10" t="s">
        <v>733</v>
      </c>
      <c r="J70" s="10" t="s">
        <v>68</v>
      </c>
      <c r="K70" s="10" t="s">
        <v>769</v>
      </c>
      <c r="L70" s="157">
        <v>2</v>
      </c>
      <c r="M70" s="1">
        <f>'State of the System - Sumter Co'!K70</f>
        <v>2</v>
      </c>
      <c r="N70" s="1" t="str">
        <f>IF('State of the System - Sumter Co'!L70="URBAN","U","R")</f>
        <v>U</v>
      </c>
      <c r="O70" s="1" t="str">
        <f>IF('State of the System - Sumter Co'!M70="UNDIVIDED","U",IF('State of the System - Sumter Co'!M70="DIVIDED","D","F"))</f>
        <v>U</v>
      </c>
      <c r="P70" s="1" t="str">
        <f>'State of the System - Sumter Co'!N70</f>
        <v>UNINTERRUPTED</v>
      </c>
      <c r="Q70" s="1" t="str">
        <f t="shared" si="156"/>
        <v/>
      </c>
      <c r="R70" s="1" t="str">
        <f>'State of the System - Sumter Co'!O70</f>
        <v/>
      </c>
      <c r="S70" s="1" t="str">
        <f t="shared" si="157"/>
        <v>-x</v>
      </c>
      <c r="T70" s="1" t="str">
        <f t="shared" si="158"/>
        <v>U-2U-x</v>
      </c>
      <c r="U70" s="1" t="str">
        <f t="shared" si="155"/>
        <v>U-2U-x</v>
      </c>
      <c r="V70" s="1" t="s">
        <v>10</v>
      </c>
      <c r="W70" s="1" t="s">
        <v>11</v>
      </c>
      <c r="X70" s="1" t="s">
        <v>69</v>
      </c>
      <c r="Y70" s="1" t="str">
        <f>'State of the System - Sumter Co'!R70</f>
        <v>D</v>
      </c>
      <c r="Z70" s="157" t="str">
        <f t="shared" si="159"/>
        <v>Other CMP Network Roadways</v>
      </c>
      <c r="AA70" s="15">
        <f>VLOOKUP($T70,'2020_CapacityTable'!$B$49:$F$71,2)</f>
        <v>11700</v>
      </c>
      <c r="AB70" s="15">
        <f>VLOOKUP($T70,'2020_CapacityTable'!$B$49:$F$71,3)</f>
        <v>18000</v>
      </c>
      <c r="AC70" s="15">
        <f>VLOOKUP($T70,'2020_CapacityTable'!$B$49:$F$71,4)</f>
        <v>24200</v>
      </c>
      <c r="AD70" s="15">
        <f>VLOOKUP($T70,'2020_CapacityTable'!$B$49:$F$71,5)</f>
        <v>32600</v>
      </c>
      <c r="AE70" s="35"/>
      <c r="AF70" s="36" t="str">
        <f t="shared" si="160"/>
        <v/>
      </c>
      <c r="AG70" s="35" t="str">
        <f>IF(AND(L70=2,P70="interrupted",O70="U"),"LOOK","")</f>
        <v/>
      </c>
      <c r="AH70" s="35" t="str">
        <f t="shared" si="154"/>
        <v/>
      </c>
      <c r="AI70" s="35"/>
      <c r="AJ70" s="36"/>
      <c r="AK70" s="15">
        <f t="shared" si="161"/>
        <v>11700</v>
      </c>
      <c r="AL70" s="15">
        <f t="shared" si="162"/>
        <v>18000</v>
      </c>
      <c r="AM70" s="15">
        <f t="shared" si="163"/>
        <v>24200</v>
      </c>
      <c r="AN70" s="15">
        <f t="shared" si="164"/>
        <v>32600</v>
      </c>
      <c r="AO70" s="3">
        <f t="shared" si="205"/>
        <v>24200</v>
      </c>
      <c r="AP70" s="138">
        <f>VLOOKUP($B70,'2022 counts'!$B$6:$R$304,17,FALSE)</f>
        <v>3990</v>
      </c>
      <c r="AQ70" s="11">
        <f t="shared" si="165"/>
        <v>0.16</v>
      </c>
      <c r="AR70" s="2" t="str">
        <f t="shared" si="166"/>
        <v>B</v>
      </c>
      <c r="AS70" s="26">
        <f t="shared" si="167"/>
        <v>1.1499999999999999</v>
      </c>
      <c r="AT70" s="15">
        <f>VLOOKUP($T70,'2020_CapacityTable'!$B$23:$F$45,2)</f>
        <v>580</v>
      </c>
      <c r="AU70" s="15">
        <f>VLOOKUP($T70,'2020_CapacityTable'!$B$23:$F$45,3)</f>
        <v>890</v>
      </c>
      <c r="AV70" s="15">
        <f>VLOOKUP($T70,'2020_CapacityTable'!$B$23:$F$45,4)</f>
        <v>1200</v>
      </c>
      <c r="AW70" s="15">
        <f>VLOOKUP($T70,'2020_CapacityTable'!$B$23:$F$45,5)</f>
        <v>1610</v>
      </c>
      <c r="AX70" s="15">
        <f t="shared" si="168"/>
        <v>580</v>
      </c>
      <c r="AY70" s="15">
        <f t="shared" si="169"/>
        <v>890</v>
      </c>
      <c r="AZ70" s="15">
        <f t="shared" si="170"/>
        <v>1200</v>
      </c>
      <c r="BA70" s="15">
        <f t="shared" si="171"/>
        <v>1610</v>
      </c>
      <c r="BB70" s="3">
        <f t="shared" si="172"/>
        <v>1200</v>
      </c>
      <c r="BC70" s="138">
        <f>VLOOKUP($B70,'2022 counts'!$B$6:$AD$304,28,FALSE)</f>
        <v>207</v>
      </c>
      <c r="BD70" s="138">
        <f>VLOOKUP($B70,'2022 counts'!$B$6:$AD$304,29,FALSE)</f>
        <v>168</v>
      </c>
      <c r="BE70" s="11">
        <f t="shared" si="173"/>
        <v>0.17</v>
      </c>
      <c r="BF70" s="2" t="str">
        <f t="shared" si="174"/>
        <v>B</v>
      </c>
      <c r="BG70" s="135">
        <v>7.4999999999999997E-3</v>
      </c>
      <c r="BH70" s="135">
        <f>IF($AQ70="","",VLOOKUP($B70, '2022 counts'!$B$6:$T$304,19,FALSE))</f>
        <v>7.4999999999999997E-3</v>
      </c>
      <c r="BI70" s="38">
        <f t="shared" si="175"/>
        <v>0.01</v>
      </c>
      <c r="BJ70" s="39" t="str">
        <f t="shared" si="176"/>
        <v>minimum</v>
      </c>
      <c r="BK70" s="15">
        <f>VLOOKUP($U70,'2020_CapacityTable'!$B$49:$F$71,2)</f>
        <v>11700</v>
      </c>
      <c r="BL70" s="15">
        <f>VLOOKUP($U70,'2020_CapacityTable'!$B$49:$F$71,3)</f>
        <v>18000</v>
      </c>
      <c r="BM70" s="15">
        <f>VLOOKUP($T70,'2020_CapacityTable'!$B$49:$F$71,4)</f>
        <v>24200</v>
      </c>
      <c r="BN70" s="15">
        <f>VLOOKUP($T70,'2020_CapacityTable'!$B$49:$F$71,5)</f>
        <v>32600</v>
      </c>
      <c r="BO70" s="15">
        <f t="shared" si="177"/>
        <v>11700</v>
      </c>
      <c r="BP70" s="15">
        <f t="shared" si="178"/>
        <v>18000</v>
      </c>
      <c r="BQ70" s="15">
        <f t="shared" si="179"/>
        <v>24200</v>
      </c>
      <c r="BR70" s="15">
        <f t="shared" si="180"/>
        <v>32600</v>
      </c>
      <c r="BS70" s="3">
        <f t="shared" si="181"/>
        <v>24200</v>
      </c>
      <c r="BT70" s="40">
        <f>'State of the System - Sumter Co'!AD70</f>
        <v>4194</v>
      </c>
      <c r="BU70" s="41">
        <f t="shared" si="182"/>
        <v>0.17</v>
      </c>
      <c r="BV70" s="2" t="str">
        <f t="shared" si="183"/>
        <v>B</v>
      </c>
      <c r="BW70" s="2">
        <f t="shared" si="184"/>
        <v>1.21</v>
      </c>
      <c r="BX70" s="15">
        <f>VLOOKUP($U70,'2020_CapacityTable'!$B$23:$F$45,2)</f>
        <v>580</v>
      </c>
      <c r="BY70" s="15">
        <f>VLOOKUP($U70,'2020_CapacityTable'!$B$23:$F$45,3)</f>
        <v>890</v>
      </c>
      <c r="BZ70" s="15">
        <f>VLOOKUP($U70,'2020_CapacityTable'!$B$23:$F$45,4)</f>
        <v>1200</v>
      </c>
      <c r="CA70" s="15">
        <f>VLOOKUP($U70,'2020_CapacityTable'!$B$23:$F$45,5)</f>
        <v>1610</v>
      </c>
      <c r="CB70" s="15">
        <f t="shared" si="185"/>
        <v>580</v>
      </c>
      <c r="CC70" s="15">
        <f t="shared" si="186"/>
        <v>890</v>
      </c>
      <c r="CD70" s="15">
        <f t="shared" si="187"/>
        <v>1200</v>
      </c>
      <c r="CE70" s="15">
        <f t="shared" si="188"/>
        <v>1610</v>
      </c>
      <c r="CF70" s="3">
        <f t="shared" si="189"/>
        <v>1200</v>
      </c>
      <c r="CG70" s="2">
        <f>'State of the System - Sumter Co'!AH70</f>
        <v>218</v>
      </c>
      <c r="CH70" s="2">
        <f>'State of the System - Sumter Co'!AI70</f>
        <v>177</v>
      </c>
      <c r="CI70" s="11">
        <f t="shared" si="190"/>
        <v>0.18</v>
      </c>
      <c r="CJ70" s="2" t="str">
        <f t="shared" si="191"/>
        <v>B</v>
      </c>
      <c r="CK70" s="3">
        <f t="shared" si="192"/>
        <v>35208</v>
      </c>
      <c r="CL70" s="11">
        <f t="shared" si="193"/>
        <v>0.12</v>
      </c>
      <c r="CM70" s="11" t="str">
        <f t="shared" si="194"/>
        <v>NOT CONGESTED</v>
      </c>
      <c r="CN70" s="3">
        <f t="shared" si="195"/>
        <v>1739</v>
      </c>
      <c r="CO70" s="11">
        <f t="shared" si="196"/>
        <v>0.13</v>
      </c>
      <c r="CP70" s="156" t="str">
        <f t="shared" si="197"/>
        <v>NOT CONGESTED</v>
      </c>
      <c r="CQ70" s="2"/>
      <c r="CR70" s="42"/>
      <c r="CS70" s="11" t="str">
        <f t="shared" si="198"/>
        <v/>
      </c>
      <c r="CT70" s="11" t="str">
        <f t="shared" si="199"/>
        <v/>
      </c>
      <c r="CU70" s="11" t="str">
        <f t="shared" si="200"/>
        <v/>
      </c>
      <c r="CV70" s="11" t="str">
        <f t="shared" si="201"/>
        <v/>
      </c>
      <c r="CW70" s="3"/>
      <c r="CX70" s="1"/>
      <c r="CY70" s="145" t="str">
        <f t="shared" si="202"/>
        <v/>
      </c>
      <c r="CZ70" s="32" t="str">
        <f t="shared" si="203"/>
        <v/>
      </c>
    </row>
    <row r="71" spans="1:104" s="9" customFormat="1" ht="12.75" customHeight="1">
      <c r="A71" s="1">
        <v>3532000</v>
      </c>
      <c r="B71" s="1">
        <f t="shared" si="204"/>
        <v>83</v>
      </c>
      <c r="C71" s="1">
        <v>111</v>
      </c>
      <c r="D71" s="1">
        <f>VLOOKUP(C71,'2022 counts'!$A$6:$B$304,2,FALSE)</f>
        <v>83</v>
      </c>
      <c r="E71" s="1"/>
      <c r="F71" s="2" t="s">
        <v>6</v>
      </c>
      <c r="G71" s="156">
        <v>55</v>
      </c>
      <c r="H71" s="11">
        <v>4.7170361092700004</v>
      </c>
      <c r="I71" s="10" t="s">
        <v>735</v>
      </c>
      <c r="J71" s="10" t="s">
        <v>99</v>
      </c>
      <c r="K71" s="10" t="s">
        <v>728</v>
      </c>
      <c r="L71" s="157">
        <v>2</v>
      </c>
      <c r="M71" s="1">
        <f>'State of the System - Sumter Co'!K71</f>
        <v>2</v>
      </c>
      <c r="N71" s="1" t="str">
        <f>IF('State of the System - Sumter Co'!L71="URBAN","U","R")</f>
        <v>R</v>
      </c>
      <c r="O71" s="1" t="str">
        <f>IF('State of the System - Sumter Co'!M71="UNDIVIDED","U",IF('State of the System - Sumter Co'!M71="DIVIDED","D","F"))</f>
        <v>U</v>
      </c>
      <c r="P71" s="1" t="str">
        <f>'State of the System - Sumter Co'!N71</f>
        <v>UNINTERRUPTED</v>
      </c>
      <c r="Q71" s="1" t="str">
        <f t="shared" si="156"/>
        <v>z</v>
      </c>
      <c r="R71" s="1" t="str">
        <f>'State of the System - Sumter Co'!O71</f>
        <v>UNDEVELOPED</v>
      </c>
      <c r="S71" s="1" t="str">
        <f t="shared" si="157"/>
        <v/>
      </c>
      <c r="T71" s="1" t="str">
        <f t="shared" si="158"/>
        <v>R-2Uz</v>
      </c>
      <c r="U71" s="1" t="str">
        <f t="shared" si="155"/>
        <v>R-2Uz</v>
      </c>
      <c r="V71" s="1" t="s">
        <v>10</v>
      </c>
      <c r="W71" s="1" t="s">
        <v>11</v>
      </c>
      <c r="X71" s="1" t="s">
        <v>21</v>
      </c>
      <c r="Y71" s="1" t="str">
        <f>'State of the System - Sumter Co'!R71</f>
        <v>C</v>
      </c>
      <c r="Z71" s="157" t="str">
        <f t="shared" si="159"/>
        <v>Other CMP Network Roadways</v>
      </c>
      <c r="AA71" s="15">
        <f>VLOOKUP($T71,'2020_CapacityTable'!$B$49:$F$71,2)</f>
        <v>4600</v>
      </c>
      <c r="AB71" s="15">
        <f>VLOOKUP($T71,'2020_CapacityTable'!$B$49:$F$71,3)</f>
        <v>8600</v>
      </c>
      <c r="AC71" s="15">
        <f>VLOOKUP($T71,'2020_CapacityTable'!$B$49:$F$71,4)</f>
        <v>14000</v>
      </c>
      <c r="AD71" s="15">
        <f>VLOOKUP($T71,'2020_CapacityTable'!$B$49:$F$71,5)</f>
        <v>28500</v>
      </c>
      <c r="AE71" s="35"/>
      <c r="AF71" s="36" t="str">
        <f t="shared" si="160"/>
        <v/>
      </c>
      <c r="AG71" s="35" t="str">
        <f>IF(AND(L71=2,P71="interrupted",O71="U"),"LOOK","")</f>
        <v/>
      </c>
      <c r="AH71" s="35" t="str">
        <f t="shared" si="154"/>
        <v/>
      </c>
      <c r="AI71" s="35"/>
      <c r="AJ71" s="36"/>
      <c r="AK71" s="15">
        <f t="shared" si="161"/>
        <v>4600</v>
      </c>
      <c r="AL71" s="15">
        <f t="shared" si="162"/>
        <v>8600</v>
      </c>
      <c r="AM71" s="15">
        <f t="shared" si="163"/>
        <v>14000</v>
      </c>
      <c r="AN71" s="15">
        <f t="shared" si="164"/>
        <v>28500</v>
      </c>
      <c r="AO71" s="3">
        <f t="shared" si="205"/>
        <v>8600</v>
      </c>
      <c r="AP71" s="138">
        <f>VLOOKUP($B71,'2022 counts'!$B$6:$R$304,17,FALSE)</f>
        <v>836</v>
      </c>
      <c r="AQ71" s="11">
        <f t="shared" si="165"/>
        <v>0.1</v>
      </c>
      <c r="AR71" s="2" t="str">
        <f t="shared" si="166"/>
        <v>B</v>
      </c>
      <c r="AS71" s="26">
        <f t="shared" si="167"/>
        <v>1.44</v>
      </c>
      <c r="AT71" s="15">
        <f>VLOOKUP($T71,'2020_CapacityTable'!$B$23:$F$45,2)</f>
        <v>240</v>
      </c>
      <c r="AU71" s="15">
        <f>VLOOKUP($T71,'2020_CapacityTable'!$B$23:$F$45,3)</f>
        <v>450</v>
      </c>
      <c r="AV71" s="15">
        <f>VLOOKUP($T71,'2020_CapacityTable'!$B$23:$F$45,4)</f>
        <v>730</v>
      </c>
      <c r="AW71" s="15">
        <f>VLOOKUP($T71,'2020_CapacityTable'!$B$23:$F$45,5)</f>
        <v>1490</v>
      </c>
      <c r="AX71" s="15">
        <f t="shared" si="168"/>
        <v>240</v>
      </c>
      <c r="AY71" s="15">
        <f t="shared" si="169"/>
        <v>450</v>
      </c>
      <c r="AZ71" s="15">
        <f t="shared" si="170"/>
        <v>730</v>
      </c>
      <c r="BA71" s="15">
        <f t="shared" si="171"/>
        <v>1490</v>
      </c>
      <c r="BB71" s="3">
        <f t="shared" si="172"/>
        <v>450</v>
      </c>
      <c r="BC71" s="138">
        <f>VLOOKUP($B71,'2022 counts'!$B$6:$AD$304,28,FALSE)</f>
        <v>36</v>
      </c>
      <c r="BD71" s="138">
        <f>VLOOKUP($B71,'2022 counts'!$B$6:$AD$304,29,FALSE)</f>
        <v>43</v>
      </c>
      <c r="BE71" s="11">
        <f t="shared" si="173"/>
        <v>0.1</v>
      </c>
      <c r="BF71" s="2" t="str">
        <f t="shared" si="174"/>
        <v>B</v>
      </c>
      <c r="BG71" s="135">
        <v>0.04</v>
      </c>
      <c r="BH71" s="135">
        <f>IF($AQ71="","",VLOOKUP($B71, '2022 counts'!$B$6:$T$304,19,FALSE))</f>
        <v>0.04</v>
      </c>
      <c r="BI71" s="38">
        <f t="shared" si="175"/>
        <v>0.04</v>
      </c>
      <c r="BJ71" s="39" t="str">
        <f t="shared" si="176"/>
        <v/>
      </c>
      <c r="BK71" s="15">
        <f>VLOOKUP($U71,'2020_CapacityTable'!$B$49:$F$71,2)</f>
        <v>4600</v>
      </c>
      <c r="BL71" s="15">
        <f>VLOOKUP($U71,'2020_CapacityTable'!$B$49:$F$71,3)</f>
        <v>8600</v>
      </c>
      <c r="BM71" s="15">
        <f>VLOOKUP($T71,'2020_CapacityTable'!$B$49:$F$71,4)</f>
        <v>14000</v>
      </c>
      <c r="BN71" s="15">
        <f>VLOOKUP($T71,'2020_CapacityTable'!$B$49:$F$71,5)</f>
        <v>28500</v>
      </c>
      <c r="BO71" s="15">
        <f t="shared" si="177"/>
        <v>4600</v>
      </c>
      <c r="BP71" s="15">
        <f t="shared" si="178"/>
        <v>8600</v>
      </c>
      <c r="BQ71" s="15">
        <f t="shared" si="179"/>
        <v>14000</v>
      </c>
      <c r="BR71" s="15">
        <f t="shared" si="180"/>
        <v>28500</v>
      </c>
      <c r="BS71" s="3">
        <f t="shared" si="181"/>
        <v>8600</v>
      </c>
      <c r="BT71" s="40">
        <f>'State of the System - Sumter Co'!AD71</f>
        <v>1017</v>
      </c>
      <c r="BU71" s="41">
        <f t="shared" si="182"/>
        <v>0.12</v>
      </c>
      <c r="BV71" s="2" t="str">
        <f t="shared" si="183"/>
        <v>B</v>
      </c>
      <c r="BW71" s="2">
        <f t="shared" si="184"/>
        <v>1.75</v>
      </c>
      <c r="BX71" s="15">
        <f>VLOOKUP($U71,'2020_CapacityTable'!$B$23:$F$45,2)</f>
        <v>240</v>
      </c>
      <c r="BY71" s="15">
        <f>VLOOKUP($U71,'2020_CapacityTable'!$B$23:$F$45,3)</f>
        <v>450</v>
      </c>
      <c r="BZ71" s="15">
        <f>VLOOKUP($U71,'2020_CapacityTable'!$B$23:$F$45,4)</f>
        <v>730</v>
      </c>
      <c r="CA71" s="15">
        <f>VLOOKUP($U71,'2020_CapacityTable'!$B$23:$F$45,5)</f>
        <v>1490</v>
      </c>
      <c r="CB71" s="15">
        <f t="shared" si="185"/>
        <v>240</v>
      </c>
      <c r="CC71" s="15">
        <f t="shared" si="186"/>
        <v>450</v>
      </c>
      <c r="CD71" s="15">
        <f t="shared" si="187"/>
        <v>730</v>
      </c>
      <c r="CE71" s="15">
        <f t="shared" si="188"/>
        <v>1490</v>
      </c>
      <c r="CF71" s="3">
        <f t="shared" si="189"/>
        <v>450</v>
      </c>
      <c r="CG71" s="2">
        <f>'State of the System - Sumter Co'!AH71</f>
        <v>44</v>
      </c>
      <c r="CH71" s="2">
        <f>'State of the System - Sumter Co'!AI71</f>
        <v>52</v>
      </c>
      <c r="CI71" s="11">
        <f t="shared" si="190"/>
        <v>0.12</v>
      </c>
      <c r="CJ71" s="2" t="str">
        <f t="shared" si="191"/>
        <v>B</v>
      </c>
      <c r="CK71" s="3">
        <f t="shared" si="192"/>
        <v>30780</v>
      </c>
      <c r="CL71" s="11">
        <f t="shared" si="193"/>
        <v>0.03</v>
      </c>
      <c r="CM71" s="11" t="str">
        <f t="shared" si="194"/>
        <v>NOT CONGESTED</v>
      </c>
      <c r="CN71" s="3">
        <f t="shared" si="195"/>
        <v>1609</v>
      </c>
      <c r="CO71" s="11">
        <f t="shared" si="196"/>
        <v>0.03</v>
      </c>
      <c r="CP71" s="156" t="str">
        <f t="shared" si="197"/>
        <v>NOT CONGESTED</v>
      </c>
      <c r="CQ71" s="2"/>
      <c r="CR71" s="42"/>
      <c r="CS71" s="11" t="str">
        <f t="shared" si="198"/>
        <v/>
      </c>
      <c r="CT71" s="11" t="str">
        <f t="shared" si="199"/>
        <v/>
      </c>
      <c r="CU71" s="11" t="str">
        <f t="shared" si="200"/>
        <v/>
      </c>
      <c r="CV71" s="11" t="str">
        <f t="shared" si="201"/>
        <v/>
      </c>
      <c r="CW71" s="3"/>
      <c r="CX71" s="1"/>
      <c r="CY71" s="145" t="str">
        <f t="shared" si="202"/>
        <v/>
      </c>
      <c r="CZ71" s="32" t="str">
        <f t="shared" si="203"/>
        <v/>
      </c>
    </row>
    <row r="72" spans="1:104" s="9" customFormat="1" ht="12.75" customHeight="1">
      <c r="A72" s="1">
        <v>3533100</v>
      </c>
      <c r="B72" s="1">
        <f t="shared" si="204"/>
        <v>33</v>
      </c>
      <c r="C72" s="1">
        <v>40</v>
      </c>
      <c r="D72" s="1">
        <f>VLOOKUP(C72,'2022 counts'!$A$6:$B$304,2,FALSE)</f>
        <v>33</v>
      </c>
      <c r="E72" s="1"/>
      <c r="F72" s="2" t="s">
        <v>6</v>
      </c>
      <c r="G72" s="156">
        <v>30</v>
      </c>
      <c r="H72" s="11">
        <v>1.1533208449800001</v>
      </c>
      <c r="I72" s="10" t="s">
        <v>727</v>
      </c>
      <c r="J72" s="10" t="s">
        <v>40</v>
      </c>
      <c r="K72" s="10" t="s">
        <v>755</v>
      </c>
      <c r="L72" s="157">
        <v>2</v>
      </c>
      <c r="M72" s="1">
        <f>'State of the System - Sumter Co'!K72</f>
        <v>2</v>
      </c>
      <c r="N72" s="1" t="str">
        <f>IF('State of the System - Sumter Co'!L72="URBAN","U","R")</f>
        <v>U</v>
      </c>
      <c r="O72" s="1" t="str">
        <f>IF('State of the System - Sumter Co'!M72="UNDIVIDED","U",IF('State of the System - Sumter Co'!M72="DIVIDED","D","F"))</f>
        <v>D</v>
      </c>
      <c r="P72" s="1" t="str">
        <f>'State of the System - Sumter Co'!N72</f>
        <v>INTERRUPTED</v>
      </c>
      <c r="Q72" s="1" t="str">
        <f t="shared" si="156"/>
        <v/>
      </c>
      <c r="R72" s="1" t="str">
        <f>'State of the System - Sumter Co'!O72</f>
        <v/>
      </c>
      <c r="S72" s="1" t="str">
        <f t="shared" si="157"/>
        <v>-2</v>
      </c>
      <c r="T72" s="1" t="str">
        <f t="shared" si="158"/>
        <v>U-2D-2</v>
      </c>
      <c r="U72" s="1" t="str">
        <f t="shared" si="155"/>
        <v>U-2D-2</v>
      </c>
      <c r="V72" s="1" t="s">
        <v>10</v>
      </c>
      <c r="W72" s="1" t="s">
        <v>25</v>
      </c>
      <c r="X72" s="1" t="s">
        <v>21</v>
      </c>
      <c r="Y72" s="1" t="str">
        <f>'State of the System - Sumter Co'!R72</f>
        <v>D</v>
      </c>
      <c r="Z72" s="157" t="str">
        <f t="shared" si="159"/>
        <v>Other CMP Network Roadways</v>
      </c>
      <c r="AA72" s="15">
        <f>VLOOKUP($T72,'2020_CapacityTable'!$B$49:$F$71,2)</f>
        <v>0</v>
      </c>
      <c r="AB72" s="15">
        <f>VLOOKUP($T72,'2020_CapacityTable'!$B$49:$F$71,3)</f>
        <v>7665</v>
      </c>
      <c r="AC72" s="15">
        <f>VLOOKUP($T72,'2020_CapacityTable'!$B$49:$F$71,4)</f>
        <v>15540</v>
      </c>
      <c r="AD72" s="15">
        <f>VLOOKUP($T72,'2020_CapacityTable'!$B$49:$F$71,5)</f>
        <v>16380</v>
      </c>
      <c r="AE72" s="35">
        <f>IF(V72&lt;&gt;"STATE",-10%,"")</f>
        <v>-0.1</v>
      </c>
      <c r="AF72" s="36">
        <f t="shared" si="160"/>
        <v>0.05</v>
      </c>
      <c r="AG72" s="35"/>
      <c r="AH72" s="35" t="str">
        <f t="shared" si="154"/>
        <v/>
      </c>
      <c r="AI72" s="35"/>
      <c r="AJ72" s="36"/>
      <c r="AK72" s="15">
        <f t="shared" si="161"/>
        <v>0</v>
      </c>
      <c r="AL72" s="15">
        <f t="shared" si="162"/>
        <v>7282</v>
      </c>
      <c r="AM72" s="15">
        <f t="shared" si="163"/>
        <v>14763</v>
      </c>
      <c r="AN72" s="15">
        <f t="shared" si="164"/>
        <v>15561</v>
      </c>
      <c r="AO72" s="3">
        <f t="shared" si="205"/>
        <v>14763</v>
      </c>
      <c r="AP72" s="138">
        <f>VLOOKUP($B72,'2022 counts'!$B$6:$R$304,17,FALSE)</f>
        <v>9784</v>
      </c>
      <c r="AQ72" s="11">
        <f t="shared" si="165"/>
        <v>0.66</v>
      </c>
      <c r="AR72" s="2" t="str">
        <f t="shared" si="166"/>
        <v>D</v>
      </c>
      <c r="AS72" s="26">
        <f t="shared" si="167"/>
        <v>4.12</v>
      </c>
      <c r="AT72" s="15">
        <f>VLOOKUP($T72,'2020_CapacityTable'!$B$23:$F$45,2)</f>
        <v>0</v>
      </c>
      <c r="AU72" s="15">
        <f>VLOOKUP($T72,'2020_CapacityTable'!$B$23:$F$45,3)</f>
        <v>370</v>
      </c>
      <c r="AV72" s="15">
        <f>VLOOKUP($T72,'2020_CapacityTable'!$B$23:$F$45,4)</f>
        <v>750</v>
      </c>
      <c r="AW72" s="15">
        <f>VLOOKUP($T72,'2020_CapacityTable'!$B$23:$F$45,5)</f>
        <v>800</v>
      </c>
      <c r="AX72" s="15">
        <f t="shared" si="168"/>
        <v>0</v>
      </c>
      <c r="AY72" s="15">
        <f t="shared" si="169"/>
        <v>352</v>
      </c>
      <c r="AZ72" s="15">
        <f t="shared" si="170"/>
        <v>713</v>
      </c>
      <c r="BA72" s="15">
        <f t="shared" si="171"/>
        <v>760</v>
      </c>
      <c r="BB72" s="3">
        <f t="shared" si="172"/>
        <v>713</v>
      </c>
      <c r="BC72" s="138">
        <f>VLOOKUP($B72,'2022 counts'!$B$6:$AD$304,28,FALSE)</f>
        <v>381</v>
      </c>
      <c r="BD72" s="138">
        <f>VLOOKUP($B72,'2022 counts'!$B$6:$AD$304,29,FALSE)</f>
        <v>440</v>
      </c>
      <c r="BE72" s="11">
        <f t="shared" si="173"/>
        <v>0.62</v>
      </c>
      <c r="BF72" s="2" t="str">
        <f t="shared" si="174"/>
        <v>D</v>
      </c>
      <c r="BG72" s="135">
        <v>1.4999999999999999E-2</v>
      </c>
      <c r="BH72" s="135">
        <f>IF($AQ72="","",VLOOKUP($B72, '2022 counts'!$B$6:$T$304,19,FALSE))</f>
        <v>1.4999999999999999E-2</v>
      </c>
      <c r="BI72" s="38">
        <f t="shared" si="175"/>
        <v>1.4999999999999999E-2</v>
      </c>
      <c r="BJ72" s="39" t="str">
        <f t="shared" si="176"/>
        <v/>
      </c>
      <c r="BK72" s="15">
        <f>VLOOKUP($U72,'2020_CapacityTable'!$B$49:$F$71,2)</f>
        <v>0</v>
      </c>
      <c r="BL72" s="15">
        <f>VLOOKUP($U72,'2020_CapacityTable'!$B$49:$F$71,3)</f>
        <v>7665</v>
      </c>
      <c r="BM72" s="15">
        <f>VLOOKUP($T72,'2020_CapacityTable'!$B$49:$F$71,4)</f>
        <v>15540</v>
      </c>
      <c r="BN72" s="15">
        <f>VLOOKUP($T72,'2020_CapacityTable'!$B$49:$F$71,5)</f>
        <v>16380</v>
      </c>
      <c r="BO72" s="15">
        <f t="shared" si="177"/>
        <v>0</v>
      </c>
      <c r="BP72" s="15">
        <f t="shared" si="178"/>
        <v>7282</v>
      </c>
      <c r="BQ72" s="15">
        <f t="shared" si="179"/>
        <v>14763</v>
      </c>
      <c r="BR72" s="15">
        <f t="shared" si="180"/>
        <v>15561</v>
      </c>
      <c r="BS72" s="3">
        <f t="shared" si="181"/>
        <v>14763</v>
      </c>
      <c r="BT72" s="40">
        <f>'State of the System - Sumter Co'!AD72</f>
        <v>10540</v>
      </c>
      <c r="BU72" s="41">
        <f t="shared" si="182"/>
        <v>0.71</v>
      </c>
      <c r="BV72" s="2" t="str">
        <f t="shared" si="183"/>
        <v>D</v>
      </c>
      <c r="BW72" s="2">
        <f t="shared" si="184"/>
        <v>4.4400000000000004</v>
      </c>
      <c r="BX72" s="15">
        <f>VLOOKUP($U72,'2020_CapacityTable'!$B$23:$F$45,2)</f>
        <v>0</v>
      </c>
      <c r="BY72" s="15">
        <f>VLOOKUP($U72,'2020_CapacityTable'!$B$23:$F$45,3)</f>
        <v>370</v>
      </c>
      <c r="BZ72" s="15">
        <f>VLOOKUP($U72,'2020_CapacityTable'!$B$23:$F$45,4)</f>
        <v>750</v>
      </c>
      <c r="CA72" s="15">
        <f>VLOOKUP($U72,'2020_CapacityTable'!$B$23:$F$45,5)</f>
        <v>800</v>
      </c>
      <c r="CB72" s="15">
        <f t="shared" si="185"/>
        <v>0</v>
      </c>
      <c r="CC72" s="15">
        <f t="shared" si="186"/>
        <v>352</v>
      </c>
      <c r="CD72" s="15">
        <f t="shared" si="187"/>
        <v>713</v>
      </c>
      <c r="CE72" s="15">
        <f t="shared" si="188"/>
        <v>760</v>
      </c>
      <c r="CF72" s="3">
        <f t="shared" si="189"/>
        <v>713</v>
      </c>
      <c r="CG72" s="2">
        <f>'State of the System - Sumter Co'!AH72</f>
        <v>410</v>
      </c>
      <c r="CH72" s="2">
        <f>'State of the System - Sumter Co'!AI72</f>
        <v>474</v>
      </c>
      <c r="CI72" s="11">
        <f t="shared" si="190"/>
        <v>0.66</v>
      </c>
      <c r="CJ72" s="2" t="str">
        <f t="shared" si="191"/>
        <v>D</v>
      </c>
      <c r="CK72" s="3">
        <f t="shared" si="192"/>
        <v>16806</v>
      </c>
      <c r="CL72" s="11">
        <f t="shared" si="193"/>
        <v>0.63</v>
      </c>
      <c r="CM72" s="11" t="str">
        <f t="shared" si="194"/>
        <v>NOT CONGESTED</v>
      </c>
      <c r="CN72" s="3">
        <f t="shared" si="195"/>
        <v>821</v>
      </c>
      <c r="CO72" s="11">
        <f t="shared" si="196"/>
        <v>0.57999999999999996</v>
      </c>
      <c r="CP72" s="156" t="str">
        <f t="shared" si="197"/>
        <v>NOT CONGESTED</v>
      </c>
      <c r="CQ72" s="2"/>
      <c r="CR72" s="42"/>
      <c r="CS72" s="11" t="str">
        <f t="shared" si="198"/>
        <v/>
      </c>
      <c r="CT72" s="11" t="str">
        <f t="shared" si="199"/>
        <v/>
      </c>
      <c r="CU72" s="11" t="str">
        <f t="shared" si="200"/>
        <v/>
      </c>
      <c r="CV72" s="11" t="str">
        <f t="shared" si="201"/>
        <v/>
      </c>
      <c r="CW72" s="3" t="s">
        <v>586</v>
      </c>
      <c r="CX72" s="1"/>
      <c r="CY72" s="145" t="str">
        <f t="shared" si="202"/>
        <v/>
      </c>
      <c r="CZ72" s="32" t="str">
        <f t="shared" si="203"/>
        <v/>
      </c>
    </row>
    <row r="73" spans="1:104" s="9" customFormat="1" ht="12.75" customHeight="1">
      <c r="A73" s="1">
        <v>3534100</v>
      </c>
      <c r="B73" s="1">
        <f t="shared" si="204"/>
        <v>67</v>
      </c>
      <c r="C73" s="1">
        <v>92</v>
      </c>
      <c r="D73" s="1">
        <f>VLOOKUP(C73,'2022 counts'!$A$6:$B$304,2,FALSE)</f>
        <v>67</v>
      </c>
      <c r="E73" s="1"/>
      <c r="F73" s="3" t="s">
        <v>6</v>
      </c>
      <c r="G73" s="156">
        <v>35</v>
      </c>
      <c r="H73" s="11">
        <v>3.2978806789999999</v>
      </c>
      <c r="I73" s="10" t="s">
        <v>729</v>
      </c>
      <c r="J73" s="10" t="s">
        <v>81</v>
      </c>
      <c r="K73" s="10" t="s">
        <v>91</v>
      </c>
      <c r="L73" s="157">
        <v>2</v>
      </c>
      <c r="M73" s="1">
        <f>'State of the System - Sumter Co'!K73</f>
        <v>2</v>
      </c>
      <c r="N73" s="1" t="str">
        <f>IF('State of the System - Sumter Co'!L73="URBAN","U","R")</f>
        <v>U</v>
      </c>
      <c r="O73" s="1" t="str">
        <f>IF('State of the System - Sumter Co'!M73="UNDIVIDED","U",IF('State of the System - Sumter Co'!M73="DIVIDED","D","F"))</f>
        <v>U</v>
      </c>
      <c r="P73" s="1" t="str">
        <f>'State of the System - Sumter Co'!N73</f>
        <v>UNINTERRUPTED</v>
      </c>
      <c r="Q73" s="1" t="str">
        <f t="shared" si="156"/>
        <v/>
      </c>
      <c r="R73" s="1" t="str">
        <f>'State of the System - Sumter Co'!O73</f>
        <v/>
      </c>
      <c r="S73" s="1" t="str">
        <f t="shared" si="157"/>
        <v>-x</v>
      </c>
      <c r="T73" s="1" t="str">
        <f t="shared" si="158"/>
        <v>U-2U-x</v>
      </c>
      <c r="U73" s="1" t="str">
        <f t="shared" si="155"/>
        <v>U-2U-x</v>
      </c>
      <c r="V73" s="1" t="s">
        <v>10</v>
      </c>
      <c r="W73" s="1" t="s">
        <v>65</v>
      </c>
      <c r="X73" s="1" t="s">
        <v>21</v>
      </c>
      <c r="Y73" s="1" t="str">
        <f>'State of the System - Sumter Co'!R73</f>
        <v>D</v>
      </c>
      <c r="Z73" s="157" t="str">
        <f t="shared" si="159"/>
        <v>Other CMP Network Roadways</v>
      </c>
      <c r="AA73" s="15">
        <f>VLOOKUP($T73,'2020_CapacityTable'!$B$49:$F$71,2)</f>
        <v>11700</v>
      </c>
      <c r="AB73" s="15">
        <f>VLOOKUP($T73,'2020_CapacityTable'!$B$49:$F$71,3)</f>
        <v>18000</v>
      </c>
      <c r="AC73" s="15">
        <f>VLOOKUP($T73,'2020_CapacityTable'!$B$49:$F$71,4)</f>
        <v>24200</v>
      </c>
      <c r="AD73" s="15">
        <f>VLOOKUP($T73,'2020_CapacityTable'!$B$49:$F$71,5)</f>
        <v>32600</v>
      </c>
      <c r="AE73" s="35"/>
      <c r="AF73" s="36" t="str">
        <f t="shared" si="160"/>
        <v/>
      </c>
      <c r="AG73" s="35" t="str">
        <f t="shared" ref="AG73:AG78" si="206">IF(AND(L73=2,P73="interrupted",O73="U"),"LOOK","")</f>
        <v/>
      </c>
      <c r="AH73" s="35" t="str">
        <f t="shared" si="154"/>
        <v/>
      </c>
      <c r="AI73" s="35"/>
      <c r="AJ73" s="36"/>
      <c r="AK73" s="15">
        <f t="shared" si="161"/>
        <v>11700</v>
      </c>
      <c r="AL73" s="15">
        <f t="shared" si="162"/>
        <v>18000</v>
      </c>
      <c r="AM73" s="15">
        <f t="shared" si="163"/>
        <v>24200</v>
      </c>
      <c r="AN73" s="15">
        <f t="shared" si="164"/>
        <v>32600</v>
      </c>
      <c r="AO73" s="3">
        <f t="shared" si="205"/>
        <v>24200</v>
      </c>
      <c r="AP73" s="138">
        <f>VLOOKUP($B73,'2022 counts'!$B$6:$R$304,17,FALSE)</f>
        <v>2048</v>
      </c>
      <c r="AQ73" s="11">
        <f t="shared" si="165"/>
        <v>0.08</v>
      </c>
      <c r="AR73" s="2" t="str">
        <f t="shared" si="166"/>
        <v>B</v>
      </c>
      <c r="AS73" s="26">
        <f t="shared" si="167"/>
        <v>2.4700000000000002</v>
      </c>
      <c r="AT73" s="15">
        <f>VLOOKUP($T73,'2020_CapacityTable'!$B$23:$F$45,2)</f>
        <v>580</v>
      </c>
      <c r="AU73" s="15">
        <f>VLOOKUP($T73,'2020_CapacityTable'!$B$23:$F$45,3)</f>
        <v>890</v>
      </c>
      <c r="AV73" s="15">
        <f>VLOOKUP($T73,'2020_CapacityTable'!$B$23:$F$45,4)</f>
        <v>1200</v>
      </c>
      <c r="AW73" s="15">
        <f>VLOOKUP($T73,'2020_CapacityTable'!$B$23:$F$45,5)</f>
        <v>1610</v>
      </c>
      <c r="AX73" s="15">
        <f t="shared" si="168"/>
        <v>580</v>
      </c>
      <c r="AY73" s="15">
        <f t="shared" si="169"/>
        <v>890</v>
      </c>
      <c r="AZ73" s="15">
        <f t="shared" si="170"/>
        <v>1200</v>
      </c>
      <c r="BA73" s="15">
        <f t="shared" si="171"/>
        <v>1610</v>
      </c>
      <c r="BB73" s="3">
        <f t="shared" si="172"/>
        <v>1200</v>
      </c>
      <c r="BC73" s="138">
        <f>VLOOKUP($B73,'2022 counts'!$B$6:$AD$304,28,FALSE)</f>
        <v>95</v>
      </c>
      <c r="BD73" s="138">
        <f>VLOOKUP($B73,'2022 counts'!$B$6:$AD$304,29,FALSE)</f>
        <v>97</v>
      </c>
      <c r="BE73" s="11">
        <f t="shared" si="173"/>
        <v>0.08</v>
      </c>
      <c r="BF73" s="2" t="str">
        <f t="shared" si="174"/>
        <v>B</v>
      </c>
      <c r="BG73" s="135">
        <v>2.5000000000000001E-2</v>
      </c>
      <c r="BH73" s="135">
        <f>IF($AQ73="","",VLOOKUP($B73, '2022 counts'!$B$6:$T$304,19,FALSE))</f>
        <v>2.5000000000000001E-2</v>
      </c>
      <c r="BI73" s="38">
        <f t="shared" si="175"/>
        <v>2.5000000000000001E-2</v>
      </c>
      <c r="BJ73" s="39" t="str">
        <f t="shared" si="176"/>
        <v/>
      </c>
      <c r="BK73" s="15">
        <f>VLOOKUP($U73,'2020_CapacityTable'!$B$49:$F$71,2)</f>
        <v>11700</v>
      </c>
      <c r="BL73" s="15">
        <f>VLOOKUP($U73,'2020_CapacityTable'!$B$49:$F$71,3)</f>
        <v>18000</v>
      </c>
      <c r="BM73" s="15">
        <f>VLOOKUP($T73,'2020_CapacityTable'!$B$49:$F$71,4)</f>
        <v>24200</v>
      </c>
      <c r="BN73" s="15">
        <f>VLOOKUP($T73,'2020_CapacityTable'!$B$49:$F$71,5)</f>
        <v>32600</v>
      </c>
      <c r="BO73" s="15">
        <f t="shared" si="177"/>
        <v>11700</v>
      </c>
      <c r="BP73" s="15">
        <f t="shared" si="178"/>
        <v>18000</v>
      </c>
      <c r="BQ73" s="15">
        <f t="shared" si="179"/>
        <v>24200</v>
      </c>
      <c r="BR73" s="15">
        <f t="shared" si="180"/>
        <v>32600</v>
      </c>
      <c r="BS73" s="3">
        <f t="shared" si="181"/>
        <v>24200</v>
      </c>
      <c r="BT73" s="40">
        <f>'State of the System - Sumter Co'!AD73</f>
        <v>2317</v>
      </c>
      <c r="BU73" s="41">
        <f t="shared" si="182"/>
        <v>0.1</v>
      </c>
      <c r="BV73" s="2" t="str">
        <f t="shared" si="183"/>
        <v>B</v>
      </c>
      <c r="BW73" s="2">
        <f t="shared" si="184"/>
        <v>2.79</v>
      </c>
      <c r="BX73" s="15">
        <f>VLOOKUP($U73,'2020_CapacityTable'!$B$23:$F$45,2)</f>
        <v>580</v>
      </c>
      <c r="BY73" s="15">
        <f>VLOOKUP($U73,'2020_CapacityTable'!$B$23:$F$45,3)</f>
        <v>890</v>
      </c>
      <c r="BZ73" s="15">
        <f>VLOOKUP($U73,'2020_CapacityTable'!$B$23:$F$45,4)</f>
        <v>1200</v>
      </c>
      <c r="CA73" s="15">
        <f>VLOOKUP($U73,'2020_CapacityTable'!$B$23:$F$45,5)</f>
        <v>1610</v>
      </c>
      <c r="CB73" s="15">
        <f t="shared" si="185"/>
        <v>580</v>
      </c>
      <c r="CC73" s="15">
        <f t="shared" si="186"/>
        <v>890</v>
      </c>
      <c r="CD73" s="15">
        <f t="shared" si="187"/>
        <v>1200</v>
      </c>
      <c r="CE73" s="15">
        <f t="shared" si="188"/>
        <v>1610</v>
      </c>
      <c r="CF73" s="3">
        <f t="shared" si="189"/>
        <v>1200</v>
      </c>
      <c r="CG73" s="2">
        <f>'State of the System - Sumter Co'!AH73</f>
        <v>107</v>
      </c>
      <c r="CH73" s="2">
        <f>'State of the System - Sumter Co'!AI73</f>
        <v>110</v>
      </c>
      <c r="CI73" s="11">
        <f t="shared" si="190"/>
        <v>0.09</v>
      </c>
      <c r="CJ73" s="2" t="str">
        <f t="shared" si="191"/>
        <v>B</v>
      </c>
      <c r="CK73" s="3">
        <f t="shared" si="192"/>
        <v>35208</v>
      </c>
      <c r="CL73" s="11">
        <f t="shared" si="193"/>
        <v>7.0000000000000007E-2</v>
      </c>
      <c r="CM73" s="11" t="str">
        <f t="shared" si="194"/>
        <v>NOT CONGESTED</v>
      </c>
      <c r="CN73" s="3">
        <f t="shared" si="195"/>
        <v>1739</v>
      </c>
      <c r="CO73" s="11">
        <f t="shared" si="196"/>
        <v>0.06</v>
      </c>
      <c r="CP73" s="156" t="str">
        <f t="shared" si="197"/>
        <v>NOT CONGESTED</v>
      </c>
      <c r="CQ73" s="2"/>
      <c r="CR73" s="42"/>
      <c r="CS73" s="11" t="str">
        <f t="shared" si="198"/>
        <v/>
      </c>
      <c r="CT73" s="11" t="str">
        <f t="shared" si="199"/>
        <v/>
      </c>
      <c r="CU73" s="11" t="str">
        <f t="shared" si="200"/>
        <v/>
      </c>
      <c r="CV73" s="11" t="str">
        <f t="shared" si="201"/>
        <v/>
      </c>
      <c r="CW73" s="3" t="s">
        <v>586</v>
      </c>
      <c r="CX73" s="1"/>
      <c r="CY73" s="145" t="str">
        <f t="shared" si="202"/>
        <v/>
      </c>
      <c r="CZ73" s="32" t="str">
        <f t="shared" si="203"/>
        <v/>
      </c>
    </row>
    <row r="74" spans="1:104" s="9" customFormat="1" ht="12.75" customHeight="1">
      <c r="A74" s="1">
        <v>3534110</v>
      </c>
      <c r="B74" s="1">
        <f t="shared" si="204"/>
        <v>66</v>
      </c>
      <c r="C74" s="1">
        <v>91</v>
      </c>
      <c r="D74" s="1">
        <f>VLOOKUP(C74,'2022 counts'!$A$6:$B$304,2,FALSE)</f>
        <v>66</v>
      </c>
      <c r="E74" s="1"/>
      <c r="F74" s="3" t="s">
        <v>6</v>
      </c>
      <c r="G74" s="156">
        <v>55</v>
      </c>
      <c r="H74" s="11">
        <v>2.7741980544599998</v>
      </c>
      <c r="I74" s="10" t="s">
        <v>736</v>
      </c>
      <c r="J74" s="10" t="s">
        <v>91</v>
      </c>
      <c r="K74" s="10" t="s">
        <v>751</v>
      </c>
      <c r="L74" s="157">
        <v>2</v>
      </c>
      <c r="M74" s="1">
        <f>'State of the System - Sumter Co'!K74</f>
        <v>2</v>
      </c>
      <c r="N74" s="1" t="str">
        <f>IF('State of the System - Sumter Co'!L74="URBAN","U","R")</f>
        <v>U</v>
      </c>
      <c r="O74" s="1" t="str">
        <f>IF('State of the System - Sumter Co'!M74="UNDIVIDED","U",IF('State of the System - Sumter Co'!M74="DIVIDED","D","F"))</f>
        <v>U</v>
      </c>
      <c r="P74" s="1" t="str">
        <f>'State of the System - Sumter Co'!N74</f>
        <v>UNINTERRUPTED</v>
      </c>
      <c r="Q74" s="1" t="str">
        <f t="shared" si="156"/>
        <v/>
      </c>
      <c r="R74" s="1" t="str">
        <f>'State of the System - Sumter Co'!O74</f>
        <v/>
      </c>
      <c r="S74" s="1" t="str">
        <f t="shared" si="157"/>
        <v>-x</v>
      </c>
      <c r="T74" s="1" t="str">
        <f t="shared" si="158"/>
        <v>U-2U-x</v>
      </c>
      <c r="U74" s="1" t="str">
        <f t="shared" si="155"/>
        <v>U-2U-x</v>
      </c>
      <c r="V74" s="1" t="s">
        <v>10</v>
      </c>
      <c r="W74" s="1" t="s">
        <v>65</v>
      </c>
      <c r="X74" s="1" t="s">
        <v>21</v>
      </c>
      <c r="Y74" s="1" t="str">
        <f>'State of the System - Sumter Co'!R74</f>
        <v>D</v>
      </c>
      <c r="Z74" s="157" t="str">
        <f t="shared" si="159"/>
        <v>Other CMP Network Roadways</v>
      </c>
      <c r="AA74" s="15">
        <f>VLOOKUP($T74,'2020_CapacityTable'!$B$49:$F$71,2)</f>
        <v>11700</v>
      </c>
      <c r="AB74" s="15">
        <f>VLOOKUP($T74,'2020_CapacityTable'!$B$49:$F$71,3)</f>
        <v>18000</v>
      </c>
      <c r="AC74" s="15">
        <f>VLOOKUP($T74,'2020_CapacityTable'!$B$49:$F$71,4)</f>
        <v>24200</v>
      </c>
      <c r="AD74" s="15">
        <f>VLOOKUP($T74,'2020_CapacityTable'!$B$49:$F$71,5)</f>
        <v>32600</v>
      </c>
      <c r="AE74" s="35"/>
      <c r="AF74" s="36" t="str">
        <f t="shared" si="160"/>
        <v/>
      </c>
      <c r="AG74" s="35" t="str">
        <f t="shared" si="206"/>
        <v/>
      </c>
      <c r="AH74" s="35" t="str">
        <f t="shared" si="154"/>
        <v/>
      </c>
      <c r="AI74" s="35"/>
      <c r="AJ74" s="36"/>
      <c r="AK74" s="15">
        <f t="shared" si="161"/>
        <v>11700</v>
      </c>
      <c r="AL74" s="15">
        <f t="shared" si="162"/>
        <v>18000</v>
      </c>
      <c r="AM74" s="15">
        <f t="shared" si="163"/>
        <v>24200</v>
      </c>
      <c r="AN74" s="15">
        <f t="shared" si="164"/>
        <v>32600</v>
      </c>
      <c r="AO74" s="3">
        <f t="shared" si="205"/>
        <v>24200</v>
      </c>
      <c r="AP74" s="138">
        <f>VLOOKUP($B74,'2022 counts'!$B$6:$R$304,17,FALSE)</f>
        <v>1224</v>
      </c>
      <c r="AQ74" s="11">
        <f t="shared" si="165"/>
        <v>0.05</v>
      </c>
      <c r="AR74" s="2" t="str">
        <f t="shared" si="166"/>
        <v>B</v>
      </c>
      <c r="AS74" s="26">
        <f t="shared" si="167"/>
        <v>1.24</v>
      </c>
      <c r="AT74" s="15">
        <f>VLOOKUP($T74,'2020_CapacityTable'!$B$23:$F$45,2)</f>
        <v>580</v>
      </c>
      <c r="AU74" s="15">
        <f>VLOOKUP($T74,'2020_CapacityTable'!$B$23:$F$45,3)</f>
        <v>890</v>
      </c>
      <c r="AV74" s="15">
        <f>VLOOKUP($T74,'2020_CapacityTable'!$B$23:$F$45,4)</f>
        <v>1200</v>
      </c>
      <c r="AW74" s="15">
        <f>VLOOKUP($T74,'2020_CapacityTable'!$B$23:$F$45,5)</f>
        <v>1610</v>
      </c>
      <c r="AX74" s="15">
        <f t="shared" si="168"/>
        <v>580</v>
      </c>
      <c r="AY74" s="15">
        <f t="shared" si="169"/>
        <v>890</v>
      </c>
      <c r="AZ74" s="15">
        <f t="shared" si="170"/>
        <v>1200</v>
      </c>
      <c r="BA74" s="15">
        <f t="shared" si="171"/>
        <v>1610</v>
      </c>
      <c r="BB74" s="3">
        <f t="shared" si="172"/>
        <v>1200</v>
      </c>
      <c r="BC74" s="138">
        <f>VLOOKUP($B74,'2022 counts'!$B$6:$AD$304,28,FALSE)</f>
        <v>38</v>
      </c>
      <c r="BD74" s="138">
        <f>VLOOKUP($B74,'2022 counts'!$B$6:$AD$304,29,FALSE)</f>
        <v>81</v>
      </c>
      <c r="BE74" s="11">
        <f t="shared" si="173"/>
        <v>7.0000000000000007E-2</v>
      </c>
      <c r="BF74" s="2" t="str">
        <f t="shared" si="174"/>
        <v>B</v>
      </c>
      <c r="BG74" s="135">
        <v>3.2500000000000001E-2</v>
      </c>
      <c r="BH74" s="135">
        <f>IF($AQ74="","",VLOOKUP($B74, '2022 counts'!$B$6:$T$304,19,FALSE))</f>
        <v>3.2500000000000001E-2</v>
      </c>
      <c r="BI74" s="38">
        <f t="shared" si="175"/>
        <v>3.2500000000000001E-2</v>
      </c>
      <c r="BJ74" s="39" t="str">
        <f t="shared" si="176"/>
        <v/>
      </c>
      <c r="BK74" s="15">
        <f>VLOOKUP($U74,'2020_CapacityTable'!$B$49:$F$71,2)</f>
        <v>11700</v>
      </c>
      <c r="BL74" s="15">
        <f>VLOOKUP($U74,'2020_CapacityTable'!$B$49:$F$71,3)</f>
        <v>18000</v>
      </c>
      <c r="BM74" s="15">
        <f>VLOOKUP($T74,'2020_CapacityTable'!$B$49:$F$71,4)</f>
        <v>24200</v>
      </c>
      <c r="BN74" s="15">
        <f>VLOOKUP($T74,'2020_CapacityTable'!$B$49:$F$71,5)</f>
        <v>32600</v>
      </c>
      <c r="BO74" s="15">
        <f t="shared" si="177"/>
        <v>11700</v>
      </c>
      <c r="BP74" s="15">
        <f t="shared" si="178"/>
        <v>18000</v>
      </c>
      <c r="BQ74" s="15">
        <f t="shared" si="179"/>
        <v>24200</v>
      </c>
      <c r="BR74" s="15">
        <f t="shared" si="180"/>
        <v>32600</v>
      </c>
      <c r="BS74" s="3">
        <f t="shared" si="181"/>
        <v>24200</v>
      </c>
      <c r="BT74" s="40">
        <f>'State of the System - Sumter Co'!AD74</f>
        <v>1436</v>
      </c>
      <c r="BU74" s="41">
        <f t="shared" si="182"/>
        <v>0.06</v>
      </c>
      <c r="BV74" s="2" t="str">
        <f t="shared" si="183"/>
        <v>B</v>
      </c>
      <c r="BW74" s="2">
        <f t="shared" si="184"/>
        <v>1.45</v>
      </c>
      <c r="BX74" s="15">
        <f>VLOOKUP($U74,'2020_CapacityTable'!$B$23:$F$45,2)</f>
        <v>580</v>
      </c>
      <c r="BY74" s="15">
        <f>VLOOKUP($U74,'2020_CapacityTable'!$B$23:$F$45,3)</f>
        <v>890</v>
      </c>
      <c r="BZ74" s="15">
        <f>VLOOKUP($U74,'2020_CapacityTable'!$B$23:$F$45,4)</f>
        <v>1200</v>
      </c>
      <c r="CA74" s="15">
        <f>VLOOKUP($U74,'2020_CapacityTable'!$B$23:$F$45,5)</f>
        <v>1610</v>
      </c>
      <c r="CB74" s="15">
        <f t="shared" si="185"/>
        <v>580</v>
      </c>
      <c r="CC74" s="15">
        <f t="shared" si="186"/>
        <v>890</v>
      </c>
      <c r="CD74" s="15">
        <f t="shared" si="187"/>
        <v>1200</v>
      </c>
      <c r="CE74" s="15">
        <f t="shared" si="188"/>
        <v>1610</v>
      </c>
      <c r="CF74" s="3">
        <f t="shared" si="189"/>
        <v>1200</v>
      </c>
      <c r="CG74" s="2">
        <f>'State of the System - Sumter Co'!AH74</f>
        <v>45</v>
      </c>
      <c r="CH74" s="2">
        <f>'State of the System - Sumter Co'!AI74</f>
        <v>95</v>
      </c>
      <c r="CI74" s="11">
        <f t="shared" si="190"/>
        <v>0.08</v>
      </c>
      <c r="CJ74" s="2" t="str">
        <f t="shared" si="191"/>
        <v>B</v>
      </c>
      <c r="CK74" s="3">
        <f t="shared" si="192"/>
        <v>35208</v>
      </c>
      <c r="CL74" s="11">
        <f t="shared" si="193"/>
        <v>0.04</v>
      </c>
      <c r="CM74" s="11" t="str">
        <f t="shared" si="194"/>
        <v>NOT CONGESTED</v>
      </c>
      <c r="CN74" s="3">
        <f t="shared" si="195"/>
        <v>1739</v>
      </c>
      <c r="CO74" s="11">
        <f t="shared" si="196"/>
        <v>0.05</v>
      </c>
      <c r="CP74" s="156" t="str">
        <f t="shared" si="197"/>
        <v>NOT CONGESTED</v>
      </c>
      <c r="CQ74" s="2"/>
      <c r="CR74" s="42"/>
      <c r="CS74" s="11" t="str">
        <f t="shared" si="198"/>
        <v/>
      </c>
      <c r="CT74" s="11" t="str">
        <f t="shared" si="199"/>
        <v/>
      </c>
      <c r="CU74" s="11" t="str">
        <f t="shared" si="200"/>
        <v/>
      </c>
      <c r="CV74" s="11" t="str">
        <f t="shared" si="201"/>
        <v/>
      </c>
      <c r="CW74" s="3" t="s">
        <v>586</v>
      </c>
      <c r="CX74" s="1"/>
      <c r="CY74" s="145" t="str">
        <f t="shared" si="202"/>
        <v/>
      </c>
      <c r="CZ74" s="32" t="str">
        <f t="shared" si="203"/>
        <v/>
      </c>
    </row>
    <row r="75" spans="1:104" s="9" customFormat="1" ht="12.75" customHeight="1">
      <c r="A75" s="1">
        <v>3535100</v>
      </c>
      <c r="B75" s="1">
        <f t="shared" si="204"/>
        <v>70</v>
      </c>
      <c r="C75" s="1">
        <v>94</v>
      </c>
      <c r="D75" s="1">
        <f>VLOOKUP(C75,'2022 counts'!$A$6:$B$304,2,FALSE)</f>
        <v>70</v>
      </c>
      <c r="E75" s="1"/>
      <c r="F75" s="3" t="s">
        <v>6</v>
      </c>
      <c r="G75" s="156">
        <v>55</v>
      </c>
      <c r="H75" s="11">
        <v>3.67401643057</v>
      </c>
      <c r="I75" s="10" t="s">
        <v>737</v>
      </c>
      <c r="J75" s="10" t="s">
        <v>40</v>
      </c>
      <c r="K75" s="10" t="s">
        <v>89</v>
      </c>
      <c r="L75" s="157">
        <v>2</v>
      </c>
      <c r="M75" s="1">
        <f>'State of the System - Sumter Co'!K75</f>
        <v>2</v>
      </c>
      <c r="N75" s="1" t="str">
        <f>IF('State of the System - Sumter Co'!L75="URBAN","U","R")</f>
        <v>U</v>
      </c>
      <c r="O75" s="1" t="str">
        <f>IF('State of the System - Sumter Co'!M75="UNDIVIDED","U",IF('State of the System - Sumter Co'!M75="DIVIDED","D","F"))</f>
        <v>U</v>
      </c>
      <c r="P75" s="1" t="str">
        <f>'State of the System - Sumter Co'!N75</f>
        <v>UNINTERRUPTED</v>
      </c>
      <c r="Q75" s="1" t="str">
        <f t="shared" si="156"/>
        <v/>
      </c>
      <c r="R75" s="1" t="str">
        <f>'State of the System - Sumter Co'!O75</f>
        <v/>
      </c>
      <c r="S75" s="1" t="str">
        <f t="shared" si="157"/>
        <v>-x</v>
      </c>
      <c r="T75" s="1" t="str">
        <f t="shared" si="158"/>
        <v>U-2U-x</v>
      </c>
      <c r="U75" s="1" t="str">
        <f t="shared" si="155"/>
        <v>U-2U-x</v>
      </c>
      <c r="V75" s="1" t="s">
        <v>10</v>
      </c>
      <c r="W75" s="1" t="s">
        <v>11</v>
      </c>
      <c r="X75" s="1" t="s">
        <v>21</v>
      </c>
      <c r="Y75" s="1" t="str">
        <f>'State of the System - Sumter Co'!R75</f>
        <v>D</v>
      </c>
      <c r="Z75" s="157" t="str">
        <f t="shared" si="159"/>
        <v>Other CMP Network Roadways</v>
      </c>
      <c r="AA75" s="15">
        <f>VLOOKUP($T75,'2020_CapacityTable'!$B$49:$F$71,2)</f>
        <v>11700</v>
      </c>
      <c r="AB75" s="15">
        <f>VLOOKUP($T75,'2020_CapacityTable'!$B$49:$F$71,3)</f>
        <v>18000</v>
      </c>
      <c r="AC75" s="15">
        <f>VLOOKUP($T75,'2020_CapacityTable'!$B$49:$F$71,4)</f>
        <v>24200</v>
      </c>
      <c r="AD75" s="15">
        <f>VLOOKUP($T75,'2020_CapacityTable'!$B$49:$F$71,5)</f>
        <v>32600</v>
      </c>
      <c r="AE75" s="35"/>
      <c r="AF75" s="36" t="str">
        <f t="shared" si="160"/>
        <v/>
      </c>
      <c r="AG75" s="35" t="str">
        <f t="shared" si="206"/>
        <v/>
      </c>
      <c r="AH75" s="35" t="str">
        <f t="shared" si="154"/>
        <v/>
      </c>
      <c r="AI75" s="35"/>
      <c r="AJ75" s="36"/>
      <c r="AK75" s="15">
        <f t="shared" si="161"/>
        <v>11700</v>
      </c>
      <c r="AL75" s="15">
        <f t="shared" si="162"/>
        <v>18000</v>
      </c>
      <c r="AM75" s="15">
        <f t="shared" si="163"/>
        <v>24200</v>
      </c>
      <c r="AN75" s="15">
        <f t="shared" si="164"/>
        <v>32600</v>
      </c>
      <c r="AO75" s="3">
        <f t="shared" si="205"/>
        <v>24200</v>
      </c>
      <c r="AP75" s="138">
        <f>VLOOKUP($B75,'2022 counts'!$B$6:$R$304,17,FALSE)</f>
        <v>2816</v>
      </c>
      <c r="AQ75" s="11">
        <f t="shared" si="165"/>
        <v>0.12</v>
      </c>
      <c r="AR75" s="2" t="str">
        <f t="shared" si="166"/>
        <v>B</v>
      </c>
      <c r="AS75" s="26">
        <f t="shared" si="167"/>
        <v>3.78</v>
      </c>
      <c r="AT75" s="15">
        <f>VLOOKUP($T75,'2020_CapacityTable'!$B$23:$F$45,2)</f>
        <v>580</v>
      </c>
      <c r="AU75" s="15">
        <f>VLOOKUP($T75,'2020_CapacityTable'!$B$23:$F$45,3)</f>
        <v>890</v>
      </c>
      <c r="AV75" s="15">
        <f>VLOOKUP($T75,'2020_CapacityTable'!$B$23:$F$45,4)</f>
        <v>1200</v>
      </c>
      <c r="AW75" s="15">
        <f>VLOOKUP($T75,'2020_CapacityTable'!$B$23:$F$45,5)</f>
        <v>1610</v>
      </c>
      <c r="AX75" s="15">
        <f t="shared" si="168"/>
        <v>580</v>
      </c>
      <c r="AY75" s="15">
        <f t="shared" si="169"/>
        <v>890</v>
      </c>
      <c r="AZ75" s="15">
        <f t="shared" si="170"/>
        <v>1200</v>
      </c>
      <c r="BA75" s="15">
        <f t="shared" si="171"/>
        <v>1610</v>
      </c>
      <c r="BB75" s="3">
        <f t="shared" si="172"/>
        <v>1200</v>
      </c>
      <c r="BC75" s="138">
        <f>VLOOKUP($B75,'2022 counts'!$B$6:$AD$304,28,FALSE)</f>
        <v>119</v>
      </c>
      <c r="BD75" s="138">
        <f>VLOOKUP($B75,'2022 counts'!$B$6:$AD$304,29,FALSE)</f>
        <v>128</v>
      </c>
      <c r="BE75" s="11">
        <f t="shared" si="173"/>
        <v>0.11</v>
      </c>
      <c r="BF75" s="2" t="str">
        <f t="shared" si="174"/>
        <v>B</v>
      </c>
      <c r="BG75" s="135">
        <v>2.75E-2</v>
      </c>
      <c r="BH75" s="135">
        <f>IF($AQ75="","",VLOOKUP($B75, '2022 counts'!$B$6:$T$304,19,FALSE))</f>
        <v>2.75E-2</v>
      </c>
      <c r="BI75" s="38">
        <f t="shared" si="175"/>
        <v>2.75E-2</v>
      </c>
      <c r="BJ75" s="39" t="str">
        <f t="shared" si="176"/>
        <v/>
      </c>
      <c r="BK75" s="15">
        <f>VLOOKUP($U75,'2020_CapacityTable'!$B$49:$F$71,2)</f>
        <v>11700</v>
      </c>
      <c r="BL75" s="15">
        <f>VLOOKUP($U75,'2020_CapacityTable'!$B$49:$F$71,3)</f>
        <v>18000</v>
      </c>
      <c r="BM75" s="15">
        <f>VLOOKUP($T75,'2020_CapacityTable'!$B$49:$F$71,4)</f>
        <v>24200</v>
      </c>
      <c r="BN75" s="15">
        <f>VLOOKUP($T75,'2020_CapacityTable'!$B$49:$F$71,5)</f>
        <v>32600</v>
      </c>
      <c r="BO75" s="15">
        <f t="shared" si="177"/>
        <v>11700</v>
      </c>
      <c r="BP75" s="15">
        <f t="shared" si="178"/>
        <v>18000</v>
      </c>
      <c r="BQ75" s="15">
        <f t="shared" si="179"/>
        <v>24200</v>
      </c>
      <c r="BR75" s="15">
        <f t="shared" si="180"/>
        <v>32600</v>
      </c>
      <c r="BS75" s="3">
        <f t="shared" si="181"/>
        <v>24200</v>
      </c>
      <c r="BT75" s="40">
        <f>'State of the System - Sumter Co'!AD75</f>
        <v>3225</v>
      </c>
      <c r="BU75" s="41">
        <f t="shared" si="182"/>
        <v>0.13</v>
      </c>
      <c r="BV75" s="2" t="str">
        <f t="shared" si="183"/>
        <v>B</v>
      </c>
      <c r="BW75" s="2">
        <f t="shared" si="184"/>
        <v>4.32</v>
      </c>
      <c r="BX75" s="15">
        <f>VLOOKUP($U75,'2020_CapacityTable'!$B$23:$F$45,2)</f>
        <v>580</v>
      </c>
      <c r="BY75" s="15">
        <f>VLOOKUP($U75,'2020_CapacityTable'!$B$23:$F$45,3)</f>
        <v>890</v>
      </c>
      <c r="BZ75" s="15">
        <f>VLOOKUP($U75,'2020_CapacityTable'!$B$23:$F$45,4)</f>
        <v>1200</v>
      </c>
      <c r="CA75" s="15">
        <f>VLOOKUP($U75,'2020_CapacityTable'!$B$23:$F$45,5)</f>
        <v>1610</v>
      </c>
      <c r="CB75" s="15">
        <f t="shared" si="185"/>
        <v>580</v>
      </c>
      <c r="CC75" s="15">
        <f t="shared" si="186"/>
        <v>890</v>
      </c>
      <c r="CD75" s="15">
        <f t="shared" si="187"/>
        <v>1200</v>
      </c>
      <c r="CE75" s="15">
        <f t="shared" si="188"/>
        <v>1610</v>
      </c>
      <c r="CF75" s="3">
        <f t="shared" si="189"/>
        <v>1200</v>
      </c>
      <c r="CG75" s="2">
        <f>'State of the System - Sumter Co'!AH75</f>
        <v>136</v>
      </c>
      <c r="CH75" s="2">
        <f>'State of the System - Sumter Co'!AI75</f>
        <v>147</v>
      </c>
      <c r="CI75" s="11">
        <f t="shared" si="190"/>
        <v>0.12</v>
      </c>
      <c r="CJ75" s="2" t="str">
        <f t="shared" si="191"/>
        <v>B</v>
      </c>
      <c r="CK75" s="3">
        <f t="shared" si="192"/>
        <v>35208</v>
      </c>
      <c r="CL75" s="11">
        <f t="shared" si="193"/>
        <v>0.09</v>
      </c>
      <c r="CM75" s="11" t="str">
        <f t="shared" si="194"/>
        <v>NOT CONGESTED</v>
      </c>
      <c r="CN75" s="3">
        <f t="shared" si="195"/>
        <v>1739</v>
      </c>
      <c r="CO75" s="11">
        <f t="shared" si="196"/>
        <v>0.08</v>
      </c>
      <c r="CP75" s="156" t="str">
        <f t="shared" si="197"/>
        <v>NOT CONGESTED</v>
      </c>
      <c r="CQ75" s="2"/>
      <c r="CR75" s="42"/>
      <c r="CS75" s="11" t="str">
        <f t="shared" si="198"/>
        <v/>
      </c>
      <c r="CT75" s="11" t="str">
        <f t="shared" si="199"/>
        <v/>
      </c>
      <c r="CU75" s="11" t="str">
        <f t="shared" si="200"/>
        <v/>
      </c>
      <c r="CV75" s="11" t="str">
        <f t="shared" si="201"/>
        <v/>
      </c>
      <c r="CW75" s="3"/>
      <c r="CX75" s="1" t="s">
        <v>585</v>
      </c>
      <c r="CY75" s="145" t="str">
        <f t="shared" si="202"/>
        <v/>
      </c>
      <c r="CZ75" s="32" t="str">
        <f t="shared" si="203"/>
        <v/>
      </c>
    </row>
    <row r="76" spans="1:104" s="9" customFormat="1" ht="12.75" customHeight="1">
      <c r="A76" s="1">
        <v>3535110</v>
      </c>
      <c r="B76" s="1">
        <f t="shared" si="204"/>
        <v>68</v>
      </c>
      <c r="C76" s="1">
        <v>93</v>
      </c>
      <c r="D76" s="1">
        <f>VLOOKUP(C76,'2022 counts'!$A$6:$B$304,2,FALSE)</f>
        <v>68</v>
      </c>
      <c r="E76" s="1"/>
      <c r="F76" s="3" t="s">
        <v>6</v>
      </c>
      <c r="G76" s="156">
        <v>55</v>
      </c>
      <c r="H76" s="11">
        <v>1.2555279857099999</v>
      </c>
      <c r="I76" s="10" t="s">
        <v>729</v>
      </c>
      <c r="J76" s="10" t="s">
        <v>89</v>
      </c>
      <c r="K76" s="10" t="s">
        <v>81</v>
      </c>
      <c r="L76" s="157">
        <v>2</v>
      </c>
      <c r="M76" s="1">
        <f>'State of the System - Sumter Co'!K76</f>
        <v>2</v>
      </c>
      <c r="N76" s="1" t="str">
        <f>IF('State of the System - Sumter Co'!L76="URBAN","U","R")</f>
        <v>U</v>
      </c>
      <c r="O76" s="1" t="str">
        <f>IF('State of the System - Sumter Co'!M76="UNDIVIDED","U",IF('State of the System - Sumter Co'!M76="DIVIDED","D","F"))</f>
        <v>U</v>
      </c>
      <c r="P76" s="1" t="str">
        <f>'State of the System - Sumter Co'!N76</f>
        <v>UNINTERRUPTED</v>
      </c>
      <c r="Q76" s="1" t="str">
        <f t="shared" si="156"/>
        <v/>
      </c>
      <c r="R76" s="1" t="str">
        <f>'State of the System - Sumter Co'!O76</f>
        <v/>
      </c>
      <c r="S76" s="1" t="str">
        <f t="shared" si="157"/>
        <v>-x</v>
      </c>
      <c r="T76" s="1" t="str">
        <f t="shared" si="158"/>
        <v>U-2U-x</v>
      </c>
      <c r="U76" s="1" t="str">
        <f t="shared" si="155"/>
        <v>U-2U-x</v>
      </c>
      <c r="V76" s="1" t="s">
        <v>10</v>
      </c>
      <c r="W76" s="1" t="s">
        <v>90</v>
      </c>
      <c r="X76" s="1" t="s">
        <v>21</v>
      </c>
      <c r="Y76" s="1" t="str">
        <f>'State of the System - Sumter Co'!R76</f>
        <v>D</v>
      </c>
      <c r="Z76" s="157" t="str">
        <f t="shared" si="159"/>
        <v>Other CMP Network Roadways</v>
      </c>
      <c r="AA76" s="15">
        <f>VLOOKUP($T76,'2020_CapacityTable'!$B$49:$F$71,2)</f>
        <v>11700</v>
      </c>
      <c r="AB76" s="15">
        <f>VLOOKUP($T76,'2020_CapacityTable'!$B$49:$F$71,3)</f>
        <v>18000</v>
      </c>
      <c r="AC76" s="15">
        <f>VLOOKUP($T76,'2020_CapacityTable'!$B$49:$F$71,4)</f>
        <v>24200</v>
      </c>
      <c r="AD76" s="15">
        <f>VLOOKUP($T76,'2020_CapacityTable'!$B$49:$F$71,5)</f>
        <v>32600</v>
      </c>
      <c r="AE76" s="35"/>
      <c r="AF76" s="36" t="str">
        <f t="shared" si="160"/>
        <v/>
      </c>
      <c r="AG76" s="35" t="str">
        <f t="shared" si="206"/>
        <v/>
      </c>
      <c r="AH76" s="35" t="str">
        <f t="shared" si="154"/>
        <v/>
      </c>
      <c r="AI76" s="35"/>
      <c r="AJ76" s="36"/>
      <c r="AK76" s="15">
        <f t="shared" si="161"/>
        <v>11700</v>
      </c>
      <c r="AL76" s="15">
        <f t="shared" si="162"/>
        <v>18000</v>
      </c>
      <c r="AM76" s="15">
        <f t="shared" si="163"/>
        <v>24200</v>
      </c>
      <c r="AN76" s="15">
        <f t="shared" si="164"/>
        <v>32600</v>
      </c>
      <c r="AO76" s="3">
        <f t="shared" si="205"/>
        <v>24200</v>
      </c>
      <c r="AP76" s="138">
        <f>VLOOKUP($B76,'2022 counts'!$B$6:$R$304,17,FALSE)</f>
        <v>375</v>
      </c>
      <c r="AQ76" s="11">
        <f t="shared" si="165"/>
        <v>0.02</v>
      </c>
      <c r="AR76" s="2" t="str">
        <f t="shared" si="166"/>
        <v>B</v>
      </c>
      <c r="AS76" s="26">
        <f t="shared" si="167"/>
        <v>0.17</v>
      </c>
      <c r="AT76" s="15">
        <f>VLOOKUP($T76,'2020_CapacityTable'!$B$23:$F$45,2)</f>
        <v>580</v>
      </c>
      <c r="AU76" s="15">
        <f>VLOOKUP($T76,'2020_CapacityTable'!$B$23:$F$45,3)</f>
        <v>890</v>
      </c>
      <c r="AV76" s="15">
        <f>VLOOKUP($T76,'2020_CapacityTable'!$B$23:$F$45,4)</f>
        <v>1200</v>
      </c>
      <c r="AW76" s="15">
        <f>VLOOKUP($T76,'2020_CapacityTable'!$B$23:$F$45,5)</f>
        <v>1610</v>
      </c>
      <c r="AX76" s="15">
        <f t="shared" si="168"/>
        <v>580</v>
      </c>
      <c r="AY76" s="15">
        <f t="shared" si="169"/>
        <v>890</v>
      </c>
      <c r="AZ76" s="15">
        <f t="shared" si="170"/>
        <v>1200</v>
      </c>
      <c r="BA76" s="15">
        <f t="shared" si="171"/>
        <v>1610</v>
      </c>
      <c r="BB76" s="3">
        <f t="shared" si="172"/>
        <v>1200</v>
      </c>
      <c r="BC76" s="138">
        <f>VLOOKUP($B76,'2022 counts'!$B$6:$AD$304,28,FALSE)</f>
        <v>35</v>
      </c>
      <c r="BD76" s="138">
        <f>VLOOKUP($B76,'2022 counts'!$B$6:$AD$304,29,FALSE)</f>
        <v>18</v>
      </c>
      <c r="BE76" s="11">
        <f t="shared" si="173"/>
        <v>0.03</v>
      </c>
      <c r="BF76" s="2" t="str">
        <f t="shared" ref="BF76" si="207">IF(BE76="","",IF(MAX(BC76,BD76)&lt;=$AX76,"B",IF(MAX(BC76,BD76)&lt;=$AY76,"C",IF(MAX(BC76,BD76)&lt;=$AZ76,"D",IF(MAX(BC76,BD76)&lt;=$BA76,"E","F")))))</f>
        <v>B</v>
      </c>
      <c r="BG76" s="135">
        <v>0</v>
      </c>
      <c r="BH76" s="135">
        <f>IF($AQ76="","",VLOOKUP($B76, '2022 counts'!$B$6:$T$304,19,FALSE))</f>
        <v>0</v>
      </c>
      <c r="BI76" s="38">
        <f t="shared" si="175"/>
        <v>0.01</v>
      </c>
      <c r="BJ76" s="39" t="str">
        <f t="shared" si="176"/>
        <v>minimum</v>
      </c>
      <c r="BK76" s="15">
        <f>VLOOKUP($U76,'2020_CapacityTable'!$B$49:$F$71,2)</f>
        <v>11700</v>
      </c>
      <c r="BL76" s="15">
        <f>VLOOKUP($U76,'2020_CapacityTable'!$B$49:$F$71,3)</f>
        <v>18000</v>
      </c>
      <c r="BM76" s="15">
        <f>VLOOKUP($T76,'2020_CapacityTable'!$B$49:$F$71,4)</f>
        <v>24200</v>
      </c>
      <c r="BN76" s="15">
        <f>VLOOKUP($T76,'2020_CapacityTable'!$B$49:$F$71,5)</f>
        <v>32600</v>
      </c>
      <c r="BO76" s="15">
        <f t="shared" si="177"/>
        <v>11700</v>
      </c>
      <c r="BP76" s="15">
        <f t="shared" si="178"/>
        <v>18000</v>
      </c>
      <c r="BQ76" s="15">
        <f t="shared" si="179"/>
        <v>24200</v>
      </c>
      <c r="BR76" s="15">
        <f t="shared" si="180"/>
        <v>32600</v>
      </c>
      <c r="BS76" s="3">
        <f t="shared" si="181"/>
        <v>24200</v>
      </c>
      <c r="BT76" s="40">
        <f>'State of the System - Sumter Co'!AD76</f>
        <v>394</v>
      </c>
      <c r="BU76" s="41">
        <f t="shared" si="182"/>
        <v>0.02</v>
      </c>
      <c r="BV76" s="2" t="str">
        <f t="shared" si="183"/>
        <v>B</v>
      </c>
      <c r="BW76" s="2">
        <f t="shared" si="184"/>
        <v>0.18</v>
      </c>
      <c r="BX76" s="15">
        <f>VLOOKUP($U76,'2020_CapacityTable'!$B$23:$F$45,2)</f>
        <v>580</v>
      </c>
      <c r="BY76" s="15">
        <f>VLOOKUP($U76,'2020_CapacityTable'!$B$23:$F$45,3)</f>
        <v>890</v>
      </c>
      <c r="BZ76" s="15">
        <f>VLOOKUP($U76,'2020_CapacityTable'!$B$23:$F$45,4)</f>
        <v>1200</v>
      </c>
      <c r="CA76" s="15">
        <f>VLOOKUP($U76,'2020_CapacityTable'!$B$23:$F$45,5)</f>
        <v>1610</v>
      </c>
      <c r="CB76" s="15">
        <f t="shared" si="185"/>
        <v>580</v>
      </c>
      <c r="CC76" s="15">
        <f t="shared" si="186"/>
        <v>890</v>
      </c>
      <c r="CD76" s="15">
        <f t="shared" si="187"/>
        <v>1200</v>
      </c>
      <c r="CE76" s="15">
        <f t="shared" si="188"/>
        <v>1610</v>
      </c>
      <c r="CF76" s="3">
        <f t="shared" si="189"/>
        <v>1200</v>
      </c>
      <c r="CG76" s="2">
        <f>'State of the System - Sumter Co'!AH76</f>
        <v>37</v>
      </c>
      <c r="CH76" s="2">
        <f>'State of the System - Sumter Co'!AI76</f>
        <v>19</v>
      </c>
      <c r="CI76" s="11">
        <f t="shared" si="190"/>
        <v>0.03</v>
      </c>
      <c r="CJ76" s="2" t="str">
        <f t="shared" si="191"/>
        <v>B</v>
      </c>
      <c r="CK76" s="3">
        <f t="shared" si="192"/>
        <v>35208</v>
      </c>
      <c r="CL76" s="11">
        <f t="shared" si="193"/>
        <v>0.01</v>
      </c>
      <c r="CM76" s="11" t="str">
        <f t="shared" si="194"/>
        <v>NOT CONGESTED</v>
      </c>
      <c r="CN76" s="3">
        <f t="shared" si="195"/>
        <v>1739</v>
      </c>
      <c r="CO76" s="11">
        <f t="shared" si="196"/>
        <v>0.02</v>
      </c>
      <c r="CP76" s="156" t="str">
        <f t="shared" si="197"/>
        <v>NOT CONGESTED</v>
      </c>
      <c r="CQ76" s="2"/>
      <c r="CR76" s="42"/>
      <c r="CS76" s="11" t="str">
        <f t="shared" si="198"/>
        <v/>
      </c>
      <c r="CT76" s="11" t="str">
        <f t="shared" si="199"/>
        <v/>
      </c>
      <c r="CU76" s="11" t="str">
        <f t="shared" si="200"/>
        <v/>
      </c>
      <c r="CV76" s="11" t="str">
        <f t="shared" si="201"/>
        <v/>
      </c>
      <c r="CW76" s="3"/>
      <c r="CX76" s="1" t="s">
        <v>585</v>
      </c>
      <c r="CY76" s="145" t="str">
        <f t="shared" si="202"/>
        <v/>
      </c>
      <c r="CZ76" s="32" t="str">
        <f t="shared" si="203"/>
        <v/>
      </c>
    </row>
    <row r="77" spans="1:104" s="9" customFormat="1" ht="12.75" customHeight="1">
      <c r="A77" s="1">
        <v>3537100</v>
      </c>
      <c r="B77" s="1" t="str">
        <f t="shared" si="204"/>
        <v>2020-18</v>
      </c>
      <c r="C77" s="1">
        <v>18</v>
      </c>
      <c r="D77" s="1" t="str">
        <f>VLOOKUP(C77,'2022 counts'!$A$6:$B$304,2,FALSE)</f>
        <v>2020-18</v>
      </c>
      <c r="E77" s="1"/>
      <c r="F77" s="2" t="s">
        <v>6</v>
      </c>
      <c r="G77" s="156">
        <v>45</v>
      </c>
      <c r="H77" s="11">
        <v>1.3912024649600001</v>
      </c>
      <c r="I77" s="10" t="s">
        <v>716</v>
      </c>
      <c r="J77" s="10" t="s">
        <v>746</v>
      </c>
      <c r="K77" s="10" t="s">
        <v>43</v>
      </c>
      <c r="L77" s="157">
        <v>2</v>
      </c>
      <c r="M77" s="1">
        <f>'State of the System - Sumter Co'!K77</f>
        <v>2</v>
      </c>
      <c r="N77" s="1" t="str">
        <f>IF('State of the System - Sumter Co'!L77="URBAN","U","R")</f>
        <v>U</v>
      </c>
      <c r="O77" s="1" t="str">
        <f>IF('State of the System - Sumter Co'!M77="UNDIVIDED","U",IF('State of the System - Sumter Co'!M77="DIVIDED","D","F"))</f>
        <v>U</v>
      </c>
      <c r="P77" s="1" t="str">
        <f>'State of the System - Sumter Co'!N77</f>
        <v>UNINTERRUPTED</v>
      </c>
      <c r="Q77" s="1" t="str">
        <f t="shared" si="156"/>
        <v/>
      </c>
      <c r="R77" s="1" t="str">
        <f>'State of the System - Sumter Co'!O77</f>
        <v/>
      </c>
      <c r="S77" s="1" t="str">
        <f t="shared" si="157"/>
        <v>-x</v>
      </c>
      <c r="T77" s="1" t="str">
        <f t="shared" si="158"/>
        <v>U-2U-x</v>
      </c>
      <c r="U77" s="1" t="str">
        <f t="shared" si="155"/>
        <v>U-2U-x</v>
      </c>
      <c r="V77" s="1" t="s">
        <v>10</v>
      </c>
      <c r="W77" s="1" t="s">
        <v>11</v>
      </c>
      <c r="X77" s="1" t="s">
        <v>21</v>
      </c>
      <c r="Y77" s="1" t="str">
        <f>'State of the System - Sumter Co'!R77</f>
        <v>D</v>
      </c>
      <c r="Z77" s="157" t="str">
        <f t="shared" si="159"/>
        <v>Other CMP Network Roadways</v>
      </c>
      <c r="AA77" s="15">
        <f>VLOOKUP($T77,'2020_CapacityTable'!$B$49:$F$71,2)</f>
        <v>11700</v>
      </c>
      <c r="AB77" s="15">
        <f>VLOOKUP($T77,'2020_CapacityTable'!$B$49:$F$71,3)</f>
        <v>18000</v>
      </c>
      <c r="AC77" s="15">
        <f>VLOOKUP($T77,'2020_CapacityTable'!$B$49:$F$71,4)</f>
        <v>24200</v>
      </c>
      <c r="AD77" s="15">
        <f>VLOOKUP($T77,'2020_CapacityTable'!$B$49:$F$71,5)</f>
        <v>32600</v>
      </c>
      <c r="AE77" s="35"/>
      <c r="AF77" s="36" t="str">
        <f t="shared" si="160"/>
        <v/>
      </c>
      <c r="AG77" s="35" t="str">
        <f t="shared" si="206"/>
        <v/>
      </c>
      <c r="AH77" s="35" t="str">
        <f t="shared" si="154"/>
        <v/>
      </c>
      <c r="AI77" s="35"/>
      <c r="AJ77" s="36"/>
      <c r="AK77" s="15">
        <f t="shared" si="161"/>
        <v>11700</v>
      </c>
      <c r="AL77" s="15">
        <f t="shared" si="162"/>
        <v>18000</v>
      </c>
      <c r="AM77" s="15">
        <f t="shared" si="163"/>
        <v>24200</v>
      </c>
      <c r="AN77" s="15">
        <f t="shared" si="164"/>
        <v>32600</v>
      </c>
      <c r="AO77" s="3">
        <f t="shared" si="205"/>
        <v>24200</v>
      </c>
      <c r="AP77" s="138">
        <f>VLOOKUP($B77,'2022 counts'!$B$6:$R$304,17,FALSE)</f>
        <v>6963.0571428571129</v>
      </c>
      <c r="AQ77" s="11">
        <f t="shared" si="165"/>
        <v>0.28999999999999998</v>
      </c>
      <c r="AR77" s="2" t="str">
        <f t="shared" si="166"/>
        <v>B</v>
      </c>
      <c r="AS77" s="26">
        <f t="shared" si="167"/>
        <v>3.54</v>
      </c>
      <c r="AT77" s="15">
        <f>VLOOKUP($T77,'2020_CapacityTable'!$B$23:$F$45,2)</f>
        <v>580</v>
      </c>
      <c r="AU77" s="15">
        <f>VLOOKUP($T77,'2020_CapacityTable'!$B$23:$F$45,3)</f>
        <v>890</v>
      </c>
      <c r="AV77" s="15">
        <f>VLOOKUP($T77,'2020_CapacityTable'!$B$23:$F$45,4)</f>
        <v>1200</v>
      </c>
      <c r="AW77" s="15">
        <f>VLOOKUP($T77,'2020_CapacityTable'!$B$23:$F$45,5)</f>
        <v>1610</v>
      </c>
      <c r="AX77" s="15">
        <f t="shared" si="168"/>
        <v>580</v>
      </c>
      <c r="AY77" s="15">
        <f t="shared" si="169"/>
        <v>890</v>
      </c>
      <c r="AZ77" s="15">
        <f t="shared" si="170"/>
        <v>1200</v>
      </c>
      <c r="BA77" s="15">
        <f t="shared" si="171"/>
        <v>1610</v>
      </c>
      <c r="BB77" s="3">
        <f t="shared" si="172"/>
        <v>1200</v>
      </c>
      <c r="BC77" s="138">
        <f>VLOOKUP($B77,'2022 counts'!$B$6:$AD$304,28,FALSE)</f>
        <v>297</v>
      </c>
      <c r="BD77" s="138">
        <f>VLOOKUP($B77,'2022 counts'!$B$6:$AD$304,29,FALSE)</f>
        <v>190</v>
      </c>
      <c r="BE77" s="11">
        <f t="shared" si="173"/>
        <v>0.25</v>
      </c>
      <c r="BF77" s="2" t="str">
        <f t="shared" si="174"/>
        <v>B</v>
      </c>
      <c r="BG77" s="135">
        <v>2.5000000000000001E-3</v>
      </c>
      <c r="BH77" s="135">
        <f>IF($AQ77="","",VLOOKUP($B77, '2022 counts'!$B$6:$T$304,19,FALSE))</f>
        <v>4.2500000000000003E-2</v>
      </c>
      <c r="BI77" s="38">
        <f t="shared" si="175"/>
        <v>4.2500000000000003E-2</v>
      </c>
      <c r="BJ77" s="39" t="str">
        <f t="shared" si="176"/>
        <v>(1)</v>
      </c>
      <c r="BK77" s="15">
        <f>VLOOKUP($U77,'2020_CapacityTable'!$B$49:$F$71,2)</f>
        <v>11700</v>
      </c>
      <c r="BL77" s="15">
        <f>VLOOKUP($U77,'2020_CapacityTable'!$B$49:$F$71,3)</f>
        <v>18000</v>
      </c>
      <c r="BM77" s="15">
        <f>VLOOKUP($T77,'2020_CapacityTable'!$B$49:$F$71,4)</f>
        <v>24200</v>
      </c>
      <c r="BN77" s="15">
        <f>VLOOKUP($T77,'2020_CapacityTable'!$B$49:$F$71,5)</f>
        <v>32600</v>
      </c>
      <c r="BO77" s="15">
        <f t="shared" si="177"/>
        <v>11700</v>
      </c>
      <c r="BP77" s="15">
        <f t="shared" si="178"/>
        <v>18000</v>
      </c>
      <c r="BQ77" s="15">
        <f t="shared" si="179"/>
        <v>24200</v>
      </c>
      <c r="BR77" s="15">
        <f t="shared" si="180"/>
        <v>32600</v>
      </c>
      <c r="BS77" s="3">
        <f t="shared" si="181"/>
        <v>24200</v>
      </c>
      <c r="BT77" s="40">
        <f>'State of the System - Sumter Co'!AD77</f>
        <v>8574</v>
      </c>
      <c r="BU77" s="41">
        <f t="shared" si="182"/>
        <v>0.35</v>
      </c>
      <c r="BV77" s="2" t="str">
        <f t="shared" si="183"/>
        <v>B</v>
      </c>
      <c r="BW77" s="2">
        <f t="shared" si="184"/>
        <v>4.3499999999999996</v>
      </c>
      <c r="BX77" s="15">
        <f>VLOOKUP($U77,'2020_CapacityTable'!$B$23:$F$45,2)</f>
        <v>580</v>
      </c>
      <c r="BY77" s="15">
        <f>VLOOKUP($U77,'2020_CapacityTable'!$B$23:$F$45,3)</f>
        <v>890</v>
      </c>
      <c r="BZ77" s="15">
        <f>VLOOKUP($U77,'2020_CapacityTable'!$B$23:$F$45,4)</f>
        <v>1200</v>
      </c>
      <c r="CA77" s="15">
        <f>VLOOKUP($U77,'2020_CapacityTable'!$B$23:$F$45,5)</f>
        <v>1610</v>
      </c>
      <c r="CB77" s="15">
        <f t="shared" si="185"/>
        <v>580</v>
      </c>
      <c r="CC77" s="15">
        <f t="shared" si="186"/>
        <v>890</v>
      </c>
      <c r="CD77" s="15">
        <f t="shared" si="187"/>
        <v>1200</v>
      </c>
      <c r="CE77" s="15">
        <f t="shared" si="188"/>
        <v>1610</v>
      </c>
      <c r="CF77" s="3">
        <f t="shared" si="189"/>
        <v>1200</v>
      </c>
      <c r="CG77" s="2">
        <f>'State of the System - Sumter Co'!AH77</f>
        <v>366</v>
      </c>
      <c r="CH77" s="2">
        <f>'State of the System - Sumter Co'!AI77</f>
        <v>234</v>
      </c>
      <c r="CI77" s="11">
        <f t="shared" si="190"/>
        <v>0.31</v>
      </c>
      <c r="CJ77" s="2" t="str">
        <f t="shared" si="191"/>
        <v>B</v>
      </c>
      <c r="CK77" s="3">
        <f t="shared" si="192"/>
        <v>35208</v>
      </c>
      <c r="CL77" s="11">
        <f t="shared" si="193"/>
        <v>0.24</v>
      </c>
      <c r="CM77" s="11" t="str">
        <f t="shared" si="194"/>
        <v>NOT CONGESTED</v>
      </c>
      <c r="CN77" s="3">
        <f t="shared" si="195"/>
        <v>1739</v>
      </c>
      <c r="CO77" s="11">
        <f t="shared" si="196"/>
        <v>0.21</v>
      </c>
      <c r="CP77" s="156" t="str">
        <f t="shared" si="197"/>
        <v>NOT CONGESTED</v>
      </c>
      <c r="CQ77" s="2"/>
      <c r="CR77" s="42"/>
      <c r="CS77" s="11" t="str">
        <f t="shared" si="198"/>
        <v/>
      </c>
      <c r="CT77" s="11" t="str">
        <f t="shared" si="199"/>
        <v/>
      </c>
      <c r="CU77" s="11" t="str">
        <f t="shared" si="200"/>
        <v/>
      </c>
      <c r="CV77" s="11" t="str">
        <f t="shared" si="201"/>
        <v/>
      </c>
      <c r="CW77" s="3"/>
      <c r="CX77" s="1"/>
      <c r="CY77" s="145" t="str">
        <f t="shared" si="202"/>
        <v/>
      </c>
      <c r="CZ77" s="32" t="str">
        <f t="shared" si="203"/>
        <v/>
      </c>
    </row>
    <row r="78" spans="1:104" s="9" customFormat="1" ht="12.75" customHeight="1">
      <c r="A78" s="1">
        <v>3537120</v>
      </c>
      <c r="B78" s="1">
        <f t="shared" si="204"/>
        <v>49</v>
      </c>
      <c r="C78" s="1">
        <v>77</v>
      </c>
      <c r="D78" s="1">
        <f>VLOOKUP(C78,'2022 counts'!$A$6:$B$304,2,FALSE)</f>
        <v>49</v>
      </c>
      <c r="E78" s="1"/>
      <c r="F78" s="3" t="s">
        <v>6</v>
      </c>
      <c r="G78" s="156">
        <v>55</v>
      </c>
      <c r="H78" s="11">
        <v>2.1985161257699999</v>
      </c>
      <c r="I78" s="10" t="s">
        <v>731</v>
      </c>
      <c r="J78" s="10" t="s">
        <v>716</v>
      </c>
      <c r="K78" s="10" t="s">
        <v>34</v>
      </c>
      <c r="L78" s="157">
        <v>2</v>
      </c>
      <c r="M78" s="1">
        <f>'State of the System - Sumter Co'!K78</f>
        <v>2</v>
      </c>
      <c r="N78" s="1" t="str">
        <f>IF('State of the System - Sumter Co'!L78="URBAN","U","R")</f>
        <v>U</v>
      </c>
      <c r="O78" s="1" t="str">
        <f>IF('State of the System - Sumter Co'!M78="UNDIVIDED","U",IF('State of the System - Sumter Co'!M78="DIVIDED","D","F"))</f>
        <v>U</v>
      </c>
      <c r="P78" s="1" t="str">
        <f>'State of the System - Sumter Co'!N78</f>
        <v>UNINTERRUPTED</v>
      </c>
      <c r="Q78" s="1" t="str">
        <f t="shared" si="156"/>
        <v/>
      </c>
      <c r="R78" s="1" t="str">
        <f>'State of the System - Sumter Co'!O78</f>
        <v/>
      </c>
      <c r="S78" s="1" t="str">
        <f t="shared" si="157"/>
        <v>-x</v>
      </c>
      <c r="T78" s="1" t="str">
        <f t="shared" si="158"/>
        <v>U-2U-x</v>
      </c>
      <c r="U78" s="1" t="str">
        <f t="shared" si="155"/>
        <v>U-2U-x</v>
      </c>
      <c r="V78" s="1" t="s">
        <v>10</v>
      </c>
      <c r="W78" s="1" t="s">
        <v>11</v>
      </c>
      <c r="X78" s="1" t="s">
        <v>21</v>
      </c>
      <c r="Y78" s="1" t="str">
        <f>'State of the System - Sumter Co'!R78</f>
        <v>D</v>
      </c>
      <c r="Z78" s="157" t="str">
        <f t="shared" si="159"/>
        <v>Other CMP Network Roadways</v>
      </c>
      <c r="AA78" s="15">
        <f>VLOOKUP($T78,'2020_CapacityTable'!$B$49:$F$71,2)</f>
        <v>11700</v>
      </c>
      <c r="AB78" s="15">
        <f>VLOOKUP($T78,'2020_CapacityTable'!$B$49:$F$71,3)</f>
        <v>18000</v>
      </c>
      <c r="AC78" s="15">
        <f>VLOOKUP($T78,'2020_CapacityTable'!$B$49:$F$71,4)</f>
        <v>24200</v>
      </c>
      <c r="AD78" s="15">
        <f>VLOOKUP($T78,'2020_CapacityTable'!$B$49:$F$71,5)</f>
        <v>32600</v>
      </c>
      <c r="AE78" s="35"/>
      <c r="AF78" s="36" t="str">
        <f t="shared" si="160"/>
        <v/>
      </c>
      <c r="AG78" s="35" t="str">
        <f t="shared" si="206"/>
        <v/>
      </c>
      <c r="AH78" s="35" t="str">
        <f t="shared" si="154"/>
        <v/>
      </c>
      <c r="AI78" s="35"/>
      <c r="AJ78" s="36"/>
      <c r="AK78" s="15">
        <f t="shared" si="161"/>
        <v>11700</v>
      </c>
      <c r="AL78" s="15">
        <f t="shared" si="162"/>
        <v>18000</v>
      </c>
      <c r="AM78" s="15">
        <f t="shared" si="163"/>
        <v>24200</v>
      </c>
      <c r="AN78" s="15">
        <f t="shared" si="164"/>
        <v>32600</v>
      </c>
      <c r="AO78" s="3">
        <f t="shared" si="205"/>
        <v>24200</v>
      </c>
      <c r="AP78" s="138">
        <f>VLOOKUP($B78,'2022 counts'!$B$6:$R$304,17,FALSE)</f>
        <v>7106</v>
      </c>
      <c r="AQ78" s="11">
        <f t="shared" si="165"/>
        <v>0.28999999999999998</v>
      </c>
      <c r="AR78" s="2" t="str">
        <f t="shared" si="166"/>
        <v>B</v>
      </c>
      <c r="AS78" s="26">
        <f t="shared" si="167"/>
        <v>5.7</v>
      </c>
      <c r="AT78" s="15">
        <f>VLOOKUP($T78,'2020_CapacityTable'!$B$23:$F$45,2)</f>
        <v>580</v>
      </c>
      <c r="AU78" s="15">
        <f>VLOOKUP($T78,'2020_CapacityTable'!$B$23:$F$45,3)</f>
        <v>890</v>
      </c>
      <c r="AV78" s="15">
        <f>VLOOKUP($T78,'2020_CapacityTable'!$B$23:$F$45,4)</f>
        <v>1200</v>
      </c>
      <c r="AW78" s="15">
        <f>VLOOKUP($T78,'2020_CapacityTable'!$B$23:$F$45,5)</f>
        <v>1610</v>
      </c>
      <c r="AX78" s="15">
        <f t="shared" si="168"/>
        <v>580</v>
      </c>
      <c r="AY78" s="15">
        <f t="shared" si="169"/>
        <v>890</v>
      </c>
      <c r="AZ78" s="15">
        <f t="shared" si="170"/>
        <v>1200</v>
      </c>
      <c r="BA78" s="15">
        <f t="shared" si="171"/>
        <v>1610</v>
      </c>
      <c r="BB78" s="3">
        <f t="shared" si="172"/>
        <v>1200</v>
      </c>
      <c r="BC78" s="138">
        <f>VLOOKUP($B78,'2022 counts'!$B$6:$AD$304,28,FALSE)</f>
        <v>350</v>
      </c>
      <c r="BD78" s="138">
        <f>VLOOKUP($B78,'2022 counts'!$B$6:$AD$304,29,FALSE)</f>
        <v>308</v>
      </c>
      <c r="BE78" s="11">
        <f t="shared" si="173"/>
        <v>0.28999999999999998</v>
      </c>
      <c r="BF78" s="2" t="str">
        <f t="shared" si="174"/>
        <v>B</v>
      </c>
      <c r="BG78" s="135">
        <v>4.4999999999999998E-2</v>
      </c>
      <c r="BH78" s="135">
        <f>IF($AQ78="","",VLOOKUP($B78, '2022 counts'!$B$6:$T$304,19,FALSE))</f>
        <v>4.4999999999999998E-2</v>
      </c>
      <c r="BI78" s="38">
        <f t="shared" si="175"/>
        <v>4.4999999999999998E-2</v>
      </c>
      <c r="BJ78" s="39" t="str">
        <f t="shared" si="176"/>
        <v/>
      </c>
      <c r="BK78" s="15">
        <f>VLOOKUP($U78,'2020_CapacityTable'!$B$49:$F$71,2)</f>
        <v>11700</v>
      </c>
      <c r="BL78" s="15">
        <f>VLOOKUP($U78,'2020_CapacityTable'!$B$49:$F$71,3)</f>
        <v>18000</v>
      </c>
      <c r="BM78" s="15">
        <f>VLOOKUP($T78,'2020_CapacityTable'!$B$49:$F$71,4)</f>
        <v>24200</v>
      </c>
      <c r="BN78" s="15">
        <f>VLOOKUP($T78,'2020_CapacityTable'!$B$49:$F$71,5)</f>
        <v>32600</v>
      </c>
      <c r="BO78" s="15">
        <f t="shared" si="177"/>
        <v>11700</v>
      </c>
      <c r="BP78" s="15">
        <f t="shared" si="178"/>
        <v>18000</v>
      </c>
      <c r="BQ78" s="15">
        <f t="shared" si="179"/>
        <v>24200</v>
      </c>
      <c r="BR78" s="15">
        <f t="shared" si="180"/>
        <v>32600</v>
      </c>
      <c r="BS78" s="3">
        <f t="shared" si="181"/>
        <v>24200</v>
      </c>
      <c r="BT78" s="40">
        <f>'State of the System - Sumter Co'!AD78</f>
        <v>8855</v>
      </c>
      <c r="BU78" s="41">
        <f t="shared" si="182"/>
        <v>0.37</v>
      </c>
      <c r="BV78" s="2" t="str">
        <f t="shared" si="183"/>
        <v>B</v>
      </c>
      <c r="BW78" s="2">
        <f t="shared" si="184"/>
        <v>7.11</v>
      </c>
      <c r="BX78" s="15">
        <f>VLOOKUP($U78,'2020_CapacityTable'!$B$23:$F$45,2)</f>
        <v>580</v>
      </c>
      <c r="BY78" s="15">
        <f>VLOOKUP($U78,'2020_CapacityTable'!$B$23:$F$45,3)</f>
        <v>890</v>
      </c>
      <c r="BZ78" s="15">
        <f>VLOOKUP($U78,'2020_CapacityTable'!$B$23:$F$45,4)</f>
        <v>1200</v>
      </c>
      <c r="CA78" s="15">
        <f>VLOOKUP($U78,'2020_CapacityTable'!$B$23:$F$45,5)</f>
        <v>1610</v>
      </c>
      <c r="CB78" s="15">
        <f t="shared" si="185"/>
        <v>580</v>
      </c>
      <c r="CC78" s="15">
        <f t="shared" si="186"/>
        <v>890</v>
      </c>
      <c r="CD78" s="15">
        <f t="shared" si="187"/>
        <v>1200</v>
      </c>
      <c r="CE78" s="15">
        <f t="shared" si="188"/>
        <v>1610</v>
      </c>
      <c r="CF78" s="3">
        <f t="shared" si="189"/>
        <v>1200</v>
      </c>
      <c r="CG78" s="2">
        <f>'State of the System - Sumter Co'!AH78</f>
        <v>436</v>
      </c>
      <c r="CH78" s="2">
        <f>'State of the System - Sumter Co'!AI78</f>
        <v>384</v>
      </c>
      <c r="CI78" s="11">
        <f t="shared" si="190"/>
        <v>0.36</v>
      </c>
      <c r="CJ78" s="2" t="str">
        <f t="shared" si="191"/>
        <v>B</v>
      </c>
      <c r="CK78" s="3">
        <f t="shared" si="192"/>
        <v>35208</v>
      </c>
      <c r="CL78" s="11">
        <f t="shared" si="193"/>
        <v>0.25</v>
      </c>
      <c r="CM78" s="11" t="str">
        <f t="shared" si="194"/>
        <v>NOT CONGESTED</v>
      </c>
      <c r="CN78" s="3">
        <f t="shared" si="195"/>
        <v>1739</v>
      </c>
      <c r="CO78" s="11">
        <f t="shared" si="196"/>
        <v>0.25</v>
      </c>
      <c r="CP78" s="156" t="str">
        <f t="shared" si="197"/>
        <v>NOT CONGESTED</v>
      </c>
      <c r="CQ78" s="3"/>
      <c r="CR78" s="3"/>
      <c r="CS78" s="11" t="str">
        <f t="shared" si="198"/>
        <v/>
      </c>
      <c r="CT78" s="11" t="str">
        <f t="shared" si="199"/>
        <v/>
      </c>
      <c r="CU78" s="11" t="str">
        <f t="shared" si="200"/>
        <v/>
      </c>
      <c r="CV78" s="11" t="str">
        <f t="shared" si="201"/>
        <v/>
      </c>
      <c r="CW78" s="3"/>
      <c r="CX78" s="1"/>
      <c r="CY78" s="145" t="str">
        <f t="shared" si="202"/>
        <v/>
      </c>
      <c r="CZ78" s="32" t="str">
        <f t="shared" si="203"/>
        <v/>
      </c>
    </row>
    <row r="79" spans="1:104" s="9" customFormat="1" ht="12.75" customHeight="1">
      <c r="A79" s="1">
        <v>3537130</v>
      </c>
      <c r="B79" s="1">
        <f t="shared" si="204"/>
        <v>23</v>
      </c>
      <c r="C79" s="1">
        <v>20</v>
      </c>
      <c r="D79" s="1">
        <f>VLOOKUP(C79,'2022 counts'!$A$6:$B$304,2,FALSE)</f>
        <v>23</v>
      </c>
      <c r="E79" s="1"/>
      <c r="F79" s="2" t="s">
        <v>6</v>
      </c>
      <c r="G79" s="156">
        <v>35</v>
      </c>
      <c r="H79" s="11">
        <v>0.99021033771599998</v>
      </c>
      <c r="I79" s="10" t="s">
        <v>716</v>
      </c>
      <c r="J79" s="10" t="s">
        <v>46</v>
      </c>
      <c r="K79" s="10" t="s">
        <v>40</v>
      </c>
      <c r="L79" s="157">
        <v>2</v>
      </c>
      <c r="M79" s="1">
        <f>'State of the System - Sumter Co'!K79</f>
        <v>2</v>
      </c>
      <c r="N79" s="1" t="str">
        <f>IF('State of the System - Sumter Co'!L79="URBAN","U","R")</f>
        <v>U</v>
      </c>
      <c r="O79" s="1" t="str">
        <f>IF('State of the System - Sumter Co'!M79="UNDIVIDED","U",IF('State of the System - Sumter Co'!M79="DIVIDED","D","F"))</f>
        <v>D</v>
      </c>
      <c r="P79" s="1" t="str">
        <f>'State of the System - Sumter Co'!N79</f>
        <v>INTERRUPTED</v>
      </c>
      <c r="Q79" s="1" t="str">
        <f t="shared" si="156"/>
        <v/>
      </c>
      <c r="R79" s="1" t="str">
        <f>'State of the System - Sumter Co'!O79</f>
        <v/>
      </c>
      <c r="S79" s="1" t="str">
        <f t="shared" si="157"/>
        <v>-2</v>
      </c>
      <c r="T79" s="1" t="str">
        <f t="shared" si="158"/>
        <v>U-2D-2</v>
      </c>
      <c r="U79" s="1" t="str">
        <f t="shared" si="155"/>
        <v>U-2D-2</v>
      </c>
      <c r="V79" s="1" t="s">
        <v>10</v>
      </c>
      <c r="W79" s="1" t="s">
        <v>25</v>
      </c>
      <c r="X79" s="1" t="s">
        <v>184</v>
      </c>
      <c r="Y79" s="1" t="str">
        <f>'State of the System - Sumter Co'!R79</f>
        <v>D</v>
      </c>
      <c r="Z79" s="157" t="str">
        <f t="shared" si="159"/>
        <v>Other CMP Network Roadways</v>
      </c>
      <c r="AA79" s="15">
        <f>VLOOKUP($T79,'2020_CapacityTable'!$B$49:$F$71,2)</f>
        <v>0</v>
      </c>
      <c r="AB79" s="15">
        <f>VLOOKUP($T79,'2020_CapacityTable'!$B$49:$F$71,3)</f>
        <v>7665</v>
      </c>
      <c r="AC79" s="15">
        <f>VLOOKUP($T79,'2020_CapacityTable'!$B$49:$F$71,4)</f>
        <v>15540</v>
      </c>
      <c r="AD79" s="15">
        <f>VLOOKUP($T79,'2020_CapacityTable'!$B$49:$F$71,5)</f>
        <v>16380</v>
      </c>
      <c r="AE79" s="35">
        <f t="shared" ref="AE79:AE84" si="208">IF(V79&lt;&gt;"STATE",-10%,"")</f>
        <v>-0.1</v>
      </c>
      <c r="AF79" s="36">
        <f t="shared" si="160"/>
        <v>0.05</v>
      </c>
      <c r="AG79" s="35"/>
      <c r="AH79" s="35" t="str">
        <f t="shared" si="154"/>
        <v/>
      </c>
      <c r="AI79" s="35"/>
      <c r="AJ79" s="36"/>
      <c r="AK79" s="15">
        <f t="shared" si="161"/>
        <v>0</v>
      </c>
      <c r="AL79" s="15">
        <f t="shared" si="162"/>
        <v>7282</v>
      </c>
      <c r="AM79" s="15">
        <f t="shared" si="163"/>
        <v>14763</v>
      </c>
      <c r="AN79" s="15">
        <f t="shared" si="164"/>
        <v>15561</v>
      </c>
      <c r="AO79" s="3">
        <f t="shared" si="205"/>
        <v>14763</v>
      </c>
      <c r="AP79" s="138">
        <f>VLOOKUP($B79,'2022 counts'!$B$6:$R$304,17,FALSE)</f>
        <v>9970</v>
      </c>
      <c r="AQ79" s="11">
        <f t="shared" si="165"/>
        <v>0.68</v>
      </c>
      <c r="AR79" s="2" t="str">
        <f t="shared" si="166"/>
        <v>D</v>
      </c>
      <c r="AS79" s="26">
        <f t="shared" si="167"/>
        <v>3.6</v>
      </c>
      <c r="AT79" s="15">
        <f>VLOOKUP($T79,'2020_CapacityTable'!$B$23:$F$45,2)</f>
        <v>0</v>
      </c>
      <c r="AU79" s="15">
        <f>VLOOKUP($T79,'2020_CapacityTable'!$B$23:$F$45,3)</f>
        <v>370</v>
      </c>
      <c r="AV79" s="15">
        <f>VLOOKUP($T79,'2020_CapacityTable'!$B$23:$F$45,4)</f>
        <v>750</v>
      </c>
      <c r="AW79" s="15">
        <f>VLOOKUP($T79,'2020_CapacityTable'!$B$23:$F$45,5)</f>
        <v>800</v>
      </c>
      <c r="AX79" s="15">
        <f t="shared" si="168"/>
        <v>0</v>
      </c>
      <c r="AY79" s="15">
        <f t="shared" si="169"/>
        <v>352</v>
      </c>
      <c r="AZ79" s="15">
        <f t="shared" si="170"/>
        <v>713</v>
      </c>
      <c r="BA79" s="15">
        <f t="shared" si="171"/>
        <v>760</v>
      </c>
      <c r="BB79" s="3">
        <f t="shared" si="172"/>
        <v>713</v>
      </c>
      <c r="BC79" s="138">
        <f>VLOOKUP($B79,'2022 counts'!$B$6:$AD$304,28,FALSE)</f>
        <v>362</v>
      </c>
      <c r="BD79" s="138">
        <f>VLOOKUP($B79,'2022 counts'!$B$6:$AD$304,29,FALSE)</f>
        <v>477</v>
      </c>
      <c r="BE79" s="11">
        <f t="shared" si="173"/>
        <v>0.67</v>
      </c>
      <c r="BF79" s="2" t="str">
        <f t="shared" si="174"/>
        <v>D</v>
      </c>
      <c r="BG79" s="135">
        <v>0.03</v>
      </c>
      <c r="BH79" s="135">
        <f>IF($AQ79="","",VLOOKUP($B79, '2022 counts'!$B$6:$T$304,19,FALSE))</f>
        <v>0.03</v>
      </c>
      <c r="BI79" s="38">
        <f t="shared" si="175"/>
        <v>0.03</v>
      </c>
      <c r="BJ79" s="39" t="str">
        <f t="shared" si="176"/>
        <v/>
      </c>
      <c r="BK79" s="15">
        <f>VLOOKUP($U79,'2020_CapacityTable'!$B$49:$F$71,2)</f>
        <v>0</v>
      </c>
      <c r="BL79" s="15">
        <f>VLOOKUP($U79,'2020_CapacityTable'!$B$49:$F$71,3)</f>
        <v>7665</v>
      </c>
      <c r="BM79" s="15">
        <f>VLOOKUP($T79,'2020_CapacityTable'!$B$49:$F$71,4)</f>
        <v>15540</v>
      </c>
      <c r="BN79" s="15">
        <f>VLOOKUP($T79,'2020_CapacityTable'!$B$49:$F$71,5)</f>
        <v>16380</v>
      </c>
      <c r="BO79" s="15">
        <f t="shared" si="177"/>
        <v>0</v>
      </c>
      <c r="BP79" s="15">
        <f t="shared" si="178"/>
        <v>7282</v>
      </c>
      <c r="BQ79" s="15">
        <f t="shared" si="179"/>
        <v>14763</v>
      </c>
      <c r="BR79" s="15">
        <f t="shared" si="180"/>
        <v>15561</v>
      </c>
      <c r="BS79" s="3">
        <f t="shared" si="181"/>
        <v>14763</v>
      </c>
      <c r="BT79" s="40">
        <f>'State of the System - Sumter Co'!AD79</f>
        <v>11558</v>
      </c>
      <c r="BU79" s="41">
        <f t="shared" si="182"/>
        <v>0.78</v>
      </c>
      <c r="BV79" s="2" t="str">
        <f t="shared" si="183"/>
        <v>D</v>
      </c>
      <c r="BW79" s="2">
        <f t="shared" si="184"/>
        <v>4.18</v>
      </c>
      <c r="BX79" s="15">
        <f>VLOOKUP($U79,'2020_CapacityTable'!$B$23:$F$45,2)</f>
        <v>0</v>
      </c>
      <c r="BY79" s="15">
        <f>VLOOKUP($U79,'2020_CapacityTable'!$B$23:$F$45,3)</f>
        <v>370</v>
      </c>
      <c r="BZ79" s="15">
        <f>VLOOKUP($U79,'2020_CapacityTable'!$B$23:$F$45,4)</f>
        <v>750</v>
      </c>
      <c r="CA79" s="15">
        <f>VLOOKUP($U79,'2020_CapacityTable'!$B$23:$F$45,5)</f>
        <v>800</v>
      </c>
      <c r="CB79" s="15">
        <f t="shared" si="185"/>
        <v>0</v>
      </c>
      <c r="CC79" s="15">
        <f t="shared" si="186"/>
        <v>352</v>
      </c>
      <c r="CD79" s="15">
        <f t="shared" si="187"/>
        <v>713</v>
      </c>
      <c r="CE79" s="15">
        <f t="shared" si="188"/>
        <v>760</v>
      </c>
      <c r="CF79" s="3">
        <f t="shared" si="189"/>
        <v>713</v>
      </c>
      <c r="CG79" s="2">
        <f>'State of the System - Sumter Co'!AH79</f>
        <v>420</v>
      </c>
      <c r="CH79" s="2">
        <f>'State of the System - Sumter Co'!AI79</f>
        <v>553</v>
      </c>
      <c r="CI79" s="11">
        <f t="shared" si="190"/>
        <v>0.78</v>
      </c>
      <c r="CJ79" s="2" t="str">
        <f t="shared" si="191"/>
        <v>D</v>
      </c>
      <c r="CK79" s="3">
        <f t="shared" si="192"/>
        <v>16806</v>
      </c>
      <c r="CL79" s="11">
        <f t="shared" si="193"/>
        <v>0.69</v>
      </c>
      <c r="CM79" s="11" t="str">
        <f t="shared" si="194"/>
        <v>NOT CONGESTED</v>
      </c>
      <c r="CN79" s="3">
        <f t="shared" si="195"/>
        <v>821</v>
      </c>
      <c r="CO79" s="11">
        <f t="shared" si="196"/>
        <v>0.67</v>
      </c>
      <c r="CP79" s="156" t="str">
        <f t="shared" si="197"/>
        <v>NOT CONGESTED</v>
      </c>
      <c r="CQ79" s="3"/>
      <c r="CR79" s="3"/>
      <c r="CS79" s="11" t="str">
        <f t="shared" si="198"/>
        <v/>
      </c>
      <c r="CT79" s="11" t="str">
        <f t="shared" si="199"/>
        <v/>
      </c>
      <c r="CU79" s="11" t="str">
        <f t="shared" si="200"/>
        <v/>
      </c>
      <c r="CV79" s="11" t="str">
        <f t="shared" si="201"/>
        <v/>
      </c>
      <c r="CW79" s="3"/>
      <c r="CX79" s="1"/>
      <c r="CY79" s="145" t="str">
        <f t="shared" si="202"/>
        <v/>
      </c>
      <c r="CZ79" s="32" t="str">
        <f t="shared" si="203"/>
        <v/>
      </c>
    </row>
    <row r="80" spans="1:104" s="9" customFormat="1" ht="12.75" customHeight="1">
      <c r="A80" s="1">
        <v>3537140</v>
      </c>
      <c r="B80" s="1">
        <f t="shared" si="204"/>
        <v>24</v>
      </c>
      <c r="C80" s="1">
        <v>22</v>
      </c>
      <c r="D80" s="1">
        <f>VLOOKUP(C80,'2022 counts'!$A$6:$B$304,2,FALSE)</f>
        <v>24</v>
      </c>
      <c r="E80" s="1">
        <v>187004</v>
      </c>
      <c r="F80" s="2" t="s">
        <v>6</v>
      </c>
      <c r="G80" s="156">
        <v>45</v>
      </c>
      <c r="H80" s="11">
        <v>0.26751568366</v>
      </c>
      <c r="I80" s="10" t="s">
        <v>716</v>
      </c>
      <c r="J80" s="10" t="s">
        <v>40</v>
      </c>
      <c r="K80" s="10" t="s">
        <v>51</v>
      </c>
      <c r="L80" s="157">
        <v>4</v>
      </c>
      <c r="M80" s="1">
        <f>'State of the System - Sumter Co'!K80</f>
        <v>4</v>
      </c>
      <c r="N80" s="1" t="str">
        <f>IF('State of the System - Sumter Co'!L80="URBAN","U","R")</f>
        <v>U</v>
      </c>
      <c r="O80" s="1" t="str">
        <f>IF('State of the System - Sumter Co'!M80="UNDIVIDED","U",IF('State of the System - Sumter Co'!M80="DIVIDED","D","F"))</f>
        <v>D</v>
      </c>
      <c r="P80" s="1" t="str">
        <f>'State of the System - Sumter Co'!N80</f>
        <v>INTERRUPTED</v>
      </c>
      <c r="Q80" s="1" t="str">
        <f t="shared" si="156"/>
        <v/>
      </c>
      <c r="R80" s="1" t="str">
        <f>'State of the System - Sumter Co'!O80</f>
        <v/>
      </c>
      <c r="S80" s="1" t="str">
        <f t="shared" si="157"/>
        <v>-1</v>
      </c>
      <c r="T80" s="1" t="str">
        <f t="shared" si="158"/>
        <v>U-4D-1</v>
      </c>
      <c r="U80" s="1" t="str">
        <f t="shared" si="155"/>
        <v>U-4D-1</v>
      </c>
      <c r="V80" s="1" t="s">
        <v>10</v>
      </c>
      <c r="W80" s="1" t="s">
        <v>11</v>
      </c>
      <c r="X80" s="1" t="s">
        <v>50</v>
      </c>
      <c r="Y80" s="1" t="str">
        <f>'State of the System - Sumter Co'!R80</f>
        <v>D</v>
      </c>
      <c r="Z80" s="157" t="str">
        <f t="shared" si="159"/>
        <v>Other CMP Network Roadways</v>
      </c>
      <c r="AA80" s="15">
        <f>VLOOKUP($T80,'2020_CapacityTable'!$B$49:$F$71,2)</f>
        <v>0</v>
      </c>
      <c r="AB80" s="15">
        <f>VLOOKUP($T80,'2020_CapacityTable'!$B$49:$F$71,3)</f>
        <v>37900</v>
      </c>
      <c r="AC80" s="15">
        <f>VLOOKUP($T80,'2020_CapacityTable'!$B$49:$F$71,4)</f>
        <v>39800</v>
      </c>
      <c r="AD80" s="15">
        <f>VLOOKUP($T80,'2020_CapacityTable'!$B$49:$F$71,5)</f>
        <v>39800</v>
      </c>
      <c r="AE80" s="35">
        <f t="shared" si="208"/>
        <v>-0.1</v>
      </c>
      <c r="AF80" s="36" t="str">
        <f t="shared" si="160"/>
        <v/>
      </c>
      <c r="AG80" s="35" t="str">
        <f t="shared" ref="AG80:AG85" si="209">IF(L80=2,IF(P80="interrupted","LOOK",""),"")</f>
        <v/>
      </c>
      <c r="AH80" s="35" t="str">
        <f t="shared" si="154"/>
        <v/>
      </c>
      <c r="AI80" s="35"/>
      <c r="AJ80" s="36"/>
      <c r="AK80" s="15">
        <f t="shared" si="161"/>
        <v>0</v>
      </c>
      <c r="AL80" s="15">
        <f t="shared" si="162"/>
        <v>34110</v>
      </c>
      <c r="AM80" s="15">
        <f t="shared" si="163"/>
        <v>35820</v>
      </c>
      <c r="AN80" s="15">
        <f t="shared" si="164"/>
        <v>35820</v>
      </c>
      <c r="AO80" s="3">
        <f t="shared" si="205"/>
        <v>35820</v>
      </c>
      <c r="AP80" s="138">
        <f>VLOOKUP($B80,'2022 counts'!$B$6:$R$304,17,FALSE)</f>
        <v>25468</v>
      </c>
      <c r="AQ80" s="11">
        <f t="shared" si="165"/>
        <v>0.71</v>
      </c>
      <c r="AR80" s="2" t="str">
        <f t="shared" si="166"/>
        <v>C</v>
      </c>
      <c r="AS80" s="26">
        <f t="shared" si="167"/>
        <v>2.4900000000000002</v>
      </c>
      <c r="AT80" s="15">
        <f>VLOOKUP($T80,'2020_CapacityTable'!$B$23:$F$45,2)</f>
        <v>0</v>
      </c>
      <c r="AU80" s="15">
        <f>VLOOKUP($T80,'2020_CapacityTable'!$B$23:$F$45,3)</f>
        <v>1910</v>
      </c>
      <c r="AV80" s="15">
        <f>VLOOKUP($T80,'2020_CapacityTable'!$B$23:$F$45,4)</f>
        <v>2000</v>
      </c>
      <c r="AW80" s="15">
        <f>VLOOKUP($T80,'2020_CapacityTable'!$B$23:$F$45,5)</f>
        <v>2000</v>
      </c>
      <c r="AX80" s="15">
        <f t="shared" si="168"/>
        <v>0</v>
      </c>
      <c r="AY80" s="15">
        <f t="shared" si="169"/>
        <v>1719</v>
      </c>
      <c r="AZ80" s="15">
        <f t="shared" si="170"/>
        <v>1800</v>
      </c>
      <c r="BA80" s="15">
        <f t="shared" si="171"/>
        <v>1800</v>
      </c>
      <c r="BB80" s="3">
        <f t="shared" si="172"/>
        <v>1800</v>
      </c>
      <c r="BC80" s="138">
        <f>VLOOKUP($B80,'2022 counts'!$B$6:$AD$304,28,FALSE)</f>
        <v>1010</v>
      </c>
      <c r="BD80" s="138">
        <f>VLOOKUP($B80,'2022 counts'!$B$6:$AD$304,29,FALSE)</f>
        <v>1148</v>
      </c>
      <c r="BE80" s="11">
        <f t="shared" si="173"/>
        <v>0.64</v>
      </c>
      <c r="BF80" s="2" t="str">
        <f t="shared" si="174"/>
        <v>C</v>
      </c>
      <c r="BG80" s="135">
        <v>2.5000000000000001E-3</v>
      </c>
      <c r="BH80" s="135">
        <f>IF($AQ80="","",VLOOKUP($B80, '2022 counts'!$B$6:$T$304,19,FALSE))</f>
        <v>2.5000000000000001E-3</v>
      </c>
      <c r="BI80" s="38">
        <f t="shared" si="175"/>
        <v>0.01</v>
      </c>
      <c r="BJ80" s="39" t="str">
        <f t="shared" si="176"/>
        <v>minimum</v>
      </c>
      <c r="BK80" s="15">
        <f>VLOOKUP($U80,'2020_CapacityTable'!$B$49:$F$71,2)</f>
        <v>0</v>
      </c>
      <c r="BL80" s="15">
        <f>VLOOKUP($U80,'2020_CapacityTable'!$B$49:$F$71,3)</f>
        <v>37900</v>
      </c>
      <c r="BM80" s="15">
        <f>VLOOKUP($T80,'2020_CapacityTable'!$B$49:$F$71,4)</f>
        <v>39800</v>
      </c>
      <c r="BN80" s="15">
        <f>VLOOKUP($T80,'2020_CapacityTable'!$B$49:$F$71,5)</f>
        <v>39800</v>
      </c>
      <c r="BO80" s="15">
        <f t="shared" si="177"/>
        <v>0</v>
      </c>
      <c r="BP80" s="15">
        <f t="shared" si="178"/>
        <v>34110</v>
      </c>
      <c r="BQ80" s="15">
        <f t="shared" si="179"/>
        <v>35820</v>
      </c>
      <c r="BR80" s="15">
        <f t="shared" si="180"/>
        <v>35820</v>
      </c>
      <c r="BS80" s="3">
        <f t="shared" si="181"/>
        <v>35820</v>
      </c>
      <c r="BT80" s="40">
        <f>'State of the System - Sumter Co'!AD80</f>
        <v>26767</v>
      </c>
      <c r="BU80" s="41">
        <f t="shared" si="182"/>
        <v>0.75</v>
      </c>
      <c r="BV80" s="2" t="str">
        <f t="shared" si="183"/>
        <v>C</v>
      </c>
      <c r="BW80" s="2">
        <f t="shared" si="184"/>
        <v>2.61</v>
      </c>
      <c r="BX80" s="15">
        <f>VLOOKUP($U80,'2020_CapacityTable'!$B$23:$F$45,2)</f>
        <v>0</v>
      </c>
      <c r="BY80" s="15">
        <f>VLOOKUP($U80,'2020_CapacityTable'!$B$23:$F$45,3)</f>
        <v>1910</v>
      </c>
      <c r="BZ80" s="15">
        <f>VLOOKUP($U80,'2020_CapacityTable'!$B$23:$F$45,4)</f>
        <v>2000</v>
      </c>
      <c r="CA80" s="15">
        <f>VLOOKUP($U80,'2020_CapacityTable'!$B$23:$F$45,5)</f>
        <v>2000</v>
      </c>
      <c r="CB80" s="15">
        <f t="shared" si="185"/>
        <v>0</v>
      </c>
      <c r="CC80" s="15">
        <f t="shared" si="186"/>
        <v>1719</v>
      </c>
      <c r="CD80" s="15">
        <f t="shared" si="187"/>
        <v>1800</v>
      </c>
      <c r="CE80" s="15">
        <f t="shared" si="188"/>
        <v>1800</v>
      </c>
      <c r="CF80" s="3">
        <f t="shared" si="189"/>
        <v>1800</v>
      </c>
      <c r="CG80" s="2">
        <f>'State of the System - Sumter Co'!AH80</f>
        <v>1062</v>
      </c>
      <c r="CH80" s="2">
        <f>'State of the System - Sumter Co'!AI80</f>
        <v>1207</v>
      </c>
      <c r="CI80" s="11">
        <f t="shared" si="190"/>
        <v>0.67</v>
      </c>
      <c r="CJ80" s="2" t="str">
        <f t="shared" si="191"/>
        <v>C</v>
      </c>
      <c r="CK80" s="3">
        <f t="shared" si="192"/>
        <v>38686</v>
      </c>
      <c r="CL80" s="11">
        <f t="shared" si="193"/>
        <v>0.69</v>
      </c>
      <c r="CM80" s="11" t="str">
        <f t="shared" si="194"/>
        <v>NOT CONGESTED</v>
      </c>
      <c r="CN80" s="3">
        <f t="shared" si="195"/>
        <v>1944</v>
      </c>
      <c r="CO80" s="11">
        <f t="shared" si="196"/>
        <v>0.62</v>
      </c>
      <c r="CP80" s="156" t="str">
        <f t="shared" si="197"/>
        <v>NOT CONGESTED</v>
      </c>
      <c r="CQ80" s="3"/>
      <c r="CR80" s="3"/>
      <c r="CS80" s="11" t="str">
        <f t="shared" si="198"/>
        <v/>
      </c>
      <c r="CT80" s="11" t="str">
        <f t="shared" si="199"/>
        <v/>
      </c>
      <c r="CU80" s="11" t="str">
        <f t="shared" si="200"/>
        <v/>
      </c>
      <c r="CV80" s="11" t="str">
        <f t="shared" si="201"/>
        <v/>
      </c>
      <c r="CW80" s="3" t="s">
        <v>586</v>
      </c>
      <c r="CX80" s="1"/>
      <c r="CY80" s="145" t="str">
        <f t="shared" si="202"/>
        <v/>
      </c>
      <c r="CZ80" s="32" t="str">
        <f t="shared" si="203"/>
        <v/>
      </c>
    </row>
    <row r="81" spans="1:104" s="9" customFormat="1" ht="12.75" customHeight="1">
      <c r="A81" s="1">
        <v>3537150</v>
      </c>
      <c r="B81" s="1">
        <f t="shared" si="204"/>
        <v>25</v>
      </c>
      <c r="C81" s="1">
        <v>28</v>
      </c>
      <c r="D81" s="1">
        <f>VLOOKUP(C81,'2022 counts'!$A$6:$B$304,2,FALSE)</f>
        <v>25</v>
      </c>
      <c r="E81" s="1"/>
      <c r="F81" s="2" t="s">
        <v>6</v>
      </c>
      <c r="G81" s="156">
        <v>45</v>
      </c>
      <c r="H81" s="11">
        <v>0.78100507693999999</v>
      </c>
      <c r="I81" s="10" t="s">
        <v>716</v>
      </c>
      <c r="J81" s="10" t="s">
        <v>53</v>
      </c>
      <c r="K81" s="10" t="s">
        <v>54</v>
      </c>
      <c r="L81" s="157">
        <v>4</v>
      </c>
      <c r="M81" s="1">
        <f>'State of the System - Sumter Co'!K81</f>
        <v>4</v>
      </c>
      <c r="N81" s="1" t="str">
        <f>IF('State of the System - Sumter Co'!L81="URBAN","U","R")</f>
        <v>U</v>
      </c>
      <c r="O81" s="1" t="str">
        <f>IF('State of the System - Sumter Co'!M81="UNDIVIDED","U",IF('State of the System - Sumter Co'!M81="DIVIDED","D","F"))</f>
        <v>D</v>
      </c>
      <c r="P81" s="1" t="str">
        <f>'State of the System - Sumter Co'!N81</f>
        <v>INTERRUPTED</v>
      </c>
      <c r="Q81" s="1" t="str">
        <f t="shared" si="156"/>
        <v/>
      </c>
      <c r="R81" s="1" t="str">
        <f>'State of the System - Sumter Co'!O81</f>
        <v/>
      </c>
      <c r="S81" s="1" t="str">
        <f t="shared" si="157"/>
        <v>-1</v>
      </c>
      <c r="T81" s="1" t="str">
        <f t="shared" si="158"/>
        <v>U-4D-1</v>
      </c>
      <c r="U81" s="1" t="str">
        <f t="shared" si="155"/>
        <v>U-4D-1</v>
      </c>
      <c r="V81" s="1" t="s">
        <v>10</v>
      </c>
      <c r="W81" s="1" t="s">
        <v>11</v>
      </c>
      <c r="X81" s="1" t="s">
        <v>50</v>
      </c>
      <c r="Y81" s="1" t="str">
        <f>'State of the System - Sumter Co'!R81</f>
        <v>D</v>
      </c>
      <c r="Z81" s="157" t="str">
        <f t="shared" si="159"/>
        <v>Other CMP Network Roadways</v>
      </c>
      <c r="AA81" s="15">
        <f>VLOOKUP($T81,'2020_CapacityTable'!$B$49:$F$71,2)</f>
        <v>0</v>
      </c>
      <c r="AB81" s="15">
        <f>VLOOKUP($T81,'2020_CapacityTable'!$B$49:$F$71,3)</f>
        <v>37900</v>
      </c>
      <c r="AC81" s="15">
        <f>VLOOKUP($T81,'2020_CapacityTable'!$B$49:$F$71,4)</f>
        <v>39800</v>
      </c>
      <c r="AD81" s="15">
        <f>VLOOKUP($T81,'2020_CapacityTable'!$B$49:$F$71,5)</f>
        <v>39800</v>
      </c>
      <c r="AE81" s="35">
        <f t="shared" si="208"/>
        <v>-0.1</v>
      </c>
      <c r="AF81" s="36" t="str">
        <f t="shared" si="160"/>
        <v/>
      </c>
      <c r="AG81" s="35" t="str">
        <f t="shared" si="209"/>
        <v/>
      </c>
      <c r="AH81" s="35" t="str">
        <f t="shared" si="154"/>
        <v/>
      </c>
      <c r="AI81" s="35"/>
      <c r="AJ81" s="36"/>
      <c r="AK81" s="15">
        <f t="shared" si="161"/>
        <v>0</v>
      </c>
      <c r="AL81" s="15">
        <f t="shared" si="162"/>
        <v>34110</v>
      </c>
      <c r="AM81" s="15">
        <f t="shared" si="163"/>
        <v>35820</v>
      </c>
      <c r="AN81" s="15">
        <f t="shared" si="164"/>
        <v>35820</v>
      </c>
      <c r="AO81" s="3">
        <f t="shared" si="205"/>
        <v>35820</v>
      </c>
      <c r="AP81" s="138">
        <f>VLOOKUP($B81,'2022 counts'!$B$6:$R$304,17,FALSE)</f>
        <v>24251</v>
      </c>
      <c r="AQ81" s="11">
        <f t="shared" si="165"/>
        <v>0.68</v>
      </c>
      <c r="AR81" s="2" t="str">
        <f t="shared" si="166"/>
        <v>C</v>
      </c>
      <c r="AS81" s="26">
        <f t="shared" si="167"/>
        <v>6.91</v>
      </c>
      <c r="AT81" s="15">
        <f>VLOOKUP($T81,'2020_CapacityTable'!$B$23:$F$45,2)</f>
        <v>0</v>
      </c>
      <c r="AU81" s="15">
        <f>VLOOKUP($T81,'2020_CapacityTable'!$B$23:$F$45,3)</f>
        <v>1910</v>
      </c>
      <c r="AV81" s="15">
        <f>VLOOKUP($T81,'2020_CapacityTable'!$B$23:$F$45,4)</f>
        <v>2000</v>
      </c>
      <c r="AW81" s="15">
        <f>VLOOKUP($T81,'2020_CapacityTable'!$B$23:$F$45,5)</f>
        <v>2000</v>
      </c>
      <c r="AX81" s="15">
        <f t="shared" si="168"/>
        <v>0</v>
      </c>
      <c r="AY81" s="15">
        <f t="shared" si="169"/>
        <v>1719</v>
      </c>
      <c r="AZ81" s="15">
        <f t="shared" si="170"/>
        <v>1800</v>
      </c>
      <c r="BA81" s="15">
        <f t="shared" si="171"/>
        <v>1800</v>
      </c>
      <c r="BB81" s="3">
        <f t="shared" si="172"/>
        <v>1800</v>
      </c>
      <c r="BC81" s="138">
        <f>VLOOKUP($B81,'2022 counts'!$B$6:$AD$304,28,FALSE)</f>
        <v>1121</v>
      </c>
      <c r="BD81" s="138">
        <f>VLOOKUP($B81,'2022 counts'!$B$6:$AD$304,29,FALSE)</f>
        <v>1131</v>
      </c>
      <c r="BE81" s="11">
        <f t="shared" si="173"/>
        <v>0.63</v>
      </c>
      <c r="BF81" s="2" t="str">
        <f t="shared" si="174"/>
        <v>C</v>
      </c>
      <c r="BG81" s="135">
        <v>0</v>
      </c>
      <c r="BH81" s="135">
        <f>IF($AQ81="","",VLOOKUP($B81, '2022 counts'!$B$6:$T$304,19,FALSE))</f>
        <v>0</v>
      </c>
      <c r="BI81" s="38">
        <f t="shared" si="175"/>
        <v>0.01</v>
      </c>
      <c r="BJ81" s="39" t="str">
        <f t="shared" si="176"/>
        <v>minimum</v>
      </c>
      <c r="BK81" s="15">
        <f>VLOOKUP($U81,'2020_CapacityTable'!$B$49:$F$71,2)</f>
        <v>0</v>
      </c>
      <c r="BL81" s="15">
        <f>VLOOKUP($U81,'2020_CapacityTable'!$B$49:$F$71,3)</f>
        <v>37900</v>
      </c>
      <c r="BM81" s="15">
        <f>VLOOKUP($T81,'2020_CapacityTable'!$B$49:$F$71,4)</f>
        <v>39800</v>
      </c>
      <c r="BN81" s="15">
        <f>VLOOKUP($T81,'2020_CapacityTable'!$B$49:$F$71,5)</f>
        <v>39800</v>
      </c>
      <c r="BO81" s="15">
        <f t="shared" si="177"/>
        <v>0</v>
      </c>
      <c r="BP81" s="15">
        <f t="shared" si="178"/>
        <v>34110</v>
      </c>
      <c r="BQ81" s="15">
        <f t="shared" si="179"/>
        <v>35820</v>
      </c>
      <c r="BR81" s="15">
        <f t="shared" si="180"/>
        <v>35820</v>
      </c>
      <c r="BS81" s="3">
        <f t="shared" si="181"/>
        <v>35820</v>
      </c>
      <c r="BT81" s="40">
        <f>'State of the System - Sumter Co'!AD81</f>
        <v>25488</v>
      </c>
      <c r="BU81" s="41">
        <f t="shared" si="182"/>
        <v>0.71</v>
      </c>
      <c r="BV81" s="2" t="str">
        <f t="shared" si="183"/>
        <v>C</v>
      </c>
      <c r="BW81" s="2">
        <f t="shared" si="184"/>
        <v>7.27</v>
      </c>
      <c r="BX81" s="15">
        <f>VLOOKUP($U81,'2020_CapacityTable'!$B$23:$F$45,2)</f>
        <v>0</v>
      </c>
      <c r="BY81" s="15">
        <f>VLOOKUP($U81,'2020_CapacityTable'!$B$23:$F$45,3)</f>
        <v>1910</v>
      </c>
      <c r="BZ81" s="15">
        <f>VLOOKUP($U81,'2020_CapacityTable'!$B$23:$F$45,4)</f>
        <v>2000</v>
      </c>
      <c r="CA81" s="15">
        <f>VLOOKUP($U81,'2020_CapacityTable'!$B$23:$F$45,5)</f>
        <v>2000</v>
      </c>
      <c r="CB81" s="15">
        <f t="shared" si="185"/>
        <v>0</v>
      </c>
      <c r="CC81" s="15">
        <f t="shared" si="186"/>
        <v>1719</v>
      </c>
      <c r="CD81" s="15">
        <f t="shared" si="187"/>
        <v>1800</v>
      </c>
      <c r="CE81" s="15">
        <f t="shared" si="188"/>
        <v>1800</v>
      </c>
      <c r="CF81" s="3">
        <f t="shared" si="189"/>
        <v>1800</v>
      </c>
      <c r="CG81" s="2">
        <f>'State of the System - Sumter Co'!AH81</f>
        <v>1178</v>
      </c>
      <c r="CH81" s="2">
        <f>'State of the System - Sumter Co'!AI81</f>
        <v>1189</v>
      </c>
      <c r="CI81" s="11">
        <f t="shared" si="190"/>
        <v>0.66</v>
      </c>
      <c r="CJ81" s="2" t="str">
        <f t="shared" si="191"/>
        <v>C</v>
      </c>
      <c r="CK81" s="3">
        <f t="shared" si="192"/>
        <v>38686</v>
      </c>
      <c r="CL81" s="11">
        <f t="shared" si="193"/>
        <v>0.66</v>
      </c>
      <c r="CM81" s="11" t="str">
        <f t="shared" si="194"/>
        <v>NOT CONGESTED</v>
      </c>
      <c r="CN81" s="3">
        <f t="shared" si="195"/>
        <v>1944</v>
      </c>
      <c r="CO81" s="11">
        <f t="shared" si="196"/>
        <v>0.61</v>
      </c>
      <c r="CP81" s="156" t="str">
        <f t="shared" si="197"/>
        <v>NOT CONGESTED</v>
      </c>
      <c r="CQ81" s="3"/>
      <c r="CR81" s="3"/>
      <c r="CS81" s="11" t="str">
        <f t="shared" si="198"/>
        <v/>
      </c>
      <c r="CT81" s="11" t="str">
        <f t="shared" si="199"/>
        <v/>
      </c>
      <c r="CU81" s="11" t="str">
        <f t="shared" si="200"/>
        <v/>
      </c>
      <c r="CV81" s="11" t="str">
        <f t="shared" si="201"/>
        <v/>
      </c>
      <c r="CW81" s="3" t="s">
        <v>586</v>
      </c>
      <c r="CX81" s="1"/>
      <c r="CY81" s="145" t="str">
        <f t="shared" si="202"/>
        <v/>
      </c>
      <c r="CZ81" s="32" t="str">
        <f t="shared" si="203"/>
        <v/>
      </c>
    </row>
    <row r="82" spans="1:104" s="9" customFormat="1" ht="12.75" customHeight="1">
      <c r="A82" s="1">
        <v>3537160</v>
      </c>
      <c r="B82" s="1">
        <f t="shared" si="204"/>
        <v>27</v>
      </c>
      <c r="C82" s="1">
        <v>34</v>
      </c>
      <c r="D82" s="1">
        <f>VLOOKUP(C82,'2022 counts'!$A$6:$B$304,2,FALSE)</f>
        <v>27</v>
      </c>
      <c r="E82" s="1"/>
      <c r="F82" s="2" t="s">
        <v>6</v>
      </c>
      <c r="G82" s="156">
        <v>45</v>
      </c>
      <c r="H82" s="11">
        <v>2.3041836206199999</v>
      </c>
      <c r="I82" s="10" t="s">
        <v>716</v>
      </c>
      <c r="J82" s="10" t="s">
        <v>18</v>
      </c>
      <c r="K82" s="10" t="s">
        <v>55</v>
      </c>
      <c r="L82" s="157">
        <v>4</v>
      </c>
      <c r="M82" s="1">
        <f>'State of the System - Sumter Co'!K82</f>
        <v>4</v>
      </c>
      <c r="N82" s="1" t="str">
        <f>IF('State of the System - Sumter Co'!L82="URBAN","U","R")</f>
        <v>U</v>
      </c>
      <c r="O82" s="1" t="str">
        <f>IF('State of the System - Sumter Co'!M82="UNDIVIDED","U",IF('State of the System - Sumter Co'!M82="DIVIDED","D","F"))</f>
        <v>D</v>
      </c>
      <c r="P82" s="1" t="str">
        <f>'State of the System - Sumter Co'!N82</f>
        <v>INTERRUPTED</v>
      </c>
      <c r="Q82" s="1" t="str">
        <f t="shared" si="156"/>
        <v/>
      </c>
      <c r="R82" s="1" t="str">
        <f>'State of the System - Sumter Co'!O82</f>
        <v/>
      </c>
      <c r="S82" s="1" t="str">
        <f t="shared" si="157"/>
        <v>-1</v>
      </c>
      <c r="T82" s="1" t="str">
        <f t="shared" si="158"/>
        <v>U-4D-1</v>
      </c>
      <c r="U82" s="1" t="str">
        <f t="shared" si="155"/>
        <v>U-4D-1</v>
      </c>
      <c r="V82" s="1" t="s">
        <v>10</v>
      </c>
      <c r="W82" s="1" t="s">
        <v>11</v>
      </c>
      <c r="X82" s="1" t="s">
        <v>50</v>
      </c>
      <c r="Y82" s="1" t="str">
        <f>'State of the System - Sumter Co'!R82</f>
        <v>D</v>
      </c>
      <c r="Z82" s="157" t="str">
        <f t="shared" si="159"/>
        <v>Other CMP Network Roadways</v>
      </c>
      <c r="AA82" s="15">
        <f>VLOOKUP($T82,'2020_CapacityTable'!$B$49:$F$71,2)</f>
        <v>0</v>
      </c>
      <c r="AB82" s="15">
        <f>VLOOKUP($T82,'2020_CapacityTable'!$B$49:$F$71,3)</f>
        <v>37900</v>
      </c>
      <c r="AC82" s="15">
        <f>VLOOKUP($T82,'2020_CapacityTable'!$B$49:$F$71,4)</f>
        <v>39800</v>
      </c>
      <c r="AD82" s="15">
        <f>VLOOKUP($T82,'2020_CapacityTable'!$B$49:$F$71,5)</f>
        <v>39800</v>
      </c>
      <c r="AE82" s="35">
        <f t="shared" si="208"/>
        <v>-0.1</v>
      </c>
      <c r="AF82" s="36" t="str">
        <f t="shared" si="160"/>
        <v/>
      </c>
      <c r="AG82" s="35" t="str">
        <f t="shared" si="209"/>
        <v/>
      </c>
      <c r="AH82" s="35" t="str">
        <f t="shared" si="154"/>
        <v/>
      </c>
      <c r="AI82" s="35"/>
      <c r="AJ82" s="36"/>
      <c r="AK82" s="15">
        <f t="shared" si="161"/>
        <v>0</v>
      </c>
      <c r="AL82" s="15">
        <f t="shared" si="162"/>
        <v>34110</v>
      </c>
      <c r="AM82" s="15">
        <f t="shared" si="163"/>
        <v>35820</v>
      </c>
      <c r="AN82" s="15">
        <f t="shared" si="164"/>
        <v>35820</v>
      </c>
      <c r="AO82" s="3">
        <f t="shared" si="205"/>
        <v>35820</v>
      </c>
      <c r="AP82" s="138">
        <f>VLOOKUP($B82,'2022 counts'!$B$6:$R$304,17,FALSE)</f>
        <v>23320</v>
      </c>
      <c r="AQ82" s="11">
        <f t="shared" si="165"/>
        <v>0.65</v>
      </c>
      <c r="AR82" s="2" t="str">
        <f t="shared" si="166"/>
        <v>C</v>
      </c>
      <c r="AS82" s="26">
        <f t="shared" si="167"/>
        <v>19.61</v>
      </c>
      <c r="AT82" s="15">
        <f>VLOOKUP($T82,'2020_CapacityTable'!$B$23:$F$45,2)</f>
        <v>0</v>
      </c>
      <c r="AU82" s="15">
        <f>VLOOKUP($T82,'2020_CapacityTable'!$B$23:$F$45,3)</f>
        <v>1910</v>
      </c>
      <c r="AV82" s="15">
        <f>VLOOKUP($T82,'2020_CapacityTable'!$B$23:$F$45,4)</f>
        <v>2000</v>
      </c>
      <c r="AW82" s="15">
        <f>VLOOKUP($T82,'2020_CapacityTable'!$B$23:$F$45,5)</f>
        <v>2000</v>
      </c>
      <c r="AX82" s="15">
        <f t="shared" si="168"/>
        <v>0</v>
      </c>
      <c r="AY82" s="15">
        <f t="shared" si="169"/>
        <v>1719</v>
      </c>
      <c r="AZ82" s="15">
        <f t="shared" si="170"/>
        <v>1800</v>
      </c>
      <c r="BA82" s="15">
        <f t="shared" si="171"/>
        <v>1800</v>
      </c>
      <c r="BB82" s="3">
        <f t="shared" si="172"/>
        <v>1800</v>
      </c>
      <c r="BC82" s="138">
        <f>VLOOKUP($B82,'2022 counts'!$B$6:$AD$304,28,FALSE)</f>
        <v>979</v>
      </c>
      <c r="BD82" s="138">
        <f>VLOOKUP($B82,'2022 counts'!$B$6:$AD$304,29,FALSE)</f>
        <v>1006</v>
      </c>
      <c r="BE82" s="11">
        <f t="shared" si="173"/>
        <v>0.56000000000000005</v>
      </c>
      <c r="BF82" s="2" t="str">
        <f t="shared" si="174"/>
        <v>C</v>
      </c>
      <c r="BG82" s="135">
        <v>0</v>
      </c>
      <c r="BH82" s="135">
        <f>IF($AQ82="","",VLOOKUP($B82, '2022 counts'!$B$6:$T$304,19,FALSE))</f>
        <v>0</v>
      </c>
      <c r="BI82" s="38">
        <f t="shared" si="175"/>
        <v>0.01</v>
      </c>
      <c r="BJ82" s="39" t="str">
        <f t="shared" si="176"/>
        <v>minimum</v>
      </c>
      <c r="BK82" s="15">
        <f>VLOOKUP($U82,'2020_CapacityTable'!$B$49:$F$71,2)</f>
        <v>0</v>
      </c>
      <c r="BL82" s="15">
        <f>VLOOKUP($U82,'2020_CapacityTable'!$B$49:$F$71,3)</f>
        <v>37900</v>
      </c>
      <c r="BM82" s="15">
        <f>VLOOKUP($T82,'2020_CapacityTable'!$B$49:$F$71,4)</f>
        <v>39800</v>
      </c>
      <c r="BN82" s="15">
        <f>VLOOKUP($T82,'2020_CapacityTable'!$B$49:$F$71,5)</f>
        <v>39800</v>
      </c>
      <c r="BO82" s="15">
        <f t="shared" si="177"/>
        <v>0</v>
      </c>
      <c r="BP82" s="15">
        <f t="shared" si="178"/>
        <v>34110</v>
      </c>
      <c r="BQ82" s="15">
        <f t="shared" si="179"/>
        <v>35820</v>
      </c>
      <c r="BR82" s="15">
        <f t="shared" si="180"/>
        <v>35820</v>
      </c>
      <c r="BS82" s="3">
        <f t="shared" si="181"/>
        <v>35820</v>
      </c>
      <c r="BT82" s="40">
        <f>'State of the System - Sumter Co'!AD82</f>
        <v>24510</v>
      </c>
      <c r="BU82" s="41">
        <f t="shared" si="182"/>
        <v>0.68</v>
      </c>
      <c r="BV82" s="2" t="str">
        <f t="shared" si="183"/>
        <v>C</v>
      </c>
      <c r="BW82" s="2">
        <f t="shared" si="184"/>
        <v>20.61</v>
      </c>
      <c r="BX82" s="15">
        <f>VLOOKUP($U82,'2020_CapacityTable'!$B$23:$F$45,2)</f>
        <v>0</v>
      </c>
      <c r="BY82" s="15">
        <f>VLOOKUP($U82,'2020_CapacityTable'!$B$23:$F$45,3)</f>
        <v>1910</v>
      </c>
      <c r="BZ82" s="15">
        <f>VLOOKUP($U82,'2020_CapacityTable'!$B$23:$F$45,4)</f>
        <v>2000</v>
      </c>
      <c r="CA82" s="15">
        <f>VLOOKUP($U82,'2020_CapacityTable'!$B$23:$F$45,5)</f>
        <v>2000</v>
      </c>
      <c r="CB82" s="15">
        <f t="shared" si="185"/>
        <v>0</v>
      </c>
      <c r="CC82" s="15">
        <f t="shared" si="186"/>
        <v>1719</v>
      </c>
      <c r="CD82" s="15">
        <f t="shared" si="187"/>
        <v>1800</v>
      </c>
      <c r="CE82" s="15">
        <f t="shared" si="188"/>
        <v>1800</v>
      </c>
      <c r="CF82" s="3">
        <f t="shared" si="189"/>
        <v>1800</v>
      </c>
      <c r="CG82" s="2">
        <f>'State of the System - Sumter Co'!AH82</f>
        <v>1029</v>
      </c>
      <c r="CH82" s="2">
        <f>'State of the System - Sumter Co'!AI82</f>
        <v>1057</v>
      </c>
      <c r="CI82" s="11">
        <f t="shared" si="190"/>
        <v>0.59</v>
      </c>
      <c r="CJ82" s="2" t="str">
        <f t="shared" si="191"/>
        <v>C</v>
      </c>
      <c r="CK82" s="3">
        <f t="shared" si="192"/>
        <v>38686</v>
      </c>
      <c r="CL82" s="11">
        <f t="shared" si="193"/>
        <v>0.63</v>
      </c>
      <c r="CM82" s="11" t="str">
        <f t="shared" si="194"/>
        <v>NOT CONGESTED</v>
      </c>
      <c r="CN82" s="3">
        <f t="shared" si="195"/>
        <v>1944</v>
      </c>
      <c r="CO82" s="11">
        <f t="shared" si="196"/>
        <v>0.54</v>
      </c>
      <c r="CP82" s="156" t="str">
        <f t="shared" si="197"/>
        <v>NOT CONGESTED</v>
      </c>
      <c r="CQ82" s="3"/>
      <c r="CR82" s="3"/>
      <c r="CS82" s="11" t="str">
        <f t="shared" si="198"/>
        <v/>
      </c>
      <c r="CT82" s="11" t="str">
        <f t="shared" si="199"/>
        <v/>
      </c>
      <c r="CU82" s="11" t="str">
        <f t="shared" si="200"/>
        <v/>
      </c>
      <c r="CV82" s="11" t="str">
        <f t="shared" si="201"/>
        <v/>
      </c>
      <c r="CW82" s="3"/>
      <c r="CX82" s="1"/>
      <c r="CY82" s="145" t="str">
        <f t="shared" si="202"/>
        <v/>
      </c>
      <c r="CZ82" s="32" t="str">
        <f t="shared" si="203"/>
        <v/>
      </c>
    </row>
    <row r="83" spans="1:104" s="9" customFormat="1" ht="12.75" customHeight="1">
      <c r="A83" s="1">
        <v>3537170</v>
      </c>
      <c r="B83" s="1">
        <f t="shared" si="204"/>
        <v>28</v>
      </c>
      <c r="C83" s="1">
        <v>37</v>
      </c>
      <c r="D83" s="1">
        <f>VLOOKUP(C83,'2022 counts'!$A$6:$B$304,2,FALSE)</f>
        <v>28</v>
      </c>
      <c r="E83" s="1">
        <v>187033</v>
      </c>
      <c r="F83" s="2" t="s">
        <v>6</v>
      </c>
      <c r="G83" s="156">
        <v>45</v>
      </c>
      <c r="H83" s="11">
        <v>0.97646425328899999</v>
      </c>
      <c r="I83" s="10" t="s">
        <v>716</v>
      </c>
      <c r="J83" s="10" t="s">
        <v>55</v>
      </c>
      <c r="K83" s="10" t="s">
        <v>760</v>
      </c>
      <c r="L83" s="157">
        <v>4</v>
      </c>
      <c r="M83" s="1">
        <f>'State of the System - Sumter Co'!K83</f>
        <v>4</v>
      </c>
      <c r="N83" s="1" t="str">
        <f>IF('State of the System - Sumter Co'!L83="URBAN","U","R")</f>
        <v>U</v>
      </c>
      <c r="O83" s="1" t="str">
        <f>IF('State of the System - Sumter Co'!M83="UNDIVIDED","U",IF('State of the System - Sumter Co'!M83="DIVIDED","D","F"))</f>
        <v>D</v>
      </c>
      <c r="P83" s="1" t="str">
        <f>'State of the System - Sumter Co'!N83</f>
        <v>INTERRUPTED</v>
      </c>
      <c r="Q83" s="1" t="str">
        <f t="shared" si="156"/>
        <v/>
      </c>
      <c r="R83" s="1" t="str">
        <f>'State of the System - Sumter Co'!O83</f>
        <v/>
      </c>
      <c r="S83" s="1" t="str">
        <f t="shared" si="157"/>
        <v>-1</v>
      </c>
      <c r="T83" s="1" t="str">
        <f t="shared" si="158"/>
        <v>U-4D-1</v>
      </c>
      <c r="U83" s="1" t="str">
        <f t="shared" si="155"/>
        <v>U-4D-1</v>
      </c>
      <c r="V83" s="1" t="s">
        <v>10</v>
      </c>
      <c r="W83" s="1" t="s">
        <v>11</v>
      </c>
      <c r="X83" s="1" t="s">
        <v>50</v>
      </c>
      <c r="Y83" s="1" t="str">
        <f>'State of the System - Sumter Co'!R83</f>
        <v>D</v>
      </c>
      <c r="Z83" s="157" t="str">
        <f t="shared" si="159"/>
        <v>Other CMP Network Roadways</v>
      </c>
      <c r="AA83" s="15">
        <f>VLOOKUP($T83,'2020_CapacityTable'!$B$49:$F$71,2)</f>
        <v>0</v>
      </c>
      <c r="AB83" s="15">
        <f>VLOOKUP($T83,'2020_CapacityTable'!$B$49:$F$71,3)</f>
        <v>37900</v>
      </c>
      <c r="AC83" s="15">
        <f>VLOOKUP($T83,'2020_CapacityTable'!$B$49:$F$71,4)</f>
        <v>39800</v>
      </c>
      <c r="AD83" s="15">
        <f>VLOOKUP($T83,'2020_CapacityTable'!$B$49:$F$71,5)</f>
        <v>39800</v>
      </c>
      <c r="AE83" s="35">
        <f t="shared" si="208"/>
        <v>-0.1</v>
      </c>
      <c r="AF83" s="36" t="str">
        <f t="shared" si="160"/>
        <v/>
      </c>
      <c r="AG83" s="35" t="str">
        <f t="shared" si="209"/>
        <v/>
      </c>
      <c r="AH83" s="35" t="str">
        <f t="shared" ref="AH83:AH114" si="210">IF($O83="U",IF($L83&gt;2,"LOOK",""),"")</f>
        <v/>
      </c>
      <c r="AI83" s="35"/>
      <c r="AJ83" s="36"/>
      <c r="AK83" s="15">
        <f t="shared" si="161"/>
        <v>0</v>
      </c>
      <c r="AL83" s="15">
        <f t="shared" si="162"/>
        <v>34110</v>
      </c>
      <c r="AM83" s="15">
        <f t="shared" si="163"/>
        <v>35820</v>
      </c>
      <c r="AN83" s="15">
        <f t="shared" si="164"/>
        <v>35820</v>
      </c>
      <c r="AO83" s="3">
        <f t="shared" si="205"/>
        <v>35820</v>
      </c>
      <c r="AP83" s="138">
        <f>VLOOKUP($B83,'2022 counts'!$B$6:$R$304,17,FALSE)</f>
        <v>24669</v>
      </c>
      <c r="AQ83" s="11">
        <f t="shared" si="165"/>
        <v>0.69</v>
      </c>
      <c r="AR83" s="2" t="str">
        <f t="shared" si="166"/>
        <v>C</v>
      </c>
      <c r="AS83" s="26">
        <f t="shared" si="167"/>
        <v>8.7899999999999991</v>
      </c>
      <c r="AT83" s="15">
        <f>VLOOKUP($T83,'2020_CapacityTable'!$B$23:$F$45,2)</f>
        <v>0</v>
      </c>
      <c r="AU83" s="15">
        <f>VLOOKUP($T83,'2020_CapacityTable'!$B$23:$F$45,3)</f>
        <v>1910</v>
      </c>
      <c r="AV83" s="15">
        <f>VLOOKUP($T83,'2020_CapacityTable'!$B$23:$F$45,4)</f>
        <v>2000</v>
      </c>
      <c r="AW83" s="15">
        <f>VLOOKUP($T83,'2020_CapacityTable'!$B$23:$F$45,5)</f>
        <v>2000</v>
      </c>
      <c r="AX83" s="15">
        <f t="shared" si="168"/>
        <v>0</v>
      </c>
      <c r="AY83" s="15">
        <f t="shared" si="169"/>
        <v>1719</v>
      </c>
      <c r="AZ83" s="15">
        <f t="shared" si="170"/>
        <v>1800</v>
      </c>
      <c r="BA83" s="15">
        <f t="shared" si="171"/>
        <v>1800</v>
      </c>
      <c r="BB83" s="3">
        <f t="shared" si="172"/>
        <v>1800</v>
      </c>
      <c r="BC83" s="138">
        <f>VLOOKUP($B83,'2022 counts'!$B$6:$AD$304,28,FALSE)</f>
        <v>1168</v>
      </c>
      <c r="BD83" s="138">
        <f>VLOOKUP($B83,'2022 counts'!$B$6:$AD$304,29,FALSE)</f>
        <v>1060</v>
      </c>
      <c r="BE83" s="11">
        <f t="shared" si="173"/>
        <v>0.65</v>
      </c>
      <c r="BF83" s="2" t="str">
        <f t="shared" si="174"/>
        <v>C</v>
      </c>
      <c r="BG83" s="135">
        <v>0</v>
      </c>
      <c r="BH83" s="135">
        <f>IF($AQ83="","",VLOOKUP($B83, '2022 counts'!$B$6:$T$304,19,FALSE))</f>
        <v>0</v>
      </c>
      <c r="BI83" s="38">
        <f t="shared" si="175"/>
        <v>0.01</v>
      </c>
      <c r="BJ83" s="39" t="str">
        <f t="shared" si="176"/>
        <v>minimum</v>
      </c>
      <c r="BK83" s="15">
        <f>VLOOKUP($U83,'2020_CapacityTable'!$B$49:$F$71,2)</f>
        <v>0</v>
      </c>
      <c r="BL83" s="15">
        <f>VLOOKUP($U83,'2020_CapacityTable'!$B$49:$F$71,3)</f>
        <v>37900</v>
      </c>
      <c r="BM83" s="15">
        <f>VLOOKUP($T83,'2020_CapacityTable'!$B$49:$F$71,4)</f>
        <v>39800</v>
      </c>
      <c r="BN83" s="15">
        <f>VLOOKUP($T83,'2020_CapacityTable'!$B$49:$F$71,5)</f>
        <v>39800</v>
      </c>
      <c r="BO83" s="15">
        <f t="shared" si="177"/>
        <v>0</v>
      </c>
      <c r="BP83" s="15">
        <f t="shared" si="178"/>
        <v>34110</v>
      </c>
      <c r="BQ83" s="15">
        <f t="shared" si="179"/>
        <v>35820</v>
      </c>
      <c r="BR83" s="15">
        <f t="shared" si="180"/>
        <v>35820</v>
      </c>
      <c r="BS83" s="3">
        <f t="shared" si="181"/>
        <v>35820</v>
      </c>
      <c r="BT83" s="40">
        <f>'State of the System - Sumter Co'!AD83</f>
        <v>25927</v>
      </c>
      <c r="BU83" s="41">
        <f t="shared" si="182"/>
        <v>0.72</v>
      </c>
      <c r="BV83" s="2" t="str">
        <f t="shared" si="183"/>
        <v>C</v>
      </c>
      <c r="BW83" s="2">
        <f t="shared" si="184"/>
        <v>9.24</v>
      </c>
      <c r="BX83" s="15">
        <f>VLOOKUP($U83,'2020_CapacityTable'!$B$23:$F$45,2)</f>
        <v>0</v>
      </c>
      <c r="BY83" s="15">
        <f>VLOOKUP($U83,'2020_CapacityTable'!$B$23:$F$45,3)</f>
        <v>1910</v>
      </c>
      <c r="BZ83" s="15">
        <f>VLOOKUP($U83,'2020_CapacityTable'!$B$23:$F$45,4)</f>
        <v>2000</v>
      </c>
      <c r="CA83" s="15">
        <f>VLOOKUP($U83,'2020_CapacityTable'!$B$23:$F$45,5)</f>
        <v>2000</v>
      </c>
      <c r="CB83" s="15">
        <f t="shared" si="185"/>
        <v>0</v>
      </c>
      <c r="CC83" s="15">
        <f t="shared" si="186"/>
        <v>1719</v>
      </c>
      <c r="CD83" s="15">
        <f t="shared" si="187"/>
        <v>1800</v>
      </c>
      <c r="CE83" s="15">
        <f t="shared" si="188"/>
        <v>1800</v>
      </c>
      <c r="CF83" s="3">
        <f t="shared" si="189"/>
        <v>1800</v>
      </c>
      <c r="CG83" s="2">
        <f>'State of the System - Sumter Co'!AH83</f>
        <v>1228</v>
      </c>
      <c r="CH83" s="2">
        <f>'State of the System - Sumter Co'!AI83</f>
        <v>1114</v>
      </c>
      <c r="CI83" s="11">
        <f t="shared" si="190"/>
        <v>0.68</v>
      </c>
      <c r="CJ83" s="2" t="str">
        <f t="shared" si="191"/>
        <v>C</v>
      </c>
      <c r="CK83" s="3">
        <f t="shared" si="192"/>
        <v>38686</v>
      </c>
      <c r="CL83" s="11">
        <f t="shared" si="193"/>
        <v>0.67</v>
      </c>
      <c r="CM83" s="11" t="str">
        <f t="shared" si="194"/>
        <v>NOT CONGESTED</v>
      </c>
      <c r="CN83" s="3">
        <f t="shared" si="195"/>
        <v>1944</v>
      </c>
      <c r="CO83" s="11">
        <f t="shared" si="196"/>
        <v>0.63</v>
      </c>
      <c r="CP83" s="156" t="str">
        <f t="shared" si="197"/>
        <v>NOT CONGESTED</v>
      </c>
      <c r="CQ83" s="3"/>
      <c r="CR83" s="3"/>
      <c r="CS83" s="11" t="str">
        <f t="shared" si="198"/>
        <v/>
      </c>
      <c r="CT83" s="11" t="str">
        <f t="shared" si="199"/>
        <v/>
      </c>
      <c r="CU83" s="11" t="str">
        <f t="shared" si="200"/>
        <v/>
      </c>
      <c r="CV83" s="11" t="str">
        <f t="shared" si="201"/>
        <v/>
      </c>
      <c r="CW83" s="3"/>
      <c r="CX83" s="1"/>
      <c r="CY83" s="145" t="str">
        <f t="shared" si="202"/>
        <v/>
      </c>
      <c r="CZ83" s="32" t="str">
        <f t="shared" si="203"/>
        <v/>
      </c>
    </row>
    <row r="84" spans="1:104" s="9" customFormat="1" ht="12.75" customHeight="1">
      <c r="A84" s="1">
        <v>3537180</v>
      </c>
      <c r="B84" s="1">
        <f t="shared" si="204"/>
        <v>26</v>
      </c>
      <c r="C84" s="1">
        <v>31</v>
      </c>
      <c r="D84" s="1">
        <f>VLOOKUP(C84,'2022 counts'!$A$6:$B$304,2,FALSE)</f>
        <v>26</v>
      </c>
      <c r="E84" s="1">
        <v>187007</v>
      </c>
      <c r="F84" s="2" t="s">
        <v>6</v>
      </c>
      <c r="G84" s="156">
        <v>45</v>
      </c>
      <c r="H84" s="11">
        <v>0.72978497751799998</v>
      </c>
      <c r="I84" s="10" t="s">
        <v>716</v>
      </c>
      <c r="J84" s="10" t="s">
        <v>54</v>
      </c>
      <c r="K84" s="10" t="s">
        <v>18</v>
      </c>
      <c r="L84" s="157">
        <v>4</v>
      </c>
      <c r="M84" s="1">
        <f>'State of the System - Sumter Co'!K84</f>
        <v>4</v>
      </c>
      <c r="N84" s="1" t="str">
        <f>IF('State of the System - Sumter Co'!L84="URBAN","U","R")</f>
        <v>U</v>
      </c>
      <c r="O84" s="1" t="str">
        <f>IF('State of the System - Sumter Co'!M84="UNDIVIDED","U",IF('State of the System - Sumter Co'!M84="DIVIDED","D","F"))</f>
        <v>D</v>
      </c>
      <c r="P84" s="1" t="str">
        <f>'State of the System - Sumter Co'!N84</f>
        <v>INTERRUPTED</v>
      </c>
      <c r="Q84" s="1" t="str">
        <f t="shared" si="156"/>
        <v/>
      </c>
      <c r="R84" s="1" t="str">
        <f>'State of the System - Sumter Co'!O84</f>
        <v/>
      </c>
      <c r="S84" s="1" t="str">
        <f t="shared" si="157"/>
        <v>-1</v>
      </c>
      <c r="T84" s="1" t="str">
        <f t="shared" si="158"/>
        <v>U-4D-1</v>
      </c>
      <c r="U84" s="1" t="str">
        <f t="shared" si="155"/>
        <v>U-4D-1</v>
      </c>
      <c r="V84" s="1" t="s">
        <v>10</v>
      </c>
      <c r="W84" s="1" t="s">
        <v>11</v>
      </c>
      <c r="X84" s="1" t="s">
        <v>50</v>
      </c>
      <c r="Y84" s="1" t="str">
        <f>'State of the System - Sumter Co'!R84</f>
        <v>D</v>
      </c>
      <c r="Z84" s="157" t="str">
        <f t="shared" si="159"/>
        <v>Other CMP Network Roadways</v>
      </c>
      <c r="AA84" s="15">
        <f>VLOOKUP($T84,'2020_CapacityTable'!$B$49:$F$71,2)</f>
        <v>0</v>
      </c>
      <c r="AB84" s="15">
        <f>VLOOKUP($T84,'2020_CapacityTable'!$B$49:$F$71,3)</f>
        <v>37900</v>
      </c>
      <c r="AC84" s="15">
        <f>VLOOKUP($T84,'2020_CapacityTable'!$B$49:$F$71,4)</f>
        <v>39800</v>
      </c>
      <c r="AD84" s="15">
        <f>VLOOKUP($T84,'2020_CapacityTable'!$B$49:$F$71,5)</f>
        <v>39800</v>
      </c>
      <c r="AE84" s="35">
        <f t="shared" si="208"/>
        <v>-0.1</v>
      </c>
      <c r="AF84" s="36" t="str">
        <f t="shared" si="160"/>
        <v/>
      </c>
      <c r="AG84" s="35" t="str">
        <f t="shared" si="209"/>
        <v/>
      </c>
      <c r="AH84" s="35" t="str">
        <f t="shared" si="210"/>
        <v/>
      </c>
      <c r="AI84" s="35"/>
      <c r="AJ84" s="36"/>
      <c r="AK84" s="15">
        <f t="shared" si="161"/>
        <v>0</v>
      </c>
      <c r="AL84" s="15">
        <f t="shared" si="162"/>
        <v>34110</v>
      </c>
      <c r="AM84" s="15">
        <f t="shared" si="163"/>
        <v>35820</v>
      </c>
      <c r="AN84" s="15">
        <f t="shared" si="164"/>
        <v>35820</v>
      </c>
      <c r="AO84" s="3">
        <f t="shared" si="205"/>
        <v>35820</v>
      </c>
      <c r="AP84" s="138">
        <f>VLOOKUP($B84,'2022 counts'!$B$6:$R$304,17,FALSE)</f>
        <v>27786</v>
      </c>
      <c r="AQ84" s="11">
        <f t="shared" si="165"/>
        <v>0.78</v>
      </c>
      <c r="AR84" s="2" t="str">
        <f t="shared" si="166"/>
        <v>C</v>
      </c>
      <c r="AS84" s="26">
        <f t="shared" si="167"/>
        <v>7.4</v>
      </c>
      <c r="AT84" s="15">
        <f>VLOOKUP($T84,'2020_CapacityTable'!$B$23:$F$45,2)</f>
        <v>0</v>
      </c>
      <c r="AU84" s="15">
        <f>VLOOKUP($T84,'2020_CapacityTable'!$B$23:$F$45,3)</f>
        <v>1910</v>
      </c>
      <c r="AV84" s="15">
        <f>VLOOKUP($T84,'2020_CapacityTable'!$B$23:$F$45,4)</f>
        <v>2000</v>
      </c>
      <c r="AW84" s="15">
        <f>VLOOKUP($T84,'2020_CapacityTable'!$B$23:$F$45,5)</f>
        <v>2000</v>
      </c>
      <c r="AX84" s="15">
        <f t="shared" si="168"/>
        <v>0</v>
      </c>
      <c r="AY84" s="15">
        <f t="shared" si="169"/>
        <v>1719</v>
      </c>
      <c r="AZ84" s="15">
        <f t="shared" si="170"/>
        <v>1800</v>
      </c>
      <c r="BA84" s="15">
        <f t="shared" si="171"/>
        <v>1800</v>
      </c>
      <c r="BB84" s="3">
        <f t="shared" si="172"/>
        <v>1800</v>
      </c>
      <c r="BC84" s="138">
        <f>VLOOKUP($B84,'2022 counts'!$B$6:$AD$304,28,FALSE)</f>
        <v>1228</v>
      </c>
      <c r="BD84" s="138">
        <f>VLOOKUP($B84,'2022 counts'!$B$6:$AD$304,29,FALSE)</f>
        <v>1257</v>
      </c>
      <c r="BE84" s="11">
        <f t="shared" si="173"/>
        <v>0.7</v>
      </c>
      <c r="BF84" s="2" t="str">
        <f t="shared" si="174"/>
        <v>C</v>
      </c>
      <c r="BG84" s="135">
        <v>0</v>
      </c>
      <c r="BH84" s="135">
        <f>IF($AQ84="","",VLOOKUP($B84, '2022 counts'!$B$6:$T$304,19,FALSE))</f>
        <v>0</v>
      </c>
      <c r="BI84" s="38">
        <f t="shared" si="175"/>
        <v>0.01</v>
      </c>
      <c r="BJ84" s="39" t="str">
        <f t="shared" si="176"/>
        <v>minimum</v>
      </c>
      <c r="BK84" s="15">
        <f>VLOOKUP($U84,'2020_CapacityTable'!$B$49:$F$71,2)</f>
        <v>0</v>
      </c>
      <c r="BL84" s="15">
        <f>VLOOKUP($U84,'2020_CapacityTable'!$B$49:$F$71,3)</f>
        <v>37900</v>
      </c>
      <c r="BM84" s="15">
        <f>VLOOKUP($T84,'2020_CapacityTable'!$B$49:$F$71,4)</f>
        <v>39800</v>
      </c>
      <c r="BN84" s="15">
        <f>VLOOKUP($T84,'2020_CapacityTable'!$B$49:$F$71,5)</f>
        <v>39800</v>
      </c>
      <c r="BO84" s="15">
        <f t="shared" si="177"/>
        <v>0</v>
      </c>
      <c r="BP84" s="15">
        <f t="shared" si="178"/>
        <v>34110</v>
      </c>
      <c r="BQ84" s="15">
        <f t="shared" si="179"/>
        <v>35820</v>
      </c>
      <c r="BR84" s="15">
        <f t="shared" si="180"/>
        <v>35820</v>
      </c>
      <c r="BS84" s="3">
        <f t="shared" si="181"/>
        <v>35820</v>
      </c>
      <c r="BT84" s="40">
        <f>'State of the System - Sumter Co'!AD84</f>
        <v>29203</v>
      </c>
      <c r="BU84" s="41">
        <f t="shared" si="182"/>
        <v>0.82</v>
      </c>
      <c r="BV84" s="2" t="str">
        <f t="shared" si="183"/>
        <v>C</v>
      </c>
      <c r="BW84" s="2">
        <f t="shared" si="184"/>
        <v>7.78</v>
      </c>
      <c r="BX84" s="15">
        <f>VLOOKUP($U84,'2020_CapacityTable'!$B$23:$F$45,2)</f>
        <v>0</v>
      </c>
      <c r="BY84" s="15">
        <f>VLOOKUP($U84,'2020_CapacityTable'!$B$23:$F$45,3)</f>
        <v>1910</v>
      </c>
      <c r="BZ84" s="15">
        <f>VLOOKUP($U84,'2020_CapacityTable'!$B$23:$F$45,4)</f>
        <v>2000</v>
      </c>
      <c r="CA84" s="15">
        <f>VLOOKUP($U84,'2020_CapacityTable'!$B$23:$F$45,5)</f>
        <v>2000</v>
      </c>
      <c r="CB84" s="15">
        <f t="shared" si="185"/>
        <v>0</v>
      </c>
      <c r="CC84" s="15">
        <f t="shared" si="186"/>
        <v>1719</v>
      </c>
      <c r="CD84" s="15">
        <f t="shared" si="187"/>
        <v>1800</v>
      </c>
      <c r="CE84" s="15">
        <f t="shared" si="188"/>
        <v>1800</v>
      </c>
      <c r="CF84" s="3">
        <f t="shared" si="189"/>
        <v>1800</v>
      </c>
      <c r="CG84" s="2">
        <f>'State of the System - Sumter Co'!AH84</f>
        <v>1291</v>
      </c>
      <c r="CH84" s="2">
        <f>'State of the System - Sumter Co'!AI84</f>
        <v>1321</v>
      </c>
      <c r="CI84" s="11">
        <f t="shared" si="190"/>
        <v>0.73</v>
      </c>
      <c r="CJ84" s="2" t="str">
        <f t="shared" si="191"/>
        <v>C</v>
      </c>
      <c r="CK84" s="3">
        <f t="shared" si="192"/>
        <v>38686</v>
      </c>
      <c r="CL84" s="11">
        <f t="shared" si="193"/>
        <v>0.75</v>
      </c>
      <c r="CM84" s="11" t="str">
        <f t="shared" si="194"/>
        <v>NOT CONGESTED</v>
      </c>
      <c r="CN84" s="3">
        <f t="shared" si="195"/>
        <v>1944</v>
      </c>
      <c r="CO84" s="11">
        <f t="shared" si="196"/>
        <v>0.68</v>
      </c>
      <c r="CP84" s="156" t="str">
        <f t="shared" si="197"/>
        <v>NOT CONGESTED</v>
      </c>
      <c r="CQ84" s="2" t="s">
        <v>557</v>
      </c>
      <c r="CR84" s="44">
        <v>0</v>
      </c>
      <c r="CS84" s="11" t="str">
        <f t="shared" si="198"/>
        <v/>
      </c>
      <c r="CT84" s="11" t="str">
        <f t="shared" si="199"/>
        <v/>
      </c>
      <c r="CU84" s="11" t="str">
        <f t="shared" si="200"/>
        <v/>
      </c>
      <c r="CV84" s="11" t="str">
        <f t="shared" si="201"/>
        <v/>
      </c>
      <c r="CW84" s="3"/>
      <c r="CX84" s="1"/>
      <c r="CY84" s="145" t="str">
        <f t="shared" si="202"/>
        <v/>
      </c>
      <c r="CZ84" s="32" t="str">
        <f t="shared" si="203"/>
        <v/>
      </c>
    </row>
    <row r="85" spans="1:104" s="9" customFormat="1" ht="12.75" customHeight="1">
      <c r="A85" s="1">
        <v>3537200</v>
      </c>
      <c r="B85" s="1">
        <f t="shared" si="204"/>
        <v>22</v>
      </c>
      <c r="C85" s="1">
        <v>19</v>
      </c>
      <c r="D85" s="1">
        <f>VLOOKUP(C85,'2022 counts'!$A$6:$B$304,2,FALSE)</f>
        <v>22</v>
      </c>
      <c r="E85" s="1"/>
      <c r="F85" s="2" t="s">
        <v>6</v>
      </c>
      <c r="G85" s="156">
        <v>55</v>
      </c>
      <c r="H85" s="11">
        <v>2.0184056470499998</v>
      </c>
      <c r="I85" s="10" t="s">
        <v>716</v>
      </c>
      <c r="J85" s="10" t="s">
        <v>43</v>
      </c>
      <c r="K85" s="10" t="s">
        <v>46</v>
      </c>
      <c r="L85" s="157">
        <v>2</v>
      </c>
      <c r="M85" s="1">
        <f>'State of the System - Sumter Co'!K85</f>
        <v>2</v>
      </c>
      <c r="N85" s="1" t="str">
        <f>IF('State of the System - Sumter Co'!L85="URBAN","U","R")</f>
        <v>U</v>
      </c>
      <c r="O85" s="1" t="str">
        <f>IF('State of the System - Sumter Co'!M85="UNDIVIDED","U",IF('State of the System - Sumter Co'!M85="DIVIDED","D","F"))</f>
        <v>U</v>
      </c>
      <c r="P85" s="1" t="str">
        <f>'State of the System - Sumter Co'!N85</f>
        <v>UNINTERRUPTED</v>
      </c>
      <c r="Q85" s="1" t="str">
        <f t="shared" si="156"/>
        <v/>
      </c>
      <c r="R85" s="1" t="str">
        <f>'State of the System - Sumter Co'!O85</f>
        <v/>
      </c>
      <c r="S85" s="1" t="str">
        <f t="shared" si="157"/>
        <v>-x</v>
      </c>
      <c r="T85" s="1" t="str">
        <f t="shared" si="158"/>
        <v>U-2U-x</v>
      </c>
      <c r="U85" s="1" t="str">
        <f t="shared" si="155"/>
        <v>U-2U-x</v>
      </c>
      <c r="V85" s="1" t="s">
        <v>10</v>
      </c>
      <c r="W85" s="1" t="s">
        <v>11</v>
      </c>
      <c r="X85" s="1" t="s">
        <v>21</v>
      </c>
      <c r="Y85" s="1" t="str">
        <f>'State of the System - Sumter Co'!R85</f>
        <v>D</v>
      </c>
      <c r="Z85" s="157" t="str">
        <f t="shared" si="159"/>
        <v>Other CMP Network Roadways</v>
      </c>
      <c r="AA85" s="15">
        <f>VLOOKUP($T85,'2020_CapacityTable'!$B$49:$F$71,2)</f>
        <v>11700</v>
      </c>
      <c r="AB85" s="15">
        <f>VLOOKUP($T85,'2020_CapacityTable'!$B$49:$F$71,3)</f>
        <v>18000</v>
      </c>
      <c r="AC85" s="15">
        <f>VLOOKUP($T85,'2020_CapacityTable'!$B$49:$F$71,4)</f>
        <v>24200</v>
      </c>
      <c r="AD85" s="15">
        <f>VLOOKUP($T85,'2020_CapacityTable'!$B$49:$F$71,5)</f>
        <v>32600</v>
      </c>
      <c r="AE85" s="35"/>
      <c r="AF85" s="36" t="str">
        <f t="shared" si="160"/>
        <v/>
      </c>
      <c r="AG85" s="35" t="str">
        <f t="shared" si="209"/>
        <v/>
      </c>
      <c r="AH85" s="35" t="str">
        <f t="shared" si="210"/>
        <v/>
      </c>
      <c r="AI85" s="35"/>
      <c r="AJ85" s="36"/>
      <c r="AK85" s="15">
        <f t="shared" si="161"/>
        <v>11700</v>
      </c>
      <c r="AL85" s="15">
        <f t="shared" si="162"/>
        <v>18000</v>
      </c>
      <c r="AM85" s="15">
        <f t="shared" si="163"/>
        <v>24200</v>
      </c>
      <c r="AN85" s="15">
        <f t="shared" si="164"/>
        <v>32600</v>
      </c>
      <c r="AO85" s="3">
        <f t="shared" si="205"/>
        <v>24200</v>
      </c>
      <c r="AP85" s="138">
        <f>VLOOKUP($B85,'2022 counts'!$B$6:$R$304,17,FALSE)</f>
        <v>8716</v>
      </c>
      <c r="AQ85" s="11">
        <f t="shared" si="165"/>
        <v>0.36</v>
      </c>
      <c r="AR85" s="2" t="str">
        <f t="shared" si="166"/>
        <v>B</v>
      </c>
      <c r="AS85" s="26">
        <f t="shared" si="167"/>
        <v>6.42</v>
      </c>
      <c r="AT85" s="15">
        <f>VLOOKUP($T85,'2020_CapacityTable'!$B$23:$F$45,2)</f>
        <v>580</v>
      </c>
      <c r="AU85" s="15">
        <f>VLOOKUP($T85,'2020_CapacityTable'!$B$23:$F$45,3)</f>
        <v>890</v>
      </c>
      <c r="AV85" s="15">
        <f>VLOOKUP($T85,'2020_CapacityTable'!$B$23:$F$45,4)</f>
        <v>1200</v>
      </c>
      <c r="AW85" s="15">
        <f>VLOOKUP($T85,'2020_CapacityTable'!$B$23:$F$45,5)</f>
        <v>1610</v>
      </c>
      <c r="AX85" s="15">
        <f t="shared" si="168"/>
        <v>580</v>
      </c>
      <c r="AY85" s="15">
        <f t="shared" si="169"/>
        <v>890</v>
      </c>
      <c r="AZ85" s="15">
        <f t="shared" si="170"/>
        <v>1200</v>
      </c>
      <c r="BA85" s="15">
        <f t="shared" si="171"/>
        <v>1610</v>
      </c>
      <c r="BB85" s="3">
        <f t="shared" si="172"/>
        <v>1200</v>
      </c>
      <c r="BC85" s="138">
        <f>VLOOKUP($B85,'2022 counts'!$B$6:$AD$304,28,FALSE)</f>
        <v>279</v>
      </c>
      <c r="BD85" s="138">
        <f>VLOOKUP($B85,'2022 counts'!$B$6:$AD$304,29,FALSE)</f>
        <v>485</v>
      </c>
      <c r="BE85" s="11">
        <f t="shared" si="173"/>
        <v>0.4</v>
      </c>
      <c r="BF85" s="2" t="str">
        <f t="shared" si="174"/>
        <v>B</v>
      </c>
      <c r="BG85" s="135">
        <v>4.2500000000000003E-2</v>
      </c>
      <c r="BH85" s="135">
        <f>IF($AQ85="","",VLOOKUP($B85, '2022 counts'!$B$6:$T$304,19,FALSE))</f>
        <v>4.2500000000000003E-2</v>
      </c>
      <c r="BI85" s="38">
        <f t="shared" si="175"/>
        <v>4.2500000000000003E-2</v>
      </c>
      <c r="BJ85" s="39" t="str">
        <f t="shared" si="176"/>
        <v/>
      </c>
      <c r="BK85" s="15">
        <f>VLOOKUP($U85,'2020_CapacityTable'!$B$49:$F$71,2)</f>
        <v>11700</v>
      </c>
      <c r="BL85" s="15">
        <f>VLOOKUP($U85,'2020_CapacityTable'!$B$49:$F$71,3)</f>
        <v>18000</v>
      </c>
      <c r="BM85" s="15">
        <f>VLOOKUP($T85,'2020_CapacityTable'!$B$49:$F$71,4)</f>
        <v>24200</v>
      </c>
      <c r="BN85" s="15">
        <f>VLOOKUP($T85,'2020_CapacityTable'!$B$49:$F$71,5)</f>
        <v>32600</v>
      </c>
      <c r="BO85" s="15">
        <f t="shared" si="177"/>
        <v>11700</v>
      </c>
      <c r="BP85" s="15">
        <f t="shared" si="178"/>
        <v>18000</v>
      </c>
      <c r="BQ85" s="15">
        <f t="shared" si="179"/>
        <v>24200</v>
      </c>
      <c r="BR85" s="15">
        <f t="shared" si="180"/>
        <v>32600</v>
      </c>
      <c r="BS85" s="3">
        <f t="shared" si="181"/>
        <v>24200</v>
      </c>
      <c r="BT85" s="40">
        <f>'State of the System - Sumter Co'!AD85</f>
        <v>10732</v>
      </c>
      <c r="BU85" s="41">
        <f t="shared" si="182"/>
        <v>0.44</v>
      </c>
      <c r="BV85" s="2" t="str">
        <f t="shared" si="183"/>
        <v>B</v>
      </c>
      <c r="BW85" s="2">
        <f t="shared" si="184"/>
        <v>7.91</v>
      </c>
      <c r="BX85" s="15">
        <f>VLOOKUP($U85,'2020_CapacityTable'!$B$23:$F$45,2)</f>
        <v>580</v>
      </c>
      <c r="BY85" s="15">
        <f>VLOOKUP($U85,'2020_CapacityTable'!$B$23:$F$45,3)</f>
        <v>890</v>
      </c>
      <c r="BZ85" s="15">
        <f>VLOOKUP($U85,'2020_CapacityTable'!$B$23:$F$45,4)</f>
        <v>1200</v>
      </c>
      <c r="CA85" s="15">
        <f>VLOOKUP($U85,'2020_CapacityTable'!$B$23:$F$45,5)</f>
        <v>1610</v>
      </c>
      <c r="CB85" s="15">
        <f t="shared" si="185"/>
        <v>580</v>
      </c>
      <c r="CC85" s="15">
        <f t="shared" si="186"/>
        <v>890</v>
      </c>
      <c r="CD85" s="15">
        <f t="shared" si="187"/>
        <v>1200</v>
      </c>
      <c r="CE85" s="15">
        <f t="shared" si="188"/>
        <v>1610</v>
      </c>
      <c r="CF85" s="3">
        <f t="shared" si="189"/>
        <v>1200</v>
      </c>
      <c r="CG85" s="2">
        <f>'State of the System - Sumter Co'!AH85</f>
        <v>344</v>
      </c>
      <c r="CH85" s="2">
        <f>'State of the System - Sumter Co'!AI85</f>
        <v>597</v>
      </c>
      <c r="CI85" s="11">
        <f t="shared" si="190"/>
        <v>0.5</v>
      </c>
      <c r="CJ85" s="2" t="str">
        <f t="shared" si="191"/>
        <v>C</v>
      </c>
      <c r="CK85" s="3">
        <f t="shared" si="192"/>
        <v>35208</v>
      </c>
      <c r="CL85" s="11">
        <f t="shared" si="193"/>
        <v>0.3</v>
      </c>
      <c r="CM85" s="11" t="str">
        <f t="shared" si="194"/>
        <v>NOT CONGESTED</v>
      </c>
      <c r="CN85" s="3">
        <f t="shared" si="195"/>
        <v>1739</v>
      </c>
      <c r="CO85" s="11">
        <f t="shared" si="196"/>
        <v>0.34</v>
      </c>
      <c r="CP85" s="156" t="str">
        <f t="shared" si="197"/>
        <v>NOT CONGESTED</v>
      </c>
      <c r="CQ85" s="2"/>
      <c r="CR85" s="42"/>
      <c r="CS85" s="11" t="str">
        <f t="shared" si="198"/>
        <v/>
      </c>
      <c r="CT85" s="11" t="str">
        <f t="shared" si="199"/>
        <v/>
      </c>
      <c r="CU85" s="11" t="str">
        <f t="shared" si="200"/>
        <v/>
      </c>
      <c r="CV85" s="11" t="str">
        <f t="shared" si="201"/>
        <v/>
      </c>
      <c r="CW85" s="3"/>
      <c r="CX85" s="1"/>
      <c r="CY85" s="145" t="str">
        <f t="shared" si="202"/>
        <v/>
      </c>
      <c r="CZ85" s="32" t="str">
        <f t="shared" si="203"/>
        <v/>
      </c>
    </row>
    <row r="86" spans="1:104" s="9" customFormat="1" ht="12.75" customHeight="1">
      <c r="A86" s="1">
        <v>3538000</v>
      </c>
      <c r="B86" s="1" t="str">
        <f t="shared" si="204"/>
        <v>2020-89</v>
      </c>
      <c r="C86" s="1">
        <v>89</v>
      </c>
      <c r="D86" s="1" t="str">
        <f>VLOOKUP(C86,'2022 counts'!$A$6:$B$304,2,FALSE)</f>
        <v>2020-89</v>
      </c>
      <c r="E86" s="1"/>
      <c r="F86" s="3" t="s">
        <v>6</v>
      </c>
      <c r="G86" s="156">
        <v>45</v>
      </c>
      <c r="H86" s="11">
        <v>1.66187874136</v>
      </c>
      <c r="I86" s="10" t="s">
        <v>738</v>
      </c>
      <c r="J86" s="10" t="s">
        <v>66</v>
      </c>
      <c r="K86" s="10" t="s">
        <v>88</v>
      </c>
      <c r="L86" s="157">
        <v>2</v>
      </c>
      <c r="M86" s="1">
        <f>'State of the System - Sumter Co'!K86</f>
        <v>2</v>
      </c>
      <c r="N86" s="1" t="str">
        <f>IF('State of the System - Sumter Co'!L86="URBAN","U","R")</f>
        <v>U</v>
      </c>
      <c r="O86" s="1" t="str">
        <f>IF('State of the System - Sumter Co'!M86="UNDIVIDED","U",IF('State of the System - Sumter Co'!M86="DIVIDED","D","F"))</f>
        <v>U</v>
      </c>
      <c r="P86" s="1" t="str">
        <f>'State of the System - Sumter Co'!N86</f>
        <v>UNINTERRUPTED</v>
      </c>
      <c r="Q86" s="1" t="str">
        <f t="shared" si="156"/>
        <v/>
      </c>
      <c r="R86" s="1" t="str">
        <f>'State of the System - Sumter Co'!O86</f>
        <v/>
      </c>
      <c r="S86" s="1" t="str">
        <f t="shared" si="157"/>
        <v>-x</v>
      </c>
      <c r="T86" s="1" t="str">
        <f t="shared" si="158"/>
        <v>U-2U-x</v>
      </c>
      <c r="U86" s="1" t="str">
        <f t="shared" ref="U86:U117" si="211">CONCATENATE(N86,"-",L86,O86,S86,Q86)</f>
        <v>U-2U-x</v>
      </c>
      <c r="V86" s="1" t="s">
        <v>10</v>
      </c>
      <c r="W86" s="1" t="s">
        <v>11</v>
      </c>
      <c r="X86" s="1" t="s">
        <v>21</v>
      </c>
      <c r="Y86" s="1" t="str">
        <f>'State of the System - Sumter Co'!R86</f>
        <v>C</v>
      </c>
      <c r="Z86" s="157" t="str">
        <f t="shared" si="159"/>
        <v>Other CMP Network Roadways</v>
      </c>
      <c r="AA86" s="15">
        <f>VLOOKUP($T86,'2020_CapacityTable'!$B$49:$F$71,2)</f>
        <v>11700</v>
      </c>
      <c r="AB86" s="15">
        <f>VLOOKUP($T86,'2020_CapacityTable'!$B$49:$F$71,3)</f>
        <v>18000</v>
      </c>
      <c r="AC86" s="15">
        <f>VLOOKUP($T86,'2020_CapacityTable'!$B$49:$F$71,4)</f>
        <v>24200</v>
      </c>
      <c r="AD86" s="15">
        <f>VLOOKUP($T86,'2020_CapacityTable'!$B$49:$F$71,5)</f>
        <v>32600</v>
      </c>
      <c r="AE86" s="35"/>
      <c r="AF86" s="36" t="str">
        <f t="shared" si="160"/>
        <v/>
      </c>
      <c r="AG86" s="35" t="str">
        <f>IF(AND(L86=2,P86="interrupted",O86="U"),"LOOK","")</f>
        <v/>
      </c>
      <c r="AH86" s="35" t="str">
        <f t="shared" si="210"/>
        <v/>
      </c>
      <c r="AI86" s="35"/>
      <c r="AJ86" s="36"/>
      <c r="AK86" s="15">
        <f t="shared" si="161"/>
        <v>11700</v>
      </c>
      <c r="AL86" s="15">
        <f t="shared" si="162"/>
        <v>18000</v>
      </c>
      <c r="AM86" s="15">
        <f t="shared" si="163"/>
        <v>24200</v>
      </c>
      <c r="AN86" s="15">
        <f t="shared" si="164"/>
        <v>32600</v>
      </c>
      <c r="AO86" s="3">
        <f t="shared" si="205"/>
        <v>18000</v>
      </c>
      <c r="AP86" s="138">
        <f>VLOOKUP($B86,'2022 counts'!$B$6:$R$304,17,FALSE)</f>
        <v>1806.0200000000023</v>
      </c>
      <c r="AQ86" s="11">
        <f t="shared" si="165"/>
        <v>0.1</v>
      </c>
      <c r="AR86" s="2" t="str">
        <f t="shared" si="166"/>
        <v>B</v>
      </c>
      <c r="AS86" s="26">
        <f t="shared" si="167"/>
        <v>1.1000000000000001</v>
      </c>
      <c r="AT86" s="15">
        <f>VLOOKUP($T86,'2020_CapacityTable'!$B$23:$F$45,2)</f>
        <v>580</v>
      </c>
      <c r="AU86" s="15">
        <f>VLOOKUP($T86,'2020_CapacityTable'!$B$23:$F$45,3)</f>
        <v>890</v>
      </c>
      <c r="AV86" s="15">
        <f>VLOOKUP($T86,'2020_CapacityTable'!$B$23:$F$45,4)</f>
        <v>1200</v>
      </c>
      <c r="AW86" s="15">
        <f>VLOOKUP($T86,'2020_CapacityTable'!$B$23:$F$45,5)</f>
        <v>1610</v>
      </c>
      <c r="AX86" s="15">
        <f t="shared" si="168"/>
        <v>580</v>
      </c>
      <c r="AY86" s="15">
        <f t="shared" si="169"/>
        <v>890</v>
      </c>
      <c r="AZ86" s="15">
        <f t="shared" si="170"/>
        <v>1200</v>
      </c>
      <c r="BA86" s="15">
        <f t="shared" si="171"/>
        <v>1610</v>
      </c>
      <c r="BB86" s="3">
        <f t="shared" si="172"/>
        <v>890</v>
      </c>
      <c r="BC86" s="138">
        <f>VLOOKUP($B86,'2022 counts'!$B$6:$AD$304,28,FALSE)</f>
        <v>80</v>
      </c>
      <c r="BD86" s="138">
        <f>VLOOKUP($B86,'2022 counts'!$B$6:$AD$304,29,FALSE)</f>
        <v>83</v>
      </c>
      <c r="BE86" s="11">
        <f t="shared" si="173"/>
        <v>0.09</v>
      </c>
      <c r="BF86" s="2" t="str">
        <f t="shared" si="174"/>
        <v>B</v>
      </c>
      <c r="BG86" s="135">
        <v>0</v>
      </c>
      <c r="BH86" s="135">
        <f>IF($AQ86="","",VLOOKUP($B86, '2022 counts'!$B$6:$T$304,19,FALSE))</f>
        <v>0</v>
      </c>
      <c r="BI86" s="38">
        <f t="shared" si="175"/>
        <v>0.01</v>
      </c>
      <c r="BJ86" s="39" t="str">
        <f t="shared" si="176"/>
        <v>minimum</v>
      </c>
      <c r="BK86" s="15">
        <f>VLOOKUP($U86,'2020_CapacityTable'!$B$49:$F$71,2)</f>
        <v>11700</v>
      </c>
      <c r="BL86" s="15">
        <f>VLOOKUP($U86,'2020_CapacityTable'!$B$49:$F$71,3)</f>
        <v>18000</v>
      </c>
      <c r="BM86" s="15">
        <f>VLOOKUP($T86,'2020_CapacityTable'!$B$49:$F$71,4)</f>
        <v>24200</v>
      </c>
      <c r="BN86" s="15">
        <f>VLOOKUP($T86,'2020_CapacityTable'!$B$49:$F$71,5)</f>
        <v>32600</v>
      </c>
      <c r="BO86" s="15">
        <f t="shared" si="177"/>
        <v>11700</v>
      </c>
      <c r="BP86" s="15">
        <f t="shared" si="178"/>
        <v>18000</v>
      </c>
      <c r="BQ86" s="15">
        <f t="shared" si="179"/>
        <v>24200</v>
      </c>
      <c r="BR86" s="15">
        <f t="shared" si="180"/>
        <v>32600</v>
      </c>
      <c r="BS86" s="3">
        <f t="shared" si="181"/>
        <v>18000</v>
      </c>
      <c r="BT86" s="40">
        <f>'State of the System - Sumter Co'!AD86</f>
        <v>1898</v>
      </c>
      <c r="BU86" s="41">
        <f t="shared" si="182"/>
        <v>0.11</v>
      </c>
      <c r="BV86" s="2" t="str">
        <f t="shared" si="183"/>
        <v>B</v>
      </c>
      <c r="BW86" s="2">
        <f t="shared" si="184"/>
        <v>1.1499999999999999</v>
      </c>
      <c r="BX86" s="15">
        <f>VLOOKUP($U86,'2020_CapacityTable'!$B$23:$F$45,2)</f>
        <v>580</v>
      </c>
      <c r="BY86" s="15">
        <f>VLOOKUP($U86,'2020_CapacityTable'!$B$23:$F$45,3)</f>
        <v>890</v>
      </c>
      <c r="BZ86" s="15">
        <f>VLOOKUP($U86,'2020_CapacityTable'!$B$23:$F$45,4)</f>
        <v>1200</v>
      </c>
      <c r="CA86" s="15">
        <f>VLOOKUP($U86,'2020_CapacityTable'!$B$23:$F$45,5)</f>
        <v>1610</v>
      </c>
      <c r="CB86" s="15">
        <f t="shared" si="185"/>
        <v>580</v>
      </c>
      <c r="CC86" s="15">
        <f t="shared" si="186"/>
        <v>890</v>
      </c>
      <c r="CD86" s="15">
        <f t="shared" si="187"/>
        <v>1200</v>
      </c>
      <c r="CE86" s="15">
        <f t="shared" si="188"/>
        <v>1610</v>
      </c>
      <c r="CF86" s="3">
        <f t="shared" si="189"/>
        <v>890</v>
      </c>
      <c r="CG86" s="2">
        <f>'State of the System - Sumter Co'!AH86</f>
        <v>84</v>
      </c>
      <c r="CH86" s="2">
        <f>'State of the System - Sumter Co'!AI86</f>
        <v>87</v>
      </c>
      <c r="CI86" s="11">
        <f t="shared" si="190"/>
        <v>0.1</v>
      </c>
      <c r="CJ86" s="2" t="str">
        <f t="shared" si="191"/>
        <v>B</v>
      </c>
      <c r="CK86" s="3">
        <f t="shared" si="192"/>
        <v>35208</v>
      </c>
      <c r="CL86" s="11">
        <f t="shared" si="193"/>
        <v>0.05</v>
      </c>
      <c r="CM86" s="11" t="str">
        <f t="shared" si="194"/>
        <v>NOT CONGESTED</v>
      </c>
      <c r="CN86" s="3">
        <f t="shared" si="195"/>
        <v>1739</v>
      </c>
      <c r="CO86" s="11">
        <f t="shared" si="196"/>
        <v>0.05</v>
      </c>
      <c r="CP86" s="156" t="str">
        <f t="shared" si="197"/>
        <v>NOT CONGESTED</v>
      </c>
      <c r="CQ86" s="2"/>
      <c r="CR86" s="42"/>
      <c r="CS86" s="11" t="str">
        <f t="shared" si="198"/>
        <v/>
      </c>
      <c r="CT86" s="11" t="str">
        <f t="shared" si="199"/>
        <v/>
      </c>
      <c r="CU86" s="11" t="str">
        <f t="shared" si="200"/>
        <v/>
      </c>
      <c r="CV86" s="11" t="str">
        <f t="shared" si="201"/>
        <v/>
      </c>
      <c r="CW86" s="3"/>
      <c r="CX86" s="1"/>
      <c r="CY86" s="145" t="str">
        <f t="shared" si="202"/>
        <v/>
      </c>
      <c r="CZ86" s="32" t="str">
        <f t="shared" si="203"/>
        <v/>
      </c>
    </row>
    <row r="87" spans="1:104" s="9" customFormat="1" ht="12.75" customHeight="1">
      <c r="A87" s="1">
        <v>3539100</v>
      </c>
      <c r="B87" s="1">
        <f t="shared" si="204"/>
        <v>57</v>
      </c>
      <c r="C87" s="1">
        <v>87</v>
      </c>
      <c r="D87" s="1">
        <f>VLOOKUP(C87,'2022 counts'!$A$6:$B$304,2,FALSE)</f>
        <v>57</v>
      </c>
      <c r="E87" s="5" t="s">
        <v>243</v>
      </c>
      <c r="F87" s="2" t="s">
        <v>6</v>
      </c>
      <c r="G87" s="156">
        <v>35</v>
      </c>
      <c r="H87" s="11">
        <v>0.50411019163899995</v>
      </c>
      <c r="I87" s="10" t="s">
        <v>80</v>
      </c>
      <c r="J87" s="10" t="s">
        <v>747</v>
      </c>
      <c r="K87" s="10" t="s">
        <v>740</v>
      </c>
      <c r="L87" s="157">
        <v>2</v>
      </c>
      <c r="M87" s="1">
        <f>'State of the System - Sumter Co'!K87</f>
        <v>2</v>
      </c>
      <c r="N87" s="1" t="str">
        <f>IF('State of the System - Sumter Co'!L87="URBAN","U","R")</f>
        <v>U</v>
      </c>
      <c r="O87" s="1" t="str">
        <f>IF('State of the System - Sumter Co'!M87="UNDIVIDED","U",IF('State of the System - Sumter Co'!M87="DIVIDED","D","F"))</f>
        <v>U</v>
      </c>
      <c r="P87" s="1" t="str">
        <f>'State of the System - Sumter Co'!N87</f>
        <v>INTERRUPTED</v>
      </c>
      <c r="Q87" s="1" t="str">
        <f t="shared" si="156"/>
        <v/>
      </c>
      <c r="R87" s="1" t="str">
        <f>'State of the System - Sumter Co'!O87</f>
        <v/>
      </c>
      <c r="S87" s="1" t="str">
        <f t="shared" si="157"/>
        <v>-2</v>
      </c>
      <c r="T87" s="1" t="str">
        <f t="shared" si="158"/>
        <v>U-2U-2</v>
      </c>
      <c r="U87" s="1" t="str">
        <f t="shared" si="211"/>
        <v>U-2U-2</v>
      </c>
      <c r="V87" s="1" t="s">
        <v>76</v>
      </c>
      <c r="W87" s="1" t="s">
        <v>76</v>
      </c>
      <c r="X87" s="1" t="s">
        <v>21</v>
      </c>
      <c r="Y87" s="1" t="str">
        <f>'State of the System - Sumter Co'!R87</f>
        <v>D</v>
      </c>
      <c r="Z87" s="157" t="str">
        <f t="shared" si="159"/>
        <v>Other CMP Network Roadways</v>
      </c>
      <c r="AA87" s="15">
        <f>VLOOKUP($T87,'2020_CapacityTable'!$B$49:$F$71,2)</f>
        <v>0</v>
      </c>
      <c r="AB87" s="15">
        <f>VLOOKUP($T87,'2020_CapacityTable'!$B$49:$F$71,3)</f>
        <v>7300</v>
      </c>
      <c r="AC87" s="15">
        <f>VLOOKUP($T87,'2020_CapacityTable'!$B$49:$F$71,4)</f>
        <v>14800</v>
      </c>
      <c r="AD87" s="15">
        <f>VLOOKUP($T87,'2020_CapacityTable'!$B$49:$F$71,5)</f>
        <v>15600</v>
      </c>
      <c r="AE87" s="35">
        <f>IF(V87&lt;&gt;"STATE",-10%,"")</f>
        <v>-0.1</v>
      </c>
      <c r="AF87" s="36" t="str">
        <f t="shared" si="160"/>
        <v/>
      </c>
      <c r="AG87" s="35">
        <v>-0.2</v>
      </c>
      <c r="AH87" s="35" t="str">
        <f t="shared" si="210"/>
        <v/>
      </c>
      <c r="AI87" s="35"/>
      <c r="AJ87" s="36"/>
      <c r="AK87" s="15">
        <f t="shared" si="161"/>
        <v>0</v>
      </c>
      <c r="AL87" s="15">
        <f t="shared" si="162"/>
        <v>5110</v>
      </c>
      <c r="AM87" s="15">
        <f t="shared" si="163"/>
        <v>10360</v>
      </c>
      <c r="AN87" s="15">
        <f t="shared" si="164"/>
        <v>10920</v>
      </c>
      <c r="AO87" s="3">
        <f t="shared" si="205"/>
        <v>10360</v>
      </c>
      <c r="AP87" s="138">
        <f>VLOOKUP($B87,'2022 counts'!$B$6:$R$304,17,FALSE)</f>
        <v>390</v>
      </c>
      <c r="AQ87" s="11">
        <f t="shared" si="165"/>
        <v>0.04</v>
      </c>
      <c r="AR87" s="2" t="str">
        <f t="shared" si="166"/>
        <v>C</v>
      </c>
      <c r="AS87" s="26">
        <f t="shared" si="167"/>
        <v>7.0000000000000007E-2</v>
      </c>
      <c r="AT87" s="15">
        <f>VLOOKUP($T87,'2020_CapacityTable'!$B$23:$F$45,2)</f>
        <v>0</v>
      </c>
      <c r="AU87" s="15">
        <f>VLOOKUP($T87,'2020_CapacityTable'!$B$23:$F$45,3)</f>
        <v>370</v>
      </c>
      <c r="AV87" s="15">
        <f>VLOOKUP($T87,'2020_CapacityTable'!$B$23:$F$45,4)</f>
        <v>750</v>
      </c>
      <c r="AW87" s="15">
        <f>VLOOKUP($T87,'2020_CapacityTable'!$B$23:$F$45,5)</f>
        <v>800</v>
      </c>
      <c r="AX87" s="15">
        <f t="shared" si="168"/>
        <v>0</v>
      </c>
      <c r="AY87" s="15">
        <f t="shared" si="169"/>
        <v>259</v>
      </c>
      <c r="AZ87" s="15">
        <f t="shared" si="170"/>
        <v>525</v>
      </c>
      <c r="BA87" s="15">
        <f t="shared" si="171"/>
        <v>560</v>
      </c>
      <c r="BB87" s="3">
        <f t="shared" si="172"/>
        <v>525</v>
      </c>
      <c r="BC87" s="138">
        <f>VLOOKUP($B87,'2022 counts'!$B$6:$AD$304,28,FALSE)</f>
        <v>23</v>
      </c>
      <c r="BD87" s="138">
        <f>VLOOKUP($B87,'2022 counts'!$B$6:$AD$304,29,FALSE)</f>
        <v>23</v>
      </c>
      <c r="BE87" s="11">
        <f t="shared" si="173"/>
        <v>0.04</v>
      </c>
      <c r="BF87" s="2" t="str">
        <f t="shared" si="174"/>
        <v>C</v>
      </c>
      <c r="BG87" s="135">
        <v>0</v>
      </c>
      <c r="BH87" s="135">
        <f>IF($AQ87="","",VLOOKUP($B87, '2022 counts'!$B$6:$T$304,19,FALSE))</f>
        <v>0</v>
      </c>
      <c r="BI87" s="38">
        <f t="shared" si="175"/>
        <v>0.01</v>
      </c>
      <c r="BJ87" s="39" t="str">
        <f t="shared" si="176"/>
        <v>minimum</v>
      </c>
      <c r="BK87" s="15">
        <f>VLOOKUP($U87,'2020_CapacityTable'!$B$49:$F$71,2)</f>
        <v>0</v>
      </c>
      <c r="BL87" s="15">
        <f>VLOOKUP($U87,'2020_CapacityTable'!$B$49:$F$71,3)</f>
        <v>7300</v>
      </c>
      <c r="BM87" s="15">
        <f>VLOOKUP($T87,'2020_CapacityTable'!$B$49:$F$71,4)</f>
        <v>14800</v>
      </c>
      <c r="BN87" s="15">
        <f>VLOOKUP($T87,'2020_CapacityTable'!$B$49:$F$71,5)</f>
        <v>15600</v>
      </c>
      <c r="BO87" s="15">
        <f t="shared" si="177"/>
        <v>0</v>
      </c>
      <c r="BP87" s="15">
        <f t="shared" si="178"/>
        <v>5110</v>
      </c>
      <c r="BQ87" s="15">
        <f t="shared" si="179"/>
        <v>10360</v>
      </c>
      <c r="BR87" s="15">
        <f t="shared" si="180"/>
        <v>10920</v>
      </c>
      <c r="BS87" s="3">
        <f t="shared" si="181"/>
        <v>10360</v>
      </c>
      <c r="BT87" s="40">
        <f>'State of the System - Sumter Co'!AD87</f>
        <v>410</v>
      </c>
      <c r="BU87" s="41">
        <f t="shared" si="182"/>
        <v>0.04</v>
      </c>
      <c r="BV87" s="2" t="str">
        <f t="shared" si="183"/>
        <v>C</v>
      </c>
      <c r="BW87" s="2">
        <f t="shared" si="184"/>
        <v>0.08</v>
      </c>
      <c r="BX87" s="15">
        <f>VLOOKUP($U87,'2020_CapacityTable'!$B$23:$F$45,2)</f>
        <v>0</v>
      </c>
      <c r="BY87" s="15">
        <f>VLOOKUP($U87,'2020_CapacityTable'!$B$23:$F$45,3)</f>
        <v>370</v>
      </c>
      <c r="BZ87" s="15">
        <f>VLOOKUP($U87,'2020_CapacityTable'!$B$23:$F$45,4)</f>
        <v>750</v>
      </c>
      <c r="CA87" s="15">
        <f>VLOOKUP($U87,'2020_CapacityTable'!$B$23:$F$45,5)</f>
        <v>800</v>
      </c>
      <c r="CB87" s="15">
        <f t="shared" si="185"/>
        <v>0</v>
      </c>
      <c r="CC87" s="15">
        <f t="shared" si="186"/>
        <v>259</v>
      </c>
      <c r="CD87" s="15">
        <f t="shared" si="187"/>
        <v>525</v>
      </c>
      <c r="CE87" s="15">
        <f t="shared" si="188"/>
        <v>560</v>
      </c>
      <c r="CF87" s="3">
        <f t="shared" si="189"/>
        <v>525</v>
      </c>
      <c r="CG87" s="2">
        <f>'State of the System - Sumter Co'!AH87</f>
        <v>24</v>
      </c>
      <c r="CH87" s="2">
        <f>'State of the System - Sumter Co'!AI87</f>
        <v>24</v>
      </c>
      <c r="CI87" s="11">
        <f t="shared" si="190"/>
        <v>0.05</v>
      </c>
      <c r="CJ87" s="2" t="str">
        <f t="shared" si="191"/>
        <v>C</v>
      </c>
      <c r="CK87" s="3">
        <f t="shared" si="192"/>
        <v>11794</v>
      </c>
      <c r="CL87" s="11">
        <f t="shared" si="193"/>
        <v>0.03</v>
      </c>
      <c r="CM87" s="11" t="str">
        <f t="shared" si="194"/>
        <v>NOT CONGESTED</v>
      </c>
      <c r="CN87" s="3">
        <f t="shared" si="195"/>
        <v>605</v>
      </c>
      <c r="CO87" s="11">
        <f t="shared" si="196"/>
        <v>0.04</v>
      </c>
      <c r="CP87" s="156" t="str">
        <f t="shared" si="197"/>
        <v>NOT CONGESTED</v>
      </c>
      <c r="CQ87" s="2"/>
      <c r="CR87" s="42"/>
      <c r="CS87" s="11" t="str">
        <f t="shared" si="198"/>
        <v/>
      </c>
      <c r="CT87" s="11" t="str">
        <f t="shared" si="199"/>
        <v/>
      </c>
      <c r="CU87" s="11" t="str">
        <f t="shared" si="200"/>
        <v/>
      </c>
      <c r="CV87" s="11" t="str">
        <f t="shared" si="201"/>
        <v/>
      </c>
      <c r="CW87" s="3"/>
      <c r="CX87" s="1"/>
      <c r="CY87" s="145" t="str">
        <f t="shared" si="202"/>
        <v/>
      </c>
      <c r="CZ87" s="32" t="str">
        <f t="shared" si="203"/>
        <v/>
      </c>
    </row>
    <row r="88" spans="1:104" s="9" customFormat="1" ht="12.75" customHeight="1">
      <c r="A88" s="1">
        <v>3539120</v>
      </c>
      <c r="B88" s="1">
        <f t="shared" si="204"/>
        <v>53</v>
      </c>
      <c r="C88" s="1">
        <v>390</v>
      </c>
      <c r="D88" s="1">
        <f>VLOOKUP(C88,'2022 counts'!$A$6:$B$304,2,FALSE)</f>
        <v>53</v>
      </c>
      <c r="E88" s="1">
        <v>188007</v>
      </c>
      <c r="F88" s="2" t="s">
        <v>136</v>
      </c>
      <c r="G88" s="156">
        <v>35</v>
      </c>
      <c r="H88" s="11">
        <v>0.63432068462799995</v>
      </c>
      <c r="I88" s="10" t="s">
        <v>135</v>
      </c>
      <c r="J88" s="10" t="s">
        <v>728</v>
      </c>
      <c r="K88" s="10" t="s">
        <v>80</v>
      </c>
      <c r="L88" s="157">
        <v>2</v>
      </c>
      <c r="M88" s="1">
        <f>'State of the System - Sumter Co'!K88</f>
        <v>2</v>
      </c>
      <c r="N88" s="1" t="str">
        <f>IF('State of the System - Sumter Co'!L88="URBAN","U","R")</f>
        <v>U</v>
      </c>
      <c r="O88" s="1" t="str">
        <f>IF('State of the System - Sumter Co'!M88="UNDIVIDED","U",IF('State of the System - Sumter Co'!M88="DIVIDED","D","F"))</f>
        <v>U</v>
      </c>
      <c r="P88" s="1" t="str">
        <f>'State of the System - Sumter Co'!N88</f>
        <v>INTERRUPTED</v>
      </c>
      <c r="Q88" s="1" t="str">
        <f t="shared" si="156"/>
        <v/>
      </c>
      <c r="R88" s="1" t="str">
        <f>'State of the System - Sumter Co'!O88</f>
        <v/>
      </c>
      <c r="S88" s="1" t="str">
        <f t="shared" si="157"/>
        <v>-2</v>
      </c>
      <c r="T88" s="1" t="str">
        <f t="shared" si="158"/>
        <v>U-2U-2</v>
      </c>
      <c r="U88" s="1" t="str">
        <f t="shared" si="211"/>
        <v>U-2U-2</v>
      </c>
      <c r="V88" s="1" t="s">
        <v>10</v>
      </c>
      <c r="W88" s="1" t="s">
        <v>76</v>
      </c>
      <c r="X88" s="1" t="s">
        <v>21</v>
      </c>
      <c r="Y88" s="1" t="str">
        <f>'State of the System - Sumter Co'!R88</f>
        <v>D</v>
      </c>
      <c r="Z88" s="157" t="str">
        <f t="shared" si="159"/>
        <v>Other CMP Network Roadways</v>
      </c>
      <c r="AA88" s="15">
        <f>VLOOKUP($T88,'2020_CapacityTable'!$B$49:$F$71,2)</f>
        <v>0</v>
      </c>
      <c r="AB88" s="15">
        <f>VLOOKUP($T88,'2020_CapacityTable'!$B$49:$F$71,3)</f>
        <v>7300</v>
      </c>
      <c r="AC88" s="15">
        <f>VLOOKUP($T88,'2020_CapacityTable'!$B$49:$F$71,4)</f>
        <v>14800</v>
      </c>
      <c r="AD88" s="15">
        <f>VLOOKUP($T88,'2020_CapacityTable'!$B$49:$F$71,5)</f>
        <v>15600</v>
      </c>
      <c r="AE88" s="35">
        <f>IF(V88&lt;&gt;"STATE",-10%,"")</f>
        <v>-0.1</v>
      </c>
      <c r="AF88" s="36" t="str">
        <f t="shared" si="160"/>
        <v/>
      </c>
      <c r="AG88" s="35">
        <v>-0.2</v>
      </c>
      <c r="AH88" s="35" t="str">
        <f t="shared" si="210"/>
        <v/>
      </c>
      <c r="AI88" s="35"/>
      <c r="AJ88" s="36"/>
      <c r="AK88" s="15">
        <f t="shared" si="161"/>
        <v>0</v>
      </c>
      <c r="AL88" s="15">
        <f t="shared" si="162"/>
        <v>5110</v>
      </c>
      <c r="AM88" s="15">
        <f t="shared" si="163"/>
        <v>10360</v>
      </c>
      <c r="AN88" s="15">
        <f t="shared" si="164"/>
        <v>10920</v>
      </c>
      <c r="AO88" s="3">
        <f t="shared" si="205"/>
        <v>10360</v>
      </c>
      <c r="AP88" s="138">
        <f>VLOOKUP($B88,'2022 counts'!$B$6:$R$304,17,FALSE)</f>
        <v>849</v>
      </c>
      <c r="AQ88" s="11">
        <f t="shared" si="165"/>
        <v>0.08</v>
      </c>
      <c r="AR88" s="2" t="str">
        <f t="shared" si="166"/>
        <v>C</v>
      </c>
      <c r="AS88" s="26">
        <f t="shared" si="167"/>
        <v>0.2</v>
      </c>
      <c r="AT88" s="15">
        <f>VLOOKUP($T88,'2020_CapacityTable'!$B$23:$F$45,2)</f>
        <v>0</v>
      </c>
      <c r="AU88" s="15">
        <f>VLOOKUP($T88,'2020_CapacityTable'!$B$23:$F$45,3)</f>
        <v>370</v>
      </c>
      <c r="AV88" s="15">
        <f>VLOOKUP($T88,'2020_CapacityTable'!$B$23:$F$45,4)</f>
        <v>750</v>
      </c>
      <c r="AW88" s="15">
        <f>VLOOKUP($T88,'2020_CapacityTable'!$B$23:$F$45,5)</f>
        <v>800</v>
      </c>
      <c r="AX88" s="15">
        <f t="shared" si="168"/>
        <v>0</v>
      </c>
      <c r="AY88" s="15">
        <f t="shared" si="169"/>
        <v>259</v>
      </c>
      <c r="AZ88" s="15">
        <f t="shared" si="170"/>
        <v>525</v>
      </c>
      <c r="BA88" s="15">
        <f t="shared" si="171"/>
        <v>560</v>
      </c>
      <c r="BB88" s="3">
        <f t="shared" si="172"/>
        <v>525</v>
      </c>
      <c r="BC88" s="138">
        <f>VLOOKUP($B88,'2022 counts'!$B$6:$AD$304,28,FALSE)</f>
        <v>45</v>
      </c>
      <c r="BD88" s="138">
        <f>VLOOKUP($B88,'2022 counts'!$B$6:$AD$304,29,FALSE)</f>
        <v>43</v>
      </c>
      <c r="BE88" s="11">
        <f t="shared" si="173"/>
        <v>0.09</v>
      </c>
      <c r="BF88" s="2" t="str">
        <f t="shared" si="174"/>
        <v>C</v>
      </c>
      <c r="BG88" s="135">
        <v>0</v>
      </c>
      <c r="BH88" s="135">
        <f>IF($AQ88="","",VLOOKUP($B88, '2022 counts'!$B$6:$T$304,19,FALSE))</f>
        <v>0</v>
      </c>
      <c r="BI88" s="38">
        <f t="shared" si="175"/>
        <v>0.01</v>
      </c>
      <c r="BJ88" s="39" t="str">
        <f t="shared" si="176"/>
        <v>minimum</v>
      </c>
      <c r="BK88" s="15">
        <f>VLOOKUP($U88,'2020_CapacityTable'!$B$49:$F$71,2)</f>
        <v>0</v>
      </c>
      <c r="BL88" s="15">
        <f>VLOOKUP($U88,'2020_CapacityTable'!$B$49:$F$71,3)</f>
        <v>7300</v>
      </c>
      <c r="BM88" s="15">
        <f>VLOOKUP($T88,'2020_CapacityTable'!$B$49:$F$71,4)</f>
        <v>14800</v>
      </c>
      <c r="BN88" s="15">
        <f>VLOOKUP($T88,'2020_CapacityTable'!$B$49:$F$71,5)</f>
        <v>15600</v>
      </c>
      <c r="BO88" s="15">
        <f t="shared" si="177"/>
        <v>0</v>
      </c>
      <c r="BP88" s="15">
        <f t="shared" si="178"/>
        <v>5110</v>
      </c>
      <c r="BQ88" s="15">
        <f t="shared" si="179"/>
        <v>10360</v>
      </c>
      <c r="BR88" s="15">
        <f t="shared" si="180"/>
        <v>10920</v>
      </c>
      <c r="BS88" s="3">
        <f t="shared" si="181"/>
        <v>10360</v>
      </c>
      <c r="BT88" s="40">
        <f>'State of the System - Sumter Co'!AD88</f>
        <v>892</v>
      </c>
      <c r="BU88" s="41">
        <f t="shared" si="182"/>
        <v>0.09</v>
      </c>
      <c r="BV88" s="2" t="str">
        <f t="shared" si="183"/>
        <v>C</v>
      </c>
      <c r="BW88" s="2">
        <f t="shared" si="184"/>
        <v>0.21</v>
      </c>
      <c r="BX88" s="15">
        <f>VLOOKUP($U88,'2020_CapacityTable'!$B$23:$F$45,2)</f>
        <v>0</v>
      </c>
      <c r="BY88" s="15">
        <f>VLOOKUP($U88,'2020_CapacityTable'!$B$23:$F$45,3)</f>
        <v>370</v>
      </c>
      <c r="BZ88" s="15">
        <f>VLOOKUP($U88,'2020_CapacityTable'!$B$23:$F$45,4)</f>
        <v>750</v>
      </c>
      <c r="CA88" s="15">
        <f>VLOOKUP($U88,'2020_CapacityTable'!$B$23:$F$45,5)</f>
        <v>800</v>
      </c>
      <c r="CB88" s="15">
        <f t="shared" si="185"/>
        <v>0</v>
      </c>
      <c r="CC88" s="15">
        <f t="shared" si="186"/>
        <v>259</v>
      </c>
      <c r="CD88" s="15">
        <f t="shared" si="187"/>
        <v>525</v>
      </c>
      <c r="CE88" s="15">
        <f t="shared" si="188"/>
        <v>560</v>
      </c>
      <c r="CF88" s="3">
        <f t="shared" si="189"/>
        <v>525</v>
      </c>
      <c r="CG88" s="2">
        <f>'State of the System - Sumter Co'!AH88</f>
        <v>47</v>
      </c>
      <c r="CH88" s="2">
        <f>'State of the System - Sumter Co'!AI88</f>
        <v>45</v>
      </c>
      <c r="CI88" s="11">
        <f t="shared" si="190"/>
        <v>0.09</v>
      </c>
      <c r="CJ88" s="2" t="str">
        <f t="shared" si="191"/>
        <v>C</v>
      </c>
      <c r="CK88" s="3">
        <f t="shared" si="192"/>
        <v>11794</v>
      </c>
      <c r="CL88" s="11">
        <f t="shared" si="193"/>
        <v>0.08</v>
      </c>
      <c r="CM88" s="11" t="str">
        <f t="shared" si="194"/>
        <v>NOT CONGESTED</v>
      </c>
      <c r="CN88" s="3">
        <f t="shared" si="195"/>
        <v>605</v>
      </c>
      <c r="CO88" s="11">
        <f t="shared" si="196"/>
        <v>0.08</v>
      </c>
      <c r="CP88" s="156" t="str">
        <f t="shared" si="197"/>
        <v>NOT CONGESTED</v>
      </c>
      <c r="CQ88" s="2"/>
      <c r="CR88" s="42"/>
      <c r="CS88" s="11" t="str">
        <f t="shared" si="198"/>
        <v/>
      </c>
      <c r="CT88" s="11" t="str">
        <f t="shared" si="199"/>
        <v/>
      </c>
      <c r="CU88" s="11" t="str">
        <f t="shared" si="200"/>
        <v/>
      </c>
      <c r="CV88" s="11" t="str">
        <f t="shared" si="201"/>
        <v/>
      </c>
      <c r="CW88" s="3"/>
      <c r="CX88" s="1"/>
      <c r="CY88" s="145" t="str">
        <f t="shared" si="202"/>
        <v/>
      </c>
      <c r="CZ88" s="32" t="str">
        <f t="shared" si="203"/>
        <v/>
      </c>
    </row>
    <row r="89" spans="1:104" s="9" customFormat="1" ht="12.75" customHeight="1">
      <c r="A89" s="1">
        <v>3540100</v>
      </c>
      <c r="B89" s="1">
        <f t="shared" si="204"/>
        <v>55</v>
      </c>
      <c r="C89" s="1">
        <v>362</v>
      </c>
      <c r="D89" s="1">
        <f>VLOOKUP(C89,'2022 counts'!$A$6:$B$304,2,FALSE)</f>
        <v>55</v>
      </c>
      <c r="E89" s="1"/>
      <c r="F89" s="3" t="s">
        <v>6</v>
      </c>
      <c r="G89" s="156">
        <v>35</v>
      </c>
      <c r="H89" s="11">
        <v>0.40649567716899998</v>
      </c>
      <c r="I89" s="10" t="s">
        <v>739</v>
      </c>
      <c r="J89" s="10" t="s">
        <v>40</v>
      </c>
      <c r="K89" s="10" t="s">
        <v>80</v>
      </c>
      <c r="L89" s="157">
        <v>2</v>
      </c>
      <c r="M89" s="1">
        <f>'State of the System - Sumter Co'!K89</f>
        <v>2</v>
      </c>
      <c r="N89" s="1" t="str">
        <f>IF('State of the System - Sumter Co'!L89="URBAN","U","R")</f>
        <v>U</v>
      </c>
      <c r="O89" s="1" t="str">
        <f>IF('State of the System - Sumter Co'!M89="UNDIVIDED","U",IF('State of the System - Sumter Co'!M89="DIVIDED","D","F"))</f>
        <v>U</v>
      </c>
      <c r="P89" s="1" t="str">
        <f>'State of the System - Sumter Co'!N89</f>
        <v>UNINTERRUPTED</v>
      </c>
      <c r="Q89" s="1" t="str">
        <f t="shared" si="156"/>
        <v/>
      </c>
      <c r="R89" s="1" t="str">
        <f>'State of the System - Sumter Co'!O89</f>
        <v/>
      </c>
      <c r="S89" s="1" t="str">
        <f t="shared" si="157"/>
        <v>-x</v>
      </c>
      <c r="T89" s="1" t="str">
        <f t="shared" si="158"/>
        <v>U-2U-x</v>
      </c>
      <c r="U89" s="1" t="str">
        <f t="shared" si="211"/>
        <v>U-2U-x</v>
      </c>
      <c r="V89" s="1" t="s">
        <v>10</v>
      </c>
      <c r="W89" s="1" t="s">
        <v>76</v>
      </c>
      <c r="X89" s="1" t="s">
        <v>21</v>
      </c>
      <c r="Y89" s="1" t="str">
        <f>'State of the System - Sumter Co'!R89</f>
        <v>D</v>
      </c>
      <c r="Z89" s="157" t="str">
        <f t="shared" si="159"/>
        <v>Other CMP Network Roadways</v>
      </c>
      <c r="AA89" s="15">
        <f>VLOOKUP($T89,'2020_CapacityTable'!$B$49:$F$71,2)</f>
        <v>11700</v>
      </c>
      <c r="AB89" s="15">
        <f>VLOOKUP($T89,'2020_CapacityTable'!$B$49:$F$71,3)</f>
        <v>18000</v>
      </c>
      <c r="AC89" s="15">
        <f>VLOOKUP($T89,'2020_CapacityTable'!$B$49:$F$71,4)</f>
        <v>24200</v>
      </c>
      <c r="AD89" s="15">
        <f>VLOOKUP($T89,'2020_CapacityTable'!$B$49:$F$71,5)</f>
        <v>32600</v>
      </c>
      <c r="AE89" s="35"/>
      <c r="AF89" s="36" t="str">
        <f t="shared" si="160"/>
        <v/>
      </c>
      <c r="AG89" s="35"/>
      <c r="AH89" s="35" t="str">
        <f t="shared" si="210"/>
        <v/>
      </c>
      <c r="AI89" s="35"/>
      <c r="AJ89" s="36"/>
      <c r="AK89" s="15">
        <f t="shared" si="161"/>
        <v>11700</v>
      </c>
      <c r="AL89" s="15">
        <f t="shared" si="162"/>
        <v>18000</v>
      </c>
      <c r="AM89" s="15">
        <f t="shared" si="163"/>
        <v>24200</v>
      </c>
      <c r="AN89" s="15">
        <f t="shared" si="164"/>
        <v>32600</v>
      </c>
      <c r="AO89" s="3">
        <f t="shared" si="205"/>
        <v>24200</v>
      </c>
      <c r="AP89" s="138">
        <f>VLOOKUP($B89,'2022 counts'!$B$6:$R$304,17,FALSE)</f>
        <v>3187</v>
      </c>
      <c r="AQ89" s="11">
        <f t="shared" si="165"/>
        <v>0.13</v>
      </c>
      <c r="AR89" s="2" t="str">
        <f t="shared" si="166"/>
        <v>B</v>
      </c>
      <c r="AS89" s="26">
        <f t="shared" si="167"/>
        <v>0.47</v>
      </c>
      <c r="AT89" s="15">
        <f>VLOOKUP($T89,'2020_CapacityTable'!$B$23:$F$45,2)</f>
        <v>580</v>
      </c>
      <c r="AU89" s="15">
        <f>VLOOKUP($T89,'2020_CapacityTable'!$B$23:$F$45,3)</f>
        <v>890</v>
      </c>
      <c r="AV89" s="15">
        <f>VLOOKUP($T89,'2020_CapacityTable'!$B$23:$F$45,4)</f>
        <v>1200</v>
      </c>
      <c r="AW89" s="15">
        <f>VLOOKUP($T89,'2020_CapacityTable'!$B$23:$F$45,5)</f>
        <v>1610</v>
      </c>
      <c r="AX89" s="15">
        <f t="shared" si="168"/>
        <v>580</v>
      </c>
      <c r="AY89" s="15">
        <f t="shared" si="169"/>
        <v>890</v>
      </c>
      <c r="AZ89" s="15">
        <f t="shared" si="170"/>
        <v>1200</v>
      </c>
      <c r="BA89" s="15">
        <f t="shared" si="171"/>
        <v>1610</v>
      </c>
      <c r="BB89" s="3">
        <f t="shared" si="172"/>
        <v>1200</v>
      </c>
      <c r="BC89" s="138">
        <f>VLOOKUP($B89,'2022 counts'!$B$6:$AD$304,28,FALSE)</f>
        <v>175</v>
      </c>
      <c r="BD89" s="138">
        <f>VLOOKUP($B89,'2022 counts'!$B$6:$AD$304,29,FALSE)</f>
        <v>162</v>
      </c>
      <c r="BE89" s="11">
        <f t="shared" si="173"/>
        <v>0.15</v>
      </c>
      <c r="BF89" s="2" t="str">
        <f t="shared" si="174"/>
        <v>B</v>
      </c>
      <c r="BG89" s="135">
        <v>4.2500000000000003E-2</v>
      </c>
      <c r="BH89" s="135">
        <f>IF($AQ89="","",VLOOKUP($B89, '2022 counts'!$B$6:$T$304,19,FALSE))</f>
        <v>4.2500000000000003E-2</v>
      </c>
      <c r="BI89" s="38">
        <f t="shared" si="175"/>
        <v>4.2500000000000003E-2</v>
      </c>
      <c r="BJ89" s="39" t="str">
        <f t="shared" si="176"/>
        <v/>
      </c>
      <c r="BK89" s="15">
        <f>VLOOKUP($U89,'2020_CapacityTable'!$B$49:$F$71,2)</f>
        <v>11700</v>
      </c>
      <c r="BL89" s="15">
        <f>VLOOKUP($U89,'2020_CapacityTable'!$B$49:$F$71,3)</f>
        <v>18000</v>
      </c>
      <c r="BM89" s="15">
        <f>VLOOKUP($T89,'2020_CapacityTable'!$B$49:$F$71,4)</f>
        <v>24200</v>
      </c>
      <c r="BN89" s="15">
        <f>VLOOKUP($T89,'2020_CapacityTable'!$B$49:$F$71,5)</f>
        <v>32600</v>
      </c>
      <c r="BO89" s="15">
        <f t="shared" si="177"/>
        <v>11700</v>
      </c>
      <c r="BP89" s="15">
        <f t="shared" si="178"/>
        <v>18000</v>
      </c>
      <c r="BQ89" s="15">
        <f t="shared" si="179"/>
        <v>24200</v>
      </c>
      <c r="BR89" s="15">
        <f t="shared" si="180"/>
        <v>32600</v>
      </c>
      <c r="BS89" s="3">
        <f t="shared" si="181"/>
        <v>24200</v>
      </c>
      <c r="BT89" s="40">
        <f>'State of the System - Sumter Co'!AD89</f>
        <v>3924</v>
      </c>
      <c r="BU89" s="41">
        <f t="shared" si="182"/>
        <v>0.16</v>
      </c>
      <c r="BV89" s="2" t="str">
        <f t="shared" si="183"/>
        <v>B</v>
      </c>
      <c r="BW89" s="2">
        <f t="shared" si="184"/>
        <v>0.57999999999999996</v>
      </c>
      <c r="BX89" s="15">
        <f>VLOOKUP($U89,'2020_CapacityTable'!$B$23:$F$45,2)</f>
        <v>580</v>
      </c>
      <c r="BY89" s="15">
        <f>VLOOKUP($U89,'2020_CapacityTable'!$B$23:$F$45,3)</f>
        <v>890</v>
      </c>
      <c r="BZ89" s="15">
        <f>VLOOKUP($U89,'2020_CapacityTable'!$B$23:$F$45,4)</f>
        <v>1200</v>
      </c>
      <c r="CA89" s="15">
        <f>VLOOKUP($U89,'2020_CapacityTable'!$B$23:$F$45,5)</f>
        <v>1610</v>
      </c>
      <c r="CB89" s="15">
        <f t="shared" si="185"/>
        <v>580</v>
      </c>
      <c r="CC89" s="15">
        <f t="shared" si="186"/>
        <v>890</v>
      </c>
      <c r="CD89" s="15">
        <f t="shared" si="187"/>
        <v>1200</v>
      </c>
      <c r="CE89" s="15">
        <f t="shared" si="188"/>
        <v>1610</v>
      </c>
      <c r="CF89" s="3">
        <f t="shared" si="189"/>
        <v>1200</v>
      </c>
      <c r="CG89" s="2">
        <f>'State of the System - Sumter Co'!AH89</f>
        <v>215</v>
      </c>
      <c r="CH89" s="2">
        <f>'State of the System - Sumter Co'!AI89</f>
        <v>199</v>
      </c>
      <c r="CI89" s="11">
        <f t="shared" si="190"/>
        <v>0.18</v>
      </c>
      <c r="CJ89" s="2" t="str">
        <f t="shared" si="191"/>
        <v>B</v>
      </c>
      <c r="CK89" s="3">
        <f t="shared" si="192"/>
        <v>35208</v>
      </c>
      <c r="CL89" s="11">
        <f t="shared" si="193"/>
        <v>0.11</v>
      </c>
      <c r="CM89" s="11" t="str">
        <f t="shared" si="194"/>
        <v>NOT CONGESTED</v>
      </c>
      <c r="CN89" s="3">
        <f t="shared" si="195"/>
        <v>1739</v>
      </c>
      <c r="CO89" s="11">
        <f t="shared" si="196"/>
        <v>0.12</v>
      </c>
      <c r="CP89" s="156" t="str">
        <f t="shared" si="197"/>
        <v>NOT CONGESTED</v>
      </c>
      <c r="CQ89" s="2"/>
      <c r="CR89" s="42"/>
      <c r="CS89" s="11" t="str">
        <f t="shared" si="198"/>
        <v/>
      </c>
      <c r="CT89" s="11" t="str">
        <f t="shared" si="199"/>
        <v/>
      </c>
      <c r="CU89" s="11" t="str">
        <f t="shared" si="200"/>
        <v/>
      </c>
      <c r="CV89" s="11" t="str">
        <f t="shared" si="201"/>
        <v/>
      </c>
      <c r="CW89" s="3" t="s">
        <v>586</v>
      </c>
      <c r="CX89" s="1"/>
      <c r="CY89" s="145" t="str">
        <f t="shared" si="202"/>
        <v/>
      </c>
      <c r="CZ89" s="32" t="str">
        <f t="shared" si="203"/>
        <v/>
      </c>
    </row>
    <row r="90" spans="1:104" s="9" customFormat="1" ht="12.75" customHeight="1">
      <c r="A90" s="1">
        <v>3540110</v>
      </c>
      <c r="B90" s="1">
        <f t="shared" si="204"/>
        <v>59</v>
      </c>
      <c r="C90" s="1">
        <v>82</v>
      </c>
      <c r="D90" s="1">
        <f>VLOOKUP(C90,'2022 counts'!$A$6:$B$304,2,FALSE)</f>
        <v>59</v>
      </c>
      <c r="E90" s="1">
        <v>188006</v>
      </c>
      <c r="F90" s="2" t="s">
        <v>136</v>
      </c>
      <c r="G90" s="156">
        <v>45</v>
      </c>
      <c r="H90" s="11">
        <v>2.7575034079799998</v>
      </c>
      <c r="I90" s="10" t="s">
        <v>740</v>
      </c>
      <c r="J90" s="10" t="s">
        <v>80</v>
      </c>
      <c r="K90" s="10" t="s">
        <v>81</v>
      </c>
      <c r="L90" s="157">
        <v>2</v>
      </c>
      <c r="M90" s="1">
        <f>'State of the System - Sumter Co'!K90</f>
        <v>2</v>
      </c>
      <c r="N90" s="1" t="str">
        <f>IF('State of the System - Sumter Co'!L90="URBAN","U","R")</f>
        <v>U</v>
      </c>
      <c r="O90" s="1" t="str">
        <f>IF('State of the System - Sumter Co'!M90="UNDIVIDED","U",IF('State of the System - Sumter Co'!M90="DIVIDED","D","F"))</f>
        <v>U</v>
      </c>
      <c r="P90" s="1" t="str">
        <f>'State of the System - Sumter Co'!N90</f>
        <v>UNINTERRUPTED</v>
      </c>
      <c r="Q90" s="1" t="str">
        <f t="shared" si="156"/>
        <v/>
      </c>
      <c r="R90" s="1" t="str">
        <f>'State of the System - Sumter Co'!O90</f>
        <v/>
      </c>
      <c r="S90" s="1" t="str">
        <f t="shared" si="157"/>
        <v>-x</v>
      </c>
      <c r="T90" s="1" t="str">
        <f t="shared" si="158"/>
        <v>U-2U-x</v>
      </c>
      <c r="U90" s="1" t="str">
        <f t="shared" si="211"/>
        <v>U-2U-x</v>
      </c>
      <c r="V90" s="1" t="s">
        <v>10</v>
      </c>
      <c r="W90" s="1" t="s">
        <v>76</v>
      </c>
      <c r="X90" s="1" t="s">
        <v>21</v>
      </c>
      <c r="Y90" s="1" t="str">
        <f>'State of the System - Sumter Co'!R90</f>
        <v>D</v>
      </c>
      <c r="Z90" s="157" t="str">
        <f t="shared" si="159"/>
        <v>Other CMP Network Roadways</v>
      </c>
      <c r="AA90" s="15">
        <f>VLOOKUP($T90,'2020_CapacityTable'!$B$49:$F$71,2)</f>
        <v>11700</v>
      </c>
      <c r="AB90" s="15">
        <f>VLOOKUP($T90,'2020_CapacityTable'!$B$49:$F$71,3)</f>
        <v>18000</v>
      </c>
      <c r="AC90" s="15">
        <f>VLOOKUP($T90,'2020_CapacityTable'!$B$49:$F$71,4)</f>
        <v>24200</v>
      </c>
      <c r="AD90" s="15">
        <f>VLOOKUP($T90,'2020_CapacityTable'!$B$49:$F$71,5)</f>
        <v>32600</v>
      </c>
      <c r="AE90" s="35"/>
      <c r="AF90" s="36" t="str">
        <f t="shared" si="160"/>
        <v/>
      </c>
      <c r="AG90" s="35" t="str">
        <f>IF(AND(L90=2,P90="interrupted",O90="U"),"LOOK","")</f>
        <v/>
      </c>
      <c r="AH90" s="35" t="str">
        <f t="shared" si="210"/>
        <v/>
      </c>
      <c r="AI90" s="35"/>
      <c r="AJ90" s="36"/>
      <c r="AK90" s="15">
        <f t="shared" si="161"/>
        <v>11700</v>
      </c>
      <c r="AL90" s="15">
        <f t="shared" si="162"/>
        <v>18000</v>
      </c>
      <c r="AM90" s="15">
        <f t="shared" si="163"/>
        <v>24200</v>
      </c>
      <c r="AN90" s="15">
        <f t="shared" si="164"/>
        <v>32600</v>
      </c>
      <c r="AO90" s="3">
        <f t="shared" si="205"/>
        <v>24200</v>
      </c>
      <c r="AP90" s="138">
        <f>VLOOKUP($B90,'2022 counts'!$B$6:$R$304,17,FALSE)</f>
        <v>2755</v>
      </c>
      <c r="AQ90" s="11">
        <f t="shared" si="165"/>
        <v>0.11</v>
      </c>
      <c r="AR90" s="2" t="str">
        <f t="shared" si="166"/>
        <v>B</v>
      </c>
      <c r="AS90" s="26">
        <f t="shared" si="167"/>
        <v>2.77</v>
      </c>
      <c r="AT90" s="15">
        <f>VLOOKUP($T90,'2020_CapacityTable'!$B$23:$F$45,2)</f>
        <v>580</v>
      </c>
      <c r="AU90" s="15">
        <f>VLOOKUP($T90,'2020_CapacityTable'!$B$23:$F$45,3)</f>
        <v>890</v>
      </c>
      <c r="AV90" s="15">
        <f>VLOOKUP($T90,'2020_CapacityTable'!$B$23:$F$45,4)</f>
        <v>1200</v>
      </c>
      <c r="AW90" s="15">
        <f>VLOOKUP($T90,'2020_CapacityTable'!$B$23:$F$45,5)</f>
        <v>1610</v>
      </c>
      <c r="AX90" s="15">
        <f t="shared" si="168"/>
        <v>580</v>
      </c>
      <c r="AY90" s="15">
        <f t="shared" si="169"/>
        <v>890</v>
      </c>
      <c r="AZ90" s="15">
        <f t="shared" si="170"/>
        <v>1200</v>
      </c>
      <c r="BA90" s="15">
        <f t="shared" si="171"/>
        <v>1610</v>
      </c>
      <c r="BB90" s="3">
        <f t="shared" si="172"/>
        <v>1200</v>
      </c>
      <c r="BC90" s="138">
        <f>VLOOKUP($B90,'2022 counts'!$B$6:$AD$304,28,FALSE)</f>
        <v>147</v>
      </c>
      <c r="BD90" s="138">
        <f>VLOOKUP($B90,'2022 counts'!$B$6:$AD$304,29,FALSE)</f>
        <v>143</v>
      </c>
      <c r="BE90" s="11">
        <f t="shared" si="173"/>
        <v>0.12</v>
      </c>
      <c r="BF90" s="2" t="str">
        <f t="shared" si="174"/>
        <v>B</v>
      </c>
      <c r="BG90" s="135">
        <v>0.18</v>
      </c>
      <c r="BH90" s="135">
        <f>IF($AQ90="","",VLOOKUP($B90, '2022 counts'!$B$6:$T$304,19,FALSE))</f>
        <v>0.16250000000000001</v>
      </c>
      <c r="BI90" s="38">
        <v>0.05</v>
      </c>
      <c r="BJ90" s="386">
        <v>-2</v>
      </c>
      <c r="BK90" s="15">
        <f>VLOOKUP($U90,'2020_CapacityTable'!$B$49:$F$71,2)</f>
        <v>11700</v>
      </c>
      <c r="BL90" s="15">
        <f>VLOOKUP($U90,'2020_CapacityTable'!$B$49:$F$71,3)</f>
        <v>18000</v>
      </c>
      <c r="BM90" s="15">
        <f>VLOOKUP($T90,'2020_CapacityTable'!$B$49:$F$71,4)</f>
        <v>24200</v>
      </c>
      <c r="BN90" s="15">
        <f>VLOOKUP($T90,'2020_CapacityTable'!$B$49:$F$71,5)</f>
        <v>32600</v>
      </c>
      <c r="BO90" s="15">
        <f t="shared" si="177"/>
        <v>11700</v>
      </c>
      <c r="BP90" s="15">
        <f t="shared" si="178"/>
        <v>18000</v>
      </c>
      <c r="BQ90" s="15">
        <f t="shared" si="179"/>
        <v>24200</v>
      </c>
      <c r="BR90" s="15">
        <f t="shared" si="180"/>
        <v>32600</v>
      </c>
      <c r="BS90" s="3">
        <f t="shared" si="181"/>
        <v>24200</v>
      </c>
      <c r="BT90" s="40">
        <f>'State of the System - Sumter Co'!AD90</f>
        <v>3516</v>
      </c>
      <c r="BU90" s="41">
        <f t="shared" si="182"/>
        <v>0.15</v>
      </c>
      <c r="BV90" s="2" t="str">
        <f t="shared" si="183"/>
        <v>B</v>
      </c>
      <c r="BW90" s="2">
        <f t="shared" si="184"/>
        <v>3.54</v>
      </c>
      <c r="BX90" s="15">
        <f>VLOOKUP($U90,'2020_CapacityTable'!$B$23:$F$45,2)</f>
        <v>580</v>
      </c>
      <c r="BY90" s="15">
        <f>VLOOKUP($U90,'2020_CapacityTable'!$B$23:$F$45,3)</f>
        <v>890</v>
      </c>
      <c r="BZ90" s="15">
        <f>VLOOKUP($U90,'2020_CapacityTable'!$B$23:$F$45,4)</f>
        <v>1200</v>
      </c>
      <c r="CA90" s="15">
        <f>VLOOKUP($U90,'2020_CapacityTable'!$B$23:$F$45,5)</f>
        <v>1610</v>
      </c>
      <c r="CB90" s="15">
        <f t="shared" si="185"/>
        <v>580</v>
      </c>
      <c r="CC90" s="15">
        <f t="shared" si="186"/>
        <v>890</v>
      </c>
      <c r="CD90" s="15">
        <f t="shared" si="187"/>
        <v>1200</v>
      </c>
      <c r="CE90" s="15">
        <f t="shared" si="188"/>
        <v>1610</v>
      </c>
      <c r="CF90" s="3">
        <f t="shared" si="189"/>
        <v>1200</v>
      </c>
      <c r="CG90" s="2">
        <f>'State of the System - Sumter Co'!AH90</f>
        <v>188</v>
      </c>
      <c r="CH90" s="2">
        <f>'State of the System - Sumter Co'!AI90</f>
        <v>183</v>
      </c>
      <c r="CI90" s="11">
        <f t="shared" si="190"/>
        <v>0.16</v>
      </c>
      <c r="CJ90" s="2" t="str">
        <f t="shared" si="191"/>
        <v>B</v>
      </c>
      <c r="CK90" s="3">
        <f t="shared" si="192"/>
        <v>35208</v>
      </c>
      <c r="CL90" s="11">
        <f t="shared" si="193"/>
        <v>0.1</v>
      </c>
      <c r="CM90" s="11" t="str">
        <f t="shared" si="194"/>
        <v>NOT CONGESTED</v>
      </c>
      <c r="CN90" s="3">
        <f t="shared" si="195"/>
        <v>1739</v>
      </c>
      <c r="CO90" s="11">
        <f t="shared" si="196"/>
        <v>0.11</v>
      </c>
      <c r="CP90" s="156" t="str">
        <f t="shared" si="197"/>
        <v>NOT CONGESTED</v>
      </c>
      <c r="CQ90" s="2"/>
      <c r="CR90" s="42"/>
      <c r="CS90" s="11" t="str">
        <f t="shared" si="198"/>
        <v/>
      </c>
      <c r="CT90" s="11" t="str">
        <f t="shared" si="199"/>
        <v/>
      </c>
      <c r="CU90" s="11" t="str">
        <f t="shared" si="200"/>
        <v/>
      </c>
      <c r="CV90" s="11" t="str">
        <f t="shared" si="201"/>
        <v/>
      </c>
      <c r="CW90" s="3" t="s">
        <v>586</v>
      </c>
      <c r="CX90" s="1"/>
      <c r="CY90" s="145" t="str">
        <f t="shared" si="202"/>
        <v/>
      </c>
      <c r="CZ90" s="32" t="str">
        <f t="shared" si="203"/>
        <v/>
      </c>
    </row>
    <row r="91" spans="1:104" s="9" customFormat="1" ht="12.75" customHeight="1">
      <c r="A91" s="1">
        <v>3541110</v>
      </c>
      <c r="B91" s="1">
        <f t="shared" si="204"/>
        <v>19</v>
      </c>
      <c r="C91" s="1">
        <v>15</v>
      </c>
      <c r="D91" s="1">
        <f>VLOOKUP(C91,'2022 counts'!$A$6:$B$304,2,FALSE)</f>
        <v>19</v>
      </c>
      <c r="E91" s="1"/>
      <c r="F91" s="2" t="s">
        <v>6</v>
      </c>
      <c r="G91" s="156">
        <v>45</v>
      </c>
      <c r="H91" s="11">
        <v>0.199788123456</v>
      </c>
      <c r="I91" s="10" t="s">
        <v>714</v>
      </c>
      <c r="J91" s="10" t="s">
        <v>40</v>
      </c>
      <c r="K91" s="10" t="s">
        <v>47</v>
      </c>
      <c r="L91" s="157">
        <v>2</v>
      </c>
      <c r="M91" s="1">
        <f>'State of the System - Sumter Co'!K91</f>
        <v>2</v>
      </c>
      <c r="N91" s="1" t="str">
        <f>IF('State of the System - Sumter Co'!L91="URBAN","U","R")</f>
        <v>U</v>
      </c>
      <c r="O91" s="1" t="str">
        <f>IF('State of the System - Sumter Co'!M91="UNDIVIDED","U",IF('State of the System - Sumter Co'!M91="DIVIDED","D","F"))</f>
        <v>U</v>
      </c>
      <c r="P91" s="1" t="str">
        <f>'State of the System - Sumter Co'!N91</f>
        <v>UNINTERRUPTED</v>
      </c>
      <c r="Q91" s="1" t="str">
        <f t="shared" si="156"/>
        <v/>
      </c>
      <c r="R91" s="1" t="str">
        <f>'State of the System - Sumter Co'!O91</f>
        <v/>
      </c>
      <c r="S91" s="1" t="str">
        <f t="shared" si="157"/>
        <v>-x</v>
      </c>
      <c r="T91" s="1" t="str">
        <f t="shared" si="158"/>
        <v>U-2U-x</v>
      </c>
      <c r="U91" s="1" t="str">
        <f t="shared" si="211"/>
        <v>U-2U-x</v>
      </c>
      <c r="V91" s="1" t="s">
        <v>10</v>
      </c>
      <c r="W91" s="1" t="s">
        <v>25</v>
      </c>
      <c r="X91" s="1" t="s">
        <v>21</v>
      </c>
      <c r="Y91" s="1" t="str">
        <f>'State of the System - Sumter Co'!R91</f>
        <v>F</v>
      </c>
      <c r="Z91" s="157" t="str">
        <f t="shared" si="159"/>
        <v>Other CMP Network Roadways</v>
      </c>
      <c r="AA91" s="15">
        <f>VLOOKUP($T91,'2020_CapacityTable'!$B$49:$F$71,2)</f>
        <v>11700</v>
      </c>
      <c r="AB91" s="15">
        <f>VLOOKUP($T91,'2020_CapacityTable'!$B$49:$F$71,3)</f>
        <v>18000</v>
      </c>
      <c r="AC91" s="15">
        <f>VLOOKUP($T91,'2020_CapacityTable'!$B$49:$F$71,4)</f>
        <v>24200</v>
      </c>
      <c r="AD91" s="15">
        <f>VLOOKUP($T91,'2020_CapacityTable'!$B$49:$F$71,5)</f>
        <v>32600</v>
      </c>
      <c r="AE91" s="35"/>
      <c r="AF91" s="36" t="str">
        <f t="shared" si="160"/>
        <v/>
      </c>
      <c r="AG91" s="35"/>
      <c r="AH91" s="35" t="str">
        <f t="shared" si="210"/>
        <v/>
      </c>
      <c r="AI91" s="35"/>
      <c r="AJ91" s="36"/>
      <c r="AK91" s="15">
        <f t="shared" si="161"/>
        <v>11700</v>
      </c>
      <c r="AL91" s="15">
        <f t="shared" si="162"/>
        <v>18000</v>
      </c>
      <c r="AM91" s="15">
        <f t="shared" si="163"/>
        <v>24200</v>
      </c>
      <c r="AN91" s="15">
        <f t="shared" si="164"/>
        <v>32600</v>
      </c>
      <c r="AO91" s="248">
        <v>1000000</v>
      </c>
      <c r="AP91" s="138">
        <f>VLOOKUP($B91,'2022 counts'!$B$6:$R$304,17,FALSE)</f>
        <v>11646</v>
      </c>
      <c r="AQ91" s="11">
        <f t="shared" si="165"/>
        <v>0.01</v>
      </c>
      <c r="AR91" s="2" t="str">
        <f t="shared" si="166"/>
        <v>B</v>
      </c>
      <c r="AS91" s="26">
        <f t="shared" si="167"/>
        <v>0.85</v>
      </c>
      <c r="AT91" s="15">
        <f>VLOOKUP($T91,'2020_CapacityTable'!$B$23:$F$45,2)</f>
        <v>580</v>
      </c>
      <c r="AU91" s="15">
        <f>VLOOKUP($T91,'2020_CapacityTable'!$B$23:$F$45,3)</f>
        <v>890</v>
      </c>
      <c r="AV91" s="15">
        <f>VLOOKUP($T91,'2020_CapacityTable'!$B$23:$F$45,4)</f>
        <v>1200</v>
      </c>
      <c r="AW91" s="15">
        <f>VLOOKUP($T91,'2020_CapacityTable'!$B$23:$F$45,5)</f>
        <v>1610</v>
      </c>
      <c r="AX91" s="15">
        <f t="shared" si="168"/>
        <v>580</v>
      </c>
      <c r="AY91" s="15">
        <f t="shared" si="169"/>
        <v>890</v>
      </c>
      <c r="AZ91" s="15">
        <f t="shared" si="170"/>
        <v>1200</v>
      </c>
      <c r="BA91" s="15">
        <f t="shared" si="171"/>
        <v>1610</v>
      </c>
      <c r="BB91" s="248">
        <v>1000000</v>
      </c>
      <c r="BC91" s="138">
        <f>VLOOKUP($B91,'2022 counts'!$B$6:$AD$304,28,FALSE)</f>
        <v>406</v>
      </c>
      <c r="BD91" s="138">
        <f>VLOOKUP($B91,'2022 counts'!$B$6:$AD$304,29,FALSE)</f>
        <v>725</v>
      </c>
      <c r="BE91" s="11">
        <f t="shared" si="173"/>
        <v>0</v>
      </c>
      <c r="BF91" s="2" t="str">
        <f t="shared" si="174"/>
        <v>C</v>
      </c>
      <c r="BG91" s="135">
        <v>0.01</v>
      </c>
      <c r="BH91" s="135">
        <f>IF($AQ91="","",VLOOKUP($B91, '2022 counts'!$B$6:$T$304,19,FALSE))</f>
        <v>0.01</v>
      </c>
      <c r="BI91" s="38">
        <f t="shared" si="175"/>
        <v>0.01</v>
      </c>
      <c r="BJ91" s="39" t="str">
        <f t="shared" si="176"/>
        <v/>
      </c>
      <c r="BK91" s="15">
        <f>VLOOKUP($U91,'2020_CapacityTable'!$B$49:$F$71,2)</f>
        <v>11700</v>
      </c>
      <c r="BL91" s="15">
        <f>VLOOKUP($U91,'2020_CapacityTable'!$B$49:$F$71,3)</f>
        <v>18000</v>
      </c>
      <c r="BM91" s="15">
        <f>VLOOKUP($T91,'2020_CapacityTable'!$B$49:$F$71,4)</f>
        <v>24200</v>
      </c>
      <c r="BN91" s="15">
        <f>VLOOKUP($T91,'2020_CapacityTable'!$B$49:$F$71,5)</f>
        <v>32600</v>
      </c>
      <c r="BO91" s="15">
        <f t="shared" si="177"/>
        <v>11700</v>
      </c>
      <c r="BP91" s="15">
        <f t="shared" si="178"/>
        <v>18000</v>
      </c>
      <c r="BQ91" s="15">
        <f t="shared" si="179"/>
        <v>24200</v>
      </c>
      <c r="BR91" s="15">
        <f t="shared" si="180"/>
        <v>32600</v>
      </c>
      <c r="BS91" s="248">
        <v>1000000</v>
      </c>
      <c r="BT91" s="40">
        <f>'State of the System - Sumter Co'!AD91</f>
        <v>12240</v>
      </c>
      <c r="BU91" s="41">
        <f t="shared" si="182"/>
        <v>0.01</v>
      </c>
      <c r="BV91" s="2" t="str">
        <f t="shared" si="183"/>
        <v>C</v>
      </c>
      <c r="BW91" s="2">
        <f t="shared" si="184"/>
        <v>0.89</v>
      </c>
      <c r="BX91" s="15">
        <f>VLOOKUP($U91,'2020_CapacityTable'!$B$23:$F$45,2)</f>
        <v>580</v>
      </c>
      <c r="BY91" s="15">
        <f>VLOOKUP($U91,'2020_CapacityTable'!$B$23:$F$45,3)</f>
        <v>890</v>
      </c>
      <c r="BZ91" s="15">
        <f>VLOOKUP($U91,'2020_CapacityTable'!$B$23:$F$45,4)</f>
        <v>1200</v>
      </c>
      <c r="CA91" s="15">
        <f>VLOOKUP($U91,'2020_CapacityTable'!$B$23:$F$45,5)</f>
        <v>1610</v>
      </c>
      <c r="CB91" s="15">
        <f t="shared" si="185"/>
        <v>580</v>
      </c>
      <c r="CC91" s="15">
        <f t="shared" si="186"/>
        <v>890</v>
      </c>
      <c r="CD91" s="15">
        <f t="shared" si="187"/>
        <v>1200</v>
      </c>
      <c r="CE91" s="15">
        <f t="shared" si="188"/>
        <v>1610</v>
      </c>
      <c r="CF91" s="248">
        <v>1000000</v>
      </c>
      <c r="CG91" s="2">
        <f>'State of the System - Sumter Co'!AH91</f>
        <v>427</v>
      </c>
      <c r="CH91" s="2">
        <f>'State of the System - Sumter Co'!AI91</f>
        <v>762</v>
      </c>
      <c r="CI91" s="11">
        <f t="shared" si="190"/>
        <v>0</v>
      </c>
      <c r="CJ91" s="2" t="str">
        <f>IF(OR(CI91="",CI91="-"),"",IF(MAX(CG91,CH91)&lt;=$AX91,"B",IF(MAX(CG91,CH91)&lt;=$AY91,"C",IF(MAX(CG91,CH91)&lt;=$AZ91,"D",IF(MAX(CG91,CH91)&lt;=$BA91,"E","F")))))</f>
        <v>C</v>
      </c>
      <c r="CK91" s="3">
        <f t="shared" si="192"/>
        <v>35208</v>
      </c>
      <c r="CL91" s="11">
        <f t="shared" si="193"/>
        <v>0.35</v>
      </c>
      <c r="CM91" s="11" t="str">
        <f t="shared" si="194"/>
        <v>NOT CONGESTED</v>
      </c>
      <c r="CN91" s="3">
        <f t="shared" si="195"/>
        <v>1739</v>
      </c>
      <c r="CO91" s="11">
        <f t="shared" si="196"/>
        <v>0.44</v>
      </c>
      <c r="CP91" s="156" t="s">
        <v>681</v>
      </c>
      <c r="CQ91" s="3"/>
      <c r="CR91" s="3"/>
      <c r="CS91" s="11" t="str">
        <f t="shared" si="198"/>
        <v/>
      </c>
      <c r="CT91" s="11">
        <v>0</v>
      </c>
      <c r="CU91" s="11" t="str">
        <f t="shared" si="200"/>
        <v/>
      </c>
      <c r="CV91" s="11" t="str">
        <f t="shared" si="201"/>
        <v/>
      </c>
      <c r="CW91" s="3" t="s">
        <v>586</v>
      </c>
      <c r="CX91" s="1"/>
      <c r="CY91" s="145" t="str">
        <f t="shared" si="202"/>
        <v/>
      </c>
      <c r="CZ91" s="32" t="str">
        <f t="shared" si="203"/>
        <v/>
      </c>
    </row>
    <row r="92" spans="1:104" s="9" customFormat="1" ht="12.75" customHeight="1">
      <c r="A92" s="1">
        <v>3542100</v>
      </c>
      <c r="B92" s="1">
        <f t="shared" si="204"/>
        <v>16</v>
      </c>
      <c r="C92" s="1">
        <v>11</v>
      </c>
      <c r="D92" s="1">
        <f>VLOOKUP(C92,'2022 counts'!$A$6:$B$304,2,FALSE)</f>
        <v>16</v>
      </c>
      <c r="E92" s="1"/>
      <c r="F92" s="2" t="s">
        <v>6</v>
      </c>
      <c r="G92" s="156">
        <v>45</v>
      </c>
      <c r="H92" s="11">
        <v>2.0069064064100002</v>
      </c>
      <c r="I92" s="10" t="s">
        <v>714</v>
      </c>
      <c r="J92" s="10" t="s">
        <v>746</v>
      </c>
      <c r="K92" s="10" t="s">
        <v>43</v>
      </c>
      <c r="L92" s="157">
        <v>2</v>
      </c>
      <c r="M92" s="1">
        <f>'State of the System - Sumter Co'!K92</f>
        <v>2</v>
      </c>
      <c r="N92" s="1" t="str">
        <f>IF('State of the System - Sumter Co'!L92="URBAN","U","R")</f>
        <v>U</v>
      </c>
      <c r="O92" s="1" t="str">
        <f>IF('State of the System - Sumter Co'!M92="UNDIVIDED","U",IF('State of the System - Sumter Co'!M92="DIVIDED","D","F"))</f>
        <v>U</v>
      </c>
      <c r="P92" s="1" t="str">
        <f>'State of the System - Sumter Co'!N92</f>
        <v>UNINTERRUPTED</v>
      </c>
      <c r="Q92" s="1" t="str">
        <f t="shared" si="156"/>
        <v/>
      </c>
      <c r="R92" s="1" t="str">
        <f>'State of the System - Sumter Co'!O92</f>
        <v/>
      </c>
      <c r="S92" s="1" t="str">
        <f t="shared" si="157"/>
        <v>-x</v>
      </c>
      <c r="T92" s="1" t="str">
        <f t="shared" si="158"/>
        <v>U-2U-x</v>
      </c>
      <c r="U92" s="1" t="str">
        <f t="shared" si="211"/>
        <v>U-2U-x</v>
      </c>
      <c r="V92" s="1" t="s">
        <v>10</v>
      </c>
      <c r="W92" s="1" t="s">
        <v>11</v>
      </c>
      <c r="X92" s="1" t="s">
        <v>21</v>
      </c>
      <c r="Y92" s="1" t="str">
        <f>'State of the System - Sumter Co'!R92</f>
        <v>D</v>
      </c>
      <c r="Z92" s="157" t="str">
        <f t="shared" si="159"/>
        <v>Other CMP Network Roadways</v>
      </c>
      <c r="AA92" s="15">
        <f>VLOOKUP($T92,'2020_CapacityTable'!$B$49:$F$71,2)</f>
        <v>11700</v>
      </c>
      <c r="AB92" s="15">
        <f>VLOOKUP($T92,'2020_CapacityTable'!$B$49:$F$71,3)</f>
        <v>18000</v>
      </c>
      <c r="AC92" s="15">
        <f>VLOOKUP($T92,'2020_CapacityTable'!$B$49:$F$71,4)</f>
        <v>24200</v>
      </c>
      <c r="AD92" s="15">
        <f>VLOOKUP($T92,'2020_CapacityTable'!$B$49:$F$71,5)</f>
        <v>32600</v>
      </c>
      <c r="AE92" s="35"/>
      <c r="AF92" s="36" t="str">
        <f t="shared" si="160"/>
        <v/>
      </c>
      <c r="AG92" s="35"/>
      <c r="AH92" s="35" t="str">
        <f t="shared" si="210"/>
        <v/>
      </c>
      <c r="AI92" s="35"/>
      <c r="AJ92" s="36"/>
      <c r="AK92" s="15">
        <f t="shared" si="161"/>
        <v>11700</v>
      </c>
      <c r="AL92" s="15">
        <f t="shared" si="162"/>
        <v>18000</v>
      </c>
      <c r="AM92" s="15">
        <f t="shared" si="163"/>
        <v>24200</v>
      </c>
      <c r="AN92" s="15">
        <f t="shared" si="164"/>
        <v>32600</v>
      </c>
      <c r="AO92" s="3">
        <f t="shared" ref="AO92:AO123" si="212">IF(Y92="","",IF(Y92="B",AK92,IF(Y92="C",AL92,IF(Y92="D",AM92,AN92))))</f>
        <v>24200</v>
      </c>
      <c r="AP92" s="138">
        <f>VLOOKUP($B92,'2022 counts'!$B$6:$R$304,17,FALSE)</f>
        <v>844</v>
      </c>
      <c r="AQ92" s="11">
        <f t="shared" si="165"/>
        <v>0.03</v>
      </c>
      <c r="AR92" s="2" t="str">
        <f t="shared" si="166"/>
        <v>B</v>
      </c>
      <c r="AS92" s="26">
        <f t="shared" si="167"/>
        <v>0.62</v>
      </c>
      <c r="AT92" s="15">
        <f>VLOOKUP($T92,'2020_CapacityTable'!$B$23:$F$45,2)</f>
        <v>580</v>
      </c>
      <c r="AU92" s="15">
        <f>VLOOKUP($T92,'2020_CapacityTable'!$B$23:$F$45,3)</f>
        <v>890</v>
      </c>
      <c r="AV92" s="15">
        <f>VLOOKUP($T92,'2020_CapacityTable'!$B$23:$F$45,4)</f>
        <v>1200</v>
      </c>
      <c r="AW92" s="15">
        <f>VLOOKUP($T92,'2020_CapacityTable'!$B$23:$F$45,5)</f>
        <v>1610</v>
      </c>
      <c r="AX92" s="15">
        <f t="shared" si="168"/>
        <v>580</v>
      </c>
      <c r="AY92" s="15">
        <f t="shared" si="169"/>
        <v>890</v>
      </c>
      <c r="AZ92" s="15">
        <f t="shared" si="170"/>
        <v>1200</v>
      </c>
      <c r="BA92" s="15">
        <f t="shared" si="171"/>
        <v>1610</v>
      </c>
      <c r="BB92" s="3">
        <f t="shared" ref="BB92:BB123" si="213">IF(Y92="","",IF(Y92="B",AX92,IF(Y92="C",AY92,IF(Y92="D",AZ92,BA92))))</f>
        <v>1200</v>
      </c>
      <c r="BC92" s="138">
        <f>VLOOKUP($B92,'2022 counts'!$B$6:$AD$304,28,FALSE)</f>
        <v>19</v>
      </c>
      <c r="BD92" s="138">
        <f>VLOOKUP($B92,'2022 counts'!$B$6:$AD$304,29,FALSE)</f>
        <v>72</v>
      </c>
      <c r="BE92" s="11">
        <f t="shared" si="173"/>
        <v>0.06</v>
      </c>
      <c r="BF92" s="2" t="str">
        <f t="shared" si="174"/>
        <v>B</v>
      </c>
      <c r="BG92" s="135">
        <v>0</v>
      </c>
      <c r="BH92" s="135">
        <f>IF($AQ92="","",VLOOKUP($B92, '2022 counts'!$B$6:$T$304,19,FALSE))</f>
        <v>0</v>
      </c>
      <c r="BI92" s="38">
        <f t="shared" si="175"/>
        <v>0.01</v>
      </c>
      <c r="BJ92" s="39" t="str">
        <f t="shared" si="176"/>
        <v>minimum</v>
      </c>
      <c r="BK92" s="15">
        <f>VLOOKUP($U92,'2020_CapacityTable'!$B$49:$F$71,2)</f>
        <v>11700</v>
      </c>
      <c r="BL92" s="15">
        <f>VLOOKUP($U92,'2020_CapacityTable'!$B$49:$F$71,3)</f>
        <v>18000</v>
      </c>
      <c r="BM92" s="15">
        <f>VLOOKUP($T92,'2020_CapacityTable'!$B$49:$F$71,4)</f>
        <v>24200</v>
      </c>
      <c r="BN92" s="15">
        <f>VLOOKUP($T92,'2020_CapacityTable'!$B$49:$F$71,5)</f>
        <v>32600</v>
      </c>
      <c r="BO92" s="15">
        <f t="shared" si="177"/>
        <v>11700</v>
      </c>
      <c r="BP92" s="15">
        <f t="shared" si="178"/>
        <v>18000</v>
      </c>
      <c r="BQ92" s="15">
        <f t="shared" si="179"/>
        <v>24200</v>
      </c>
      <c r="BR92" s="15">
        <f t="shared" si="180"/>
        <v>32600</v>
      </c>
      <c r="BS92" s="3">
        <f t="shared" ref="BS92:BS123" si="214">IF($Y92="","",IF($Y92="B",BO92,IF($Y92="C",BP92,IF($Y92="D",BQ92,BR92))))</f>
        <v>24200</v>
      </c>
      <c r="BT92" s="40">
        <f>'State of the System - Sumter Co'!AD92</f>
        <v>887</v>
      </c>
      <c r="BU92" s="41">
        <f t="shared" si="182"/>
        <v>0.04</v>
      </c>
      <c r="BV92" s="2" t="str">
        <f t="shared" si="183"/>
        <v>B</v>
      </c>
      <c r="BW92" s="2">
        <f t="shared" si="184"/>
        <v>0.65</v>
      </c>
      <c r="BX92" s="15">
        <f>VLOOKUP($U92,'2020_CapacityTable'!$B$23:$F$45,2)</f>
        <v>580</v>
      </c>
      <c r="BY92" s="15">
        <f>VLOOKUP($U92,'2020_CapacityTable'!$B$23:$F$45,3)</f>
        <v>890</v>
      </c>
      <c r="BZ92" s="15">
        <f>VLOOKUP($U92,'2020_CapacityTable'!$B$23:$F$45,4)</f>
        <v>1200</v>
      </c>
      <c r="CA92" s="15">
        <f>VLOOKUP($U92,'2020_CapacityTable'!$B$23:$F$45,5)</f>
        <v>1610</v>
      </c>
      <c r="CB92" s="15">
        <f t="shared" si="185"/>
        <v>580</v>
      </c>
      <c r="CC92" s="15">
        <f t="shared" si="186"/>
        <v>890</v>
      </c>
      <c r="CD92" s="15">
        <f t="shared" si="187"/>
        <v>1200</v>
      </c>
      <c r="CE92" s="15">
        <f t="shared" si="188"/>
        <v>1610</v>
      </c>
      <c r="CF92" s="3">
        <f t="shared" ref="CF92:CF123" si="215">IF($Y92="","",IF($Y92="B",CB92,IF($Y92="C",CC92,IF($Y92="D",CD92,CE92))))</f>
        <v>1200</v>
      </c>
      <c r="CG92" s="2">
        <f>'State of the System - Sumter Co'!AH92</f>
        <v>20</v>
      </c>
      <c r="CH92" s="2">
        <f>'State of the System - Sumter Co'!AI92</f>
        <v>76</v>
      </c>
      <c r="CI92" s="11">
        <f t="shared" si="190"/>
        <v>0.06</v>
      </c>
      <c r="CJ92" s="2" t="str">
        <f t="shared" ref="CJ92:CJ123" si="216">IF(OR(CI92="",CI92="-",CI92=0),"",IF(MAX(CG92,CH92)&lt;=$AX92,"B",IF(MAX(CG92,CH92)&lt;=$AY92,"C",IF(MAX(CG92,CH92)&lt;=$AZ92,"D",IF(MAX(CG92,CH92)&lt;=$BA92,"E","F")))))</f>
        <v>B</v>
      </c>
      <c r="CK92" s="3">
        <f t="shared" si="192"/>
        <v>35208</v>
      </c>
      <c r="CL92" s="11">
        <f t="shared" si="193"/>
        <v>0.03</v>
      </c>
      <c r="CM92" s="11" t="str">
        <f t="shared" si="194"/>
        <v>NOT CONGESTED</v>
      </c>
      <c r="CN92" s="3">
        <f t="shared" si="195"/>
        <v>1739</v>
      </c>
      <c r="CO92" s="11">
        <f t="shared" si="196"/>
        <v>0.04</v>
      </c>
      <c r="CP92" s="156" t="str">
        <f t="shared" ref="CP92:CP123" si="217">IF(OR(CO92="",CO92=0),"",IF(OR(BC92&gt;CN92,BD92&gt;CN92),"EXTREMELY (2020)",IF(CO92&gt;1,"EXTREMELY (2025)",IF(BE92&gt;1,"CONGESTED (2020)",IF(CI92&gt;1,"CONGESTED (2025)",IF(OR(BE92&gt;=0.9,CI92&gt;=0.9),"APPROACHING CONGESTION","NOT CONGESTED"))))))</f>
        <v>NOT CONGESTED</v>
      </c>
      <c r="CQ92" s="2"/>
      <c r="CR92" s="42"/>
      <c r="CS92" s="11" t="str">
        <f t="shared" si="198"/>
        <v/>
      </c>
      <c r="CT92" s="11" t="str">
        <f t="shared" ref="CT92:CT123" si="218">IF(OR(BT92="",BV92="",BU92&lt;1),"",ROUND(H92,2))</f>
        <v/>
      </c>
      <c r="CU92" s="11" t="str">
        <f t="shared" si="200"/>
        <v/>
      </c>
      <c r="CV92" s="11" t="str">
        <f t="shared" si="201"/>
        <v/>
      </c>
      <c r="CW92" s="3"/>
      <c r="CX92" s="1"/>
      <c r="CY92" s="145" t="str">
        <f t="shared" si="202"/>
        <v/>
      </c>
      <c r="CZ92" s="32" t="str">
        <f t="shared" si="203"/>
        <v/>
      </c>
    </row>
    <row r="93" spans="1:104" s="9" customFormat="1" ht="12.75" customHeight="1">
      <c r="A93" s="1">
        <v>3542120</v>
      </c>
      <c r="B93" s="1">
        <f t="shared" si="204"/>
        <v>21</v>
      </c>
      <c r="C93" s="1">
        <v>356</v>
      </c>
      <c r="D93" s="1">
        <f>VLOOKUP(C93,'2022 counts'!$A$6:$B$304,2,FALSE)</f>
        <v>21</v>
      </c>
      <c r="E93" s="1"/>
      <c r="F93" s="2" t="s">
        <v>6</v>
      </c>
      <c r="G93" s="156">
        <v>45</v>
      </c>
      <c r="H93" s="11">
        <v>1.0492357078000001</v>
      </c>
      <c r="I93" s="10" t="s">
        <v>714</v>
      </c>
      <c r="J93" s="10" t="s">
        <v>43</v>
      </c>
      <c r="K93" s="10" t="s">
        <v>45</v>
      </c>
      <c r="L93" s="157">
        <v>2</v>
      </c>
      <c r="M93" s="1">
        <f>'State of the System - Sumter Co'!K93</f>
        <v>2</v>
      </c>
      <c r="N93" s="1" t="str">
        <f>IF('State of the System - Sumter Co'!L93="URBAN","U","R")</f>
        <v>U</v>
      </c>
      <c r="O93" s="1" t="str">
        <f>IF('State of the System - Sumter Co'!M93="UNDIVIDED","U",IF('State of the System - Sumter Co'!M93="DIVIDED","D","F"))</f>
        <v>U</v>
      </c>
      <c r="P93" s="1" t="str">
        <f>'State of the System - Sumter Co'!N93</f>
        <v>UNINTERRUPTED</v>
      </c>
      <c r="Q93" s="1" t="str">
        <f t="shared" si="156"/>
        <v/>
      </c>
      <c r="R93" s="1" t="str">
        <f>'State of the System - Sumter Co'!O93</f>
        <v/>
      </c>
      <c r="S93" s="1" t="str">
        <f t="shared" si="157"/>
        <v>-x</v>
      </c>
      <c r="T93" s="1" t="str">
        <f t="shared" si="158"/>
        <v>U-2U-x</v>
      </c>
      <c r="U93" s="1" t="str">
        <f t="shared" si="211"/>
        <v>U-2U-x</v>
      </c>
      <c r="V93" s="1" t="s">
        <v>10</v>
      </c>
      <c r="W93" s="1" t="s">
        <v>11</v>
      </c>
      <c r="X93" s="1" t="s">
        <v>21</v>
      </c>
      <c r="Y93" s="1" t="str">
        <f>'State of the System - Sumter Co'!R93</f>
        <v>D</v>
      </c>
      <c r="Z93" s="157" t="str">
        <f t="shared" si="159"/>
        <v>Other CMP Network Roadways</v>
      </c>
      <c r="AA93" s="15">
        <f>VLOOKUP($T93,'2020_CapacityTable'!$B$49:$F$71,2)</f>
        <v>11700</v>
      </c>
      <c r="AB93" s="15">
        <f>VLOOKUP($T93,'2020_CapacityTable'!$B$49:$F$71,3)</f>
        <v>18000</v>
      </c>
      <c r="AC93" s="15">
        <f>VLOOKUP($T93,'2020_CapacityTable'!$B$49:$F$71,4)</f>
        <v>24200</v>
      </c>
      <c r="AD93" s="15">
        <f>VLOOKUP($T93,'2020_CapacityTable'!$B$49:$F$71,5)</f>
        <v>32600</v>
      </c>
      <c r="AE93" s="35"/>
      <c r="AF93" s="36" t="str">
        <f t="shared" si="160"/>
        <v/>
      </c>
      <c r="AG93" s="35" t="str">
        <f>IF(L93=2,IF(P93="interrupted","LOOK",""),"")</f>
        <v/>
      </c>
      <c r="AH93" s="35" t="str">
        <f t="shared" si="210"/>
        <v/>
      </c>
      <c r="AI93" s="35"/>
      <c r="AJ93" s="36"/>
      <c r="AK93" s="15">
        <f t="shared" si="161"/>
        <v>11700</v>
      </c>
      <c r="AL93" s="15">
        <f t="shared" si="162"/>
        <v>18000</v>
      </c>
      <c r="AM93" s="15">
        <f t="shared" si="163"/>
        <v>24200</v>
      </c>
      <c r="AN93" s="15">
        <f t="shared" si="164"/>
        <v>32600</v>
      </c>
      <c r="AO93" s="3">
        <f t="shared" si="212"/>
        <v>24200</v>
      </c>
      <c r="AP93" s="138">
        <f>VLOOKUP($B93,'2022 counts'!$B$6:$R$304,17,FALSE)</f>
        <v>1651</v>
      </c>
      <c r="AQ93" s="11">
        <f t="shared" si="165"/>
        <v>7.0000000000000007E-2</v>
      </c>
      <c r="AR93" s="2" t="str">
        <f t="shared" si="166"/>
        <v>B</v>
      </c>
      <c r="AS93" s="26">
        <f t="shared" si="167"/>
        <v>0.63</v>
      </c>
      <c r="AT93" s="15">
        <f>VLOOKUP($T93,'2020_CapacityTable'!$B$23:$F$45,2)</f>
        <v>580</v>
      </c>
      <c r="AU93" s="15">
        <f>VLOOKUP($T93,'2020_CapacityTable'!$B$23:$F$45,3)</f>
        <v>890</v>
      </c>
      <c r="AV93" s="15">
        <f>VLOOKUP($T93,'2020_CapacityTable'!$B$23:$F$45,4)</f>
        <v>1200</v>
      </c>
      <c r="AW93" s="15">
        <f>VLOOKUP($T93,'2020_CapacityTable'!$B$23:$F$45,5)</f>
        <v>1610</v>
      </c>
      <c r="AX93" s="15">
        <f t="shared" si="168"/>
        <v>580</v>
      </c>
      <c r="AY93" s="15">
        <f t="shared" si="169"/>
        <v>890</v>
      </c>
      <c r="AZ93" s="15">
        <f t="shared" si="170"/>
        <v>1200</v>
      </c>
      <c r="BA93" s="15">
        <f t="shared" si="171"/>
        <v>1610</v>
      </c>
      <c r="BB93" s="3">
        <f t="shared" si="213"/>
        <v>1200</v>
      </c>
      <c r="BC93" s="138">
        <f>VLOOKUP($B93,'2022 counts'!$B$6:$AD$304,28,FALSE)</f>
        <v>66</v>
      </c>
      <c r="BD93" s="138">
        <f>VLOOKUP($B93,'2022 counts'!$B$6:$AD$304,29,FALSE)</f>
        <v>104</v>
      </c>
      <c r="BE93" s="11">
        <f t="shared" si="173"/>
        <v>0.09</v>
      </c>
      <c r="BF93" s="2" t="str">
        <f t="shared" si="174"/>
        <v>B</v>
      </c>
      <c r="BG93" s="135">
        <v>2.5000000000000001E-3</v>
      </c>
      <c r="BH93" s="135">
        <f>IF($AQ93="","",VLOOKUP($B93, '2022 counts'!$B$6:$T$304,19,FALSE))</f>
        <v>2.5000000000000001E-3</v>
      </c>
      <c r="BI93" s="38">
        <f t="shared" si="175"/>
        <v>0.01</v>
      </c>
      <c r="BJ93" s="39" t="str">
        <f t="shared" si="176"/>
        <v>minimum</v>
      </c>
      <c r="BK93" s="15">
        <f>VLOOKUP($U93,'2020_CapacityTable'!$B$49:$F$71,2)</f>
        <v>11700</v>
      </c>
      <c r="BL93" s="15">
        <f>VLOOKUP($U93,'2020_CapacityTable'!$B$49:$F$71,3)</f>
        <v>18000</v>
      </c>
      <c r="BM93" s="15">
        <f>VLOOKUP($T93,'2020_CapacityTable'!$B$49:$F$71,4)</f>
        <v>24200</v>
      </c>
      <c r="BN93" s="15">
        <f>VLOOKUP($T93,'2020_CapacityTable'!$B$49:$F$71,5)</f>
        <v>32600</v>
      </c>
      <c r="BO93" s="15">
        <f t="shared" si="177"/>
        <v>11700</v>
      </c>
      <c r="BP93" s="15">
        <f t="shared" si="178"/>
        <v>18000</v>
      </c>
      <c r="BQ93" s="15">
        <f t="shared" si="179"/>
        <v>24200</v>
      </c>
      <c r="BR93" s="15">
        <f t="shared" si="180"/>
        <v>32600</v>
      </c>
      <c r="BS93" s="3">
        <f t="shared" si="214"/>
        <v>24200</v>
      </c>
      <c r="BT93" s="40">
        <f>'State of the System - Sumter Co'!AD93</f>
        <v>1735</v>
      </c>
      <c r="BU93" s="41">
        <f t="shared" si="182"/>
        <v>7.0000000000000007E-2</v>
      </c>
      <c r="BV93" s="2" t="str">
        <f t="shared" si="183"/>
        <v>B</v>
      </c>
      <c r="BW93" s="2">
        <f t="shared" si="184"/>
        <v>0.66</v>
      </c>
      <c r="BX93" s="15">
        <f>VLOOKUP($U93,'2020_CapacityTable'!$B$23:$F$45,2)</f>
        <v>580</v>
      </c>
      <c r="BY93" s="15">
        <f>VLOOKUP($U93,'2020_CapacityTable'!$B$23:$F$45,3)</f>
        <v>890</v>
      </c>
      <c r="BZ93" s="15">
        <f>VLOOKUP($U93,'2020_CapacityTable'!$B$23:$F$45,4)</f>
        <v>1200</v>
      </c>
      <c r="CA93" s="15">
        <f>VLOOKUP($U93,'2020_CapacityTable'!$B$23:$F$45,5)</f>
        <v>1610</v>
      </c>
      <c r="CB93" s="15">
        <f t="shared" si="185"/>
        <v>580</v>
      </c>
      <c r="CC93" s="15">
        <f t="shared" si="186"/>
        <v>890</v>
      </c>
      <c r="CD93" s="15">
        <f t="shared" si="187"/>
        <v>1200</v>
      </c>
      <c r="CE93" s="15">
        <f t="shared" si="188"/>
        <v>1610</v>
      </c>
      <c r="CF93" s="3">
        <f t="shared" si="215"/>
        <v>1200</v>
      </c>
      <c r="CG93" s="2">
        <f>'State of the System - Sumter Co'!AH93</f>
        <v>69</v>
      </c>
      <c r="CH93" s="2">
        <f>'State of the System - Sumter Co'!AI93</f>
        <v>109</v>
      </c>
      <c r="CI93" s="11">
        <f t="shared" si="190"/>
        <v>0.09</v>
      </c>
      <c r="CJ93" s="2" t="str">
        <f t="shared" si="216"/>
        <v>B</v>
      </c>
      <c r="CK93" s="3">
        <f t="shared" si="192"/>
        <v>35208</v>
      </c>
      <c r="CL93" s="11">
        <f t="shared" si="193"/>
        <v>0.05</v>
      </c>
      <c r="CM93" s="11" t="str">
        <f t="shared" si="194"/>
        <v>NOT CONGESTED</v>
      </c>
      <c r="CN93" s="3">
        <f t="shared" si="195"/>
        <v>1739</v>
      </c>
      <c r="CO93" s="11">
        <f t="shared" si="196"/>
        <v>0.06</v>
      </c>
      <c r="CP93" s="156" t="str">
        <f t="shared" si="217"/>
        <v>NOT CONGESTED</v>
      </c>
      <c r="CQ93" s="2"/>
      <c r="CR93" s="42"/>
      <c r="CS93" s="11" t="str">
        <f t="shared" si="198"/>
        <v/>
      </c>
      <c r="CT93" s="11" t="str">
        <f t="shared" si="218"/>
        <v/>
      </c>
      <c r="CU93" s="11" t="str">
        <f t="shared" si="200"/>
        <v/>
      </c>
      <c r="CV93" s="11" t="str">
        <f t="shared" si="201"/>
        <v/>
      </c>
      <c r="CW93" s="3"/>
      <c r="CX93" s="1"/>
      <c r="CY93" s="145" t="str">
        <f t="shared" si="202"/>
        <v/>
      </c>
      <c r="CZ93" s="32" t="str">
        <f t="shared" si="203"/>
        <v/>
      </c>
    </row>
    <row r="94" spans="1:104" s="9" customFormat="1" ht="12.75" customHeight="1">
      <c r="A94" s="1">
        <v>3542130</v>
      </c>
      <c r="B94" s="1">
        <f t="shared" si="204"/>
        <v>17</v>
      </c>
      <c r="C94" s="1">
        <v>13</v>
      </c>
      <c r="D94" s="1">
        <f>VLOOKUP(C94,'2022 counts'!$A$6:$B$304,2,FALSE)</f>
        <v>17</v>
      </c>
      <c r="E94" s="1"/>
      <c r="F94" s="2" t="s">
        <v>6</v>
      </c>
      <c r="G94" s="156">
        <v>45</v>
      </c>
      <c r="H94" s="11">
        <v>1.3376205243399999</v>
      </c>
      <c r="I94" s="10" t="s">
        <v>714</v>
      </c>
      <c r="J94" s="10" t="s">
        <v>45</v>
      </c>
      <c r="K94" s="10" t="s">
        <v>46</v>
      </c>
      <c r="L94" s="157">
        <v>2</v>
      </c>
      <c r="M94" s="1">
        <f>'State of the System - Sumter Co'!K94</f>
        <v>2</v>
      </c>
      <c r="N94" s="1" t="str">
        <f>IF('State of the System - Sumter Co'!L94="URBAN","U","R")</f>
        <v>U</v>
      </c>
      <c r="O94" s="1" t="str">
        <f>IF('State of the System - Sumter Co'!M94="UNDIVIDED","U",IF('State of the System - Sumter Co'!M94="DIVIDED","D","F"))</f>
        <v>U</v>
      </c>
      <c r="P94" s="1" t="str">
        <f>'State of the System - Sumter Co'!N94</f>
        <v>UNINTERRUPTED</v>
      </c>
      <c r="Q94" s="1" t="str">
        <f t="shared" si="156"/>
        <v/>
      </c>
      <c r="R94" s="1" t="str">
        <f>'State of the System - Sumter Co'!O94</f>
        <v/>
      </c>
      <c r="S94" s="1" t="str">
        <f t="shared" si="157"/>
        <v>-x</v>
      </c>
      <c r="T94" s="1" t="str">
        <f t="shared" si="158"/>
        <v>U-2U-x</v>
      </c>
      <c r="U94" s="1" t="str">
        <f t="shared" si="211"/>
        <v>U-2U-x</v>
      </c>
      <c r="V94" s="1" t="s">
        <v>10</v>
      </c>
      <c r="W94" s="1" t="s">
        <v>11</v>
      </c>
      <c r="X94" s="1" t="s">
        <v>21</v>
      </c>
      <c r="Y94" s="1" t="str">
        <f>'State of the System - Sumter Co'!R94</f>
        <v>D</v>
      </c>
      <c r="Z94" s="157" t="str">
        <f t="shared" si="159"/>
        <v>Other CMP Network Roadways</v>
      </c>
      <c r="AA94" s="15">
        <f>VLOOKUP($T94,'2020_CapacityTable'!$B$49:$F$71,2)</f>
        <v>11700</v>
      </c>
      <c r="AB94" s="15">
        <f>VLOOKUP($T94,'2020_CapacityTable'!$B$49:$F$71,3)</f>
        <v>18000</v>
      </c>
      <c r="AC94" s="15">
        <f>VLOOKUP($T94,'2020_CapacityTable'!$B$49:$F$71,4)</f>
        <v>24200</v>
      </c>
      <c r="AD94" s="15">
        <f>VLOOKUP($T94,'2020_CapacityTable'!$B$49:$F$71,5)</f>
        <v>32600</v>
      </c>
      <c r="AE94" s="35"/>
      <c r="AF94" s="36" t="str">
        <f t="shared" si="160"/>
        <v/>
      </c>
      <c r="AG94" s="35"/>
      <c r="AH94" s="35" t="str">
        <f t="shared" si="210"/>
        <v/>
      </c>
      <c r="AI94" s="35"/>
      <c r="AJ94" s="36"/>
      <c r="AK94" s="15">
        <f t="shared" si="161"/>
        <v>11700</v>
      </c>
      <c r="AL94" s="15">
        <f t="shared" si="162"/>
        <v>18000</v>
      </c>
      <c r="AM94" s="15">
        <f t="shared" si="163"/>
        <v>24200</v>
      </c>
      <c r="AN94" s="15">
        <f t="shared" si="164"/>
        <v>32600</v>
      </c>
      <c r="AO94" s="3">
        <f t="shared" si="212"/>
        <v>24200</v>
      </c>
      <c r="AP94" s="138">
        <f>VLOOKUP($B94,'2022 counts'!$B$6:$R$304,17,FALSE)</f>
        <v>2842</v>
      </c>
      <c r="AQ94" s="11">
        <f t="shared" si="165"/>
        <v>0.12</v>
      </c>
      <c r="AR94" s="2" t="str">
        <f t="shared" si="166"/>
        <v>B</v>
      </c>
      <c r="AS94" s="26">
        <f t="shared" si="167"/>
        <v>1.39</v>
      </c>
      <c r="AT94" s="15">
        <f>VLOOKUP($T94,'2020_CapacityTable'!$B$23:$F$45,2)</f>
        <v>580</v>
      </c>
      <c r="AU94" s="15">
        <f>VLOOKUP($T94,'2020_CapacityTable'!$B$23:$F$45,3)</f>
        <v>890</v>
      </c>
      <c r="AV94" s="15">
        <f>VLOOKUP($T94,'2020_CapacityTable'!$B$23:$F$45,4)</f>
        <v>1200</v>
      </c>
      <c r="AW94" s="15">
        <f>VLOOKUP($T94,'2020_CapacityTable'!$B$23:$F$45,5)</f>
        <v>1610</v>
      </c>
      <c r="AX94" s="15">
        <f t="shared" si="168"/>
        <v>580</v>
      </c>
      <c r="AY94" s="15">
        <f t="shared" si="169"/>
        <v>890</v>
      </c>
      <c r="AZ94" s="15">
        <f t="shared" si="170"/>
        <v>1200</v>
      </c>
      <c r="BA94" s="15">
        <f t="shared" si="171"/>
        <v>1610</v>
      </c>
      <c r="BB94" s="3">
        <f t="shared" si="213"/>
        <v>1200</v>
      </c>
      <c r="BC94" s="138">
        <f>VLOOKUP($B94,'2022 counts'!$B$6:$AD$304,28,FALSE)</f>
        <v>111</v>
      </c>
      <c r="BD94" s="138">
        <f>VLOOKUP($B94,'2022 counts'!$B$6:$AD$304,29,FALSE)</f>
        <v>250</v>
      </c>
      <c r="BE94" s="11">
        <f t="shared" si="173"/>
        <v>0.21</v>
      </c>
      <c r="BF94" s="2" t="str">
        <f t="shared" si="174"/>
        <v>B</v>
      </c>
      <c r="BG94" s="135">
        <v>0.03</v>
      </c>
      <c r="BH94" s="135">
        <f>IF($AQ94="","",VLOOKUP($B94, '2022 counts'!$B$6:$T$304,19,FALSE))</f>
        <v>0.03</v>
      </c>
      <c r="BI94" s="38">
        <f t="shared" si="175"/>
        <v>0.03</v>
      </c>
      <c r="BJ94" s="39" t="str">
        <f t="shared" si="176"/>
        <v/>
      </c>
      <c r="BK94" s="15">
        <f>VLOOKUP($U94,'2020_CapacityTable'!$B$49:$F$71,2)</f>
        <v>11700</v>
      </c>
      <c r="BL94" s="15">
        <f>VLOOKUP($U94,'2020_CapacityTable'!$B$49:$F$71,3)</f>
        <v>18000</v>
      </c>
      <c r="BM94" s="15">
        <f>VLOOKUP($T94,'2020_CapacityTable'!$B$49:$F$71,4)</f>
        <v>24200</v>
      </c>
      <c r="BN94" s="15">
        <f>VLOOKUP($T94,'2020_CapacityTable'!$B$49:$F$71,5)</f>
        <v>32600</v>
      </c>
      <c r="BO94" s="15">
        <f t="shared" si="177"/>
        <v>11700</v>
      </c>
      <c r="BP94" s="15">
        <f t="shared" si="178"/>
        <v>18000</v>
      </c>
      <c r="BQ94" s="15">
        <f t="shared" si="179"/>
        <v>24200</v>
      </c>
      <c r="BR94" s="15">
        <f t="shared" si="180"/>
        <v>32600</v>
      </c>
      <c r="BS94" s="3">
        <f t="shared" si="214"/>
        <v>24200</v>
      </c>
      <c r="BT94" s="40">
        <f>'State of the System - Sumter Co'!AD94</f>
        <v>3295</v>
      </c>
      <c r="BU94" s="41">
        <f t="shared" si="182"/>
        <v>0.14000000000000001</v>
      </c>
      <c r="BV94" s="2" t="str">
        <f t="shared" si="183"/>
        <v>B</v>
      </c>
      <c r="BW94" s="2">
        <f t="shared" si="184"/>
        <v>1.61</v>
      </c>
      <c r="BX94" s="15">
        <f>VLOOKUP($U94,'2020_CapacityTable'!$B$23:$F$45,2)</f>
        <v>580</v>
      </c>
      <c r="BY94" s="15">
        <f>VLOOKUP($U94,'2020_CapacityTable'!$B$23:$F$45,3)</f>
        <v>890</v>
      </c>
      <c r="BZ94" s="15">
        <f>VLOOKUP($U94,'2020_CapacityTable'!$B$23:$F$45,4)</f>
        <v>1200</v>
      </c>
      <c r="CA94" s="15">
        <f>VLOOKUP($U94,'2020_CapacityTable'!$B$23:$F$45,5)</f>
        <v>1610</v>
      </c>
      <c r="CB94" s="15">
        <f t="shared" si="185"/>
        <v>580</v>
      </c>
      <c r="CC94" s="15">
        <f t="shared" si="186"/>
        <v>890</v>
      </c>
      <c r="CD94" s="15">
        <f t="shared" si="187"/>
        <v>1200</v>
      </c>
      <c r="CE94" s="15">
        <f t="shared" si="188"/>
        <v>1610</v>
      </c>
      <c r="CF94" s="3">
        <f t="shared" si="215"/>
        <v>1200</v>
      </c>
      <c r="CG94" s="2">
        <f>'State of the System - Sumter Co'!AH94</f>
        <v>129</v>
      </c>
      <c r="CH94" s="2">
        <f>'State of the System - Sumter Co'!AI94</f>
        <v>290</v>
      </c>
      <c r="CI94" s="11">
        <f t="shared" si="190"/>
        <v>0.24</v>
      </c>
      <c r="CJ94" s="2" t="str">
        <f t="shared" si="216"/>
        <v>B</v>
      </c>
      <c r="CK94" s="3">
        <f t="shared" si="192"/>
        <v>35208</v>
      </c>
      <c r="CL94" s="11">
        <f t="shared" si="193"/>
        <v>0.09</v>
      </c>
      <c r="CM94" s="11" t="str">
        <f t="shared" si="194"/>
        <v>NOT CONGESTED</v>
      </c>
      <c r="CN94" s="3">
        <f t="shared" si="195"/>
        <v>1739</v>
      </c>
      <c r="CO94" s="11">
        <f t="shared" si="196"/>
        <v>0.17</v>
      </c>
      <c r="CP94" s="156" t="str">
        <f t="shared" si="217"/>
        <v>NOT CONGESTED</v>
      </c>
      <c r="CQ94" s="3"/>
      <c r="CR94" s="3"/>
      <c r="CS94" s="11" t="str">
        <f t="shared" si="198"/>
        <v/>
      </c>
      <c r="CT94" s="11" t="str">
        <f t="shared" si="218"/>
        <v/>
      </c>
      <c r="CU94" s="11" t="str">
        <f t="shared" si="200"/>
        <v/>
      </c>
      <c r="CV94" s="11" t="str">
        <f t="shared" si="201"/>
        <v/>
      </c>
      <c r="CW94" s="3"/>
      <c r="CX94" s="1"/>
      <c r="CY94" s="145" t="str">
        <f t="shared" si="202"/>
        <v/>
      </c>
      <c r="CZ94" s="32" t="str">
        <f t="shared" si="203"/>
        <v/>
      </c>
    </row>
    <row r="95" spans="1:104" ht="12.75" customHeight="1">
      <c r="A95" s="1">
        <v>3542150</v>
      </c>
      <c r="B95" s="1">
        <f t="shared" si="204"/>
        <v>18</v>
      </c>
      <c r="C95" s="1">
        <v>14</v>
      </c>
      <c r="D95" s="1">
        <f>VLOOKUP(C95,'2022 counts'!$A$6:$B$304,2,FALSE)</f>
        <v>18</v>
      </c>
      <c r="E95" s="1"/>
      <c r="F95" s="2" t="s">
        <v>6</v>
      </c>
      <c r="G95" s="156">
        <v>55</v>
      </c>
      <c r="H95" s="11">
        <v>1.0084964427000001</v>
      </c>
      <c r="I95" s="10" t="s">
        <v>714</v>
      </c>
      <c r="J95" s="10" t="s">
        <v>46</v>
      </c>
      <c r="K95" s="10" t="s">
        <v>40</v>
      </c>
      <c r="L95" s="157">
        <v>2</v>
      </c>
      <c r="M95" s="1">
        <f>'State of the System - Sumter Co'!K95</f>
        <v>2</v>
      </c>
      <c r="N95" s="1" t="str">
        <f>IF('State of the System - Sumter Co'!L95="URBAN","U","R")</f>
        <v>U</v>
      </c>
      <c r="O95" s="1" t="str">
        <f>IF('State of the System - Sumter Co'!M95="UNDIVIDED","U",IF('State of the System - Sumter Co'!M95="DIVIDED","D","F"))</f>
        <v>U</v>
      </c>
      <c r="P95" s="1" t="str">
        <f>'State of the System - Sumter Co'!N95</f>
        <v>UNINTERRUPTED</v>
      </c>
      <c r="Q95" s="1" t="str">
        <f t="shared" si="156"/>
        <v/>
      </c>
      <c r="R95" s="1" t="str">
        <f>'State of the System - Sumter Co'!O95</f>
        <v/>
      </c>
      <c r="S95" s="1" t="str">
        <f t="shared" si="157"/>
        <v>-x</v>
      </c>
      <c r="T95" s="1" t="str">
        <f t="shared" si="158"/>
        <v>U-2U-x</v>
      </c>
      <c r="U95" s="1" t="str">
        <f t="shared" si="211"/>
        <v>U-2U-x</v>
      </c>
      <c r="V95" s="1" t="s">
        <v>10</v>
      </c>
      <c r="W95" s="1" t="s">
        <v>25</v>
      </c>
      <c r="X95" s="1" t="s">
        <v>21</v>
      </c>
      <c r="Y95" s="1" t="str">
        <f>'State of the System - Sumter Co'!R95</f>
        <v>D</v>
      </c>
      <c r="Z95" s="157" t="str">
        <f t="shared" si="159"/>
        <v>Other CMP Network Roadways</v>
      </c>
      <c r="AA95" s="15">
        <f>VLOOKUP($T95,'2020_CapacityTable'!$B$49:$F$71,2)</f>
        <v>11700</v>
      </c>
      <c r="AB95" s="15">
        <f>VLOOKUP($T95,'2020_CapacityTable'!$B$49:$F$71,3)</f>
        <v>18000</v>
      </c>
      <c r="AC95" s="15">
        <f>VLOOKUP($T95,'2020_CapacityTable'!$B$49:$F$71,4)</f>
        <v>24200</v>
      </c>
      <c r="AD95" s="15">
        <f>VLOOKUP($T95,'2020_CapacityTable'!$B$49:$F$71,5)</f>
        <v>32600</v>
      </c>
      <c r="AE95" s="35"/>
      <c r="AF95" s="36" t="str">
        <f t="shared" si="160"/>
        <v/>
      </c>
      <c r="AG95" s="35"/>
      <c r="AH95" s="35" t="str">
        <f t="shared" si="210"/>
        <v/>
      </c>
      <c r="AI95" s="35"/>
      <c r="AJ95" s="36"/>
      <c r="AK95" s="15">
        <f t="shared" si="161"/>
        <v>11700</v>
      </c>
      <c r="AL95" s="15">
        <f t="shared" si="162"/>
        <v>18000</v>
      </c>
      <c r="AM95" s="15">
        <f t="shared" si="163"/>
        <v>24200</v>
      </c>
      <c r="AN95" s="15">
        <f t="shared" si="164"/>
        <v>32600</v>
      </c>
      <c r="AO95" s="3">
        <f t="shared" si="212"/>
        <v>24200</v>
      </c>
      <c r="AP95" s="138">
        <f>VLOOKUP($B95,'2022 counts'!$B$6:$R$304,17,FALSE)</f>
        <v>3348</v>
      </c>
      <c r="AQ95" s="11">
        <f t="shared" si="165"/>
        <v>0.14000000000000001</v>
      </c>
      <c r="AR95" s="2" t="str">
        <f t="shared" si="166"/>
        <v>B</v>
      </c>
      <c r="AS95" s="26">
        <f t="shared" si="167"/>
        <v>1.23</v>
      </c>
      <c r="AT95" s="15">
        <f>VLOOKUP($T95,'2020_CapacityTable'!$B$23:$F$45,2)</f>
        <v>580</v>
      </c>
      <c r="AU95" s="15">
        <f>VLOOKUP($T95,'2020_CapacityTable'!$B$23:$F$45,3)</f>
        <v>890</v>
      </c>
      <c r="AV95" s="15">
        <f>VLOOKUP($T95,'2020_CapacityTable'!$B$23:$F$45,4)</f>
        <v>1200</v>
      </c>
      <c r="AW95" s="15">
        <f>VLOOKUP($T95,'2020_CapacityTable'!$B$23:$F$45,5)</f>
        <v>1610</v>
      </c>
      <c r="AX95" s="15">
        <f t="shared" si="168"/>
        <v>580</v>
      </c>
      <c r="AY95" s="15">
        <f t="shared" si="169"/>
        <v>890</v>
      </c>
      <c r="AZ95" s="15">
        <f t="shared" si="170"/>
        <v>1200</v>
      </c>
      <c r="BA95" s="15">
        <f t="shared" si="171"/>
        <v>1610</v>
      </c>
      <c r="BB95" s="3">
        <f t="shared" si="213"/>
        <v>1200</v>
      </c>
      <c r="BC95" s="138">
        <f>VLOOKUP($B95,'2022 counts'!$B$6:$AD$304,28,FALSE)</f>
        <v>112</v>
      </c>
      <c r="BD95" s="138">
        <f>VLOOKUP($B95,'2022 counts'!$B$6:$AD$304,29,FALSE)</f>
        <v>286</v>
      </c>
      <c r="BE95" s="11">
        <f t="shared" si="173"/>
        <v>0.24</v>
      </c>
      <c r="BF95" s="2" t="str">
        <f t="shared" si="174"/>
        <v>B</v>
      </c>
      <c r="BG95" s="135">
        <v>0</v>
      </c>
      <c r="BH95" s="135">
        <f>IF($AQ95="","",VLOOKUP($B95, '2022 counts'!$B$6:$T$304,19,FALSE))</f>
        <v>0</v>
      </c>
      <c r="BI95" s="38">
        <f t="shared" si="175"/>
        <v>0.01</v>
      </c>
      <c r="BJ95" s="39" t="str">
        <f t="shared" si="176"/>
        <v>minimum</v>
      </c>
      <c r="BK95" s="15">
        <f>VLOOKUP($U95,'2020_CapacityTable'!$B$49:$F$71,2)</f>
        <v>11700</v>
      </c>
      <c r="BL95" s="15">
        <f>VLOOKUP($U95,'2020_CapacityTable'!$B$49:$F$71,3)</f>
        <v>18000</v>
      </c>
      <c r="BM95" s="15">
        <f>VLOOKUP($T95,'2020_CapacityTable'!$B$49:$F$71,4)</f>
        <v>24200</v>
      </c>
      <c r="BN95" s="15">
        <f>VLOOKUP($T95,'2020_CapacityTable'!$B$49:$F$71,5)</f>
        <v>32600</v>
      </c>
      <c r="BO95" s="15">
        <f t="shared" si="177"/>
        <v>11700</v>
      </c>
      <c r="BP95" s="15">
        <f t="shared" si="178"/>
        <v>18000</v>
      </c>
      <c r="BQ95" s="15">
        <f t="shared" si="179"/>
        <v>24200</v>
      </c>
      <c r="BR95" s="15">
        <f t="shared" si="180"/>
        <v>32600</v>
      </c>
      <c r="BS95" s="3">
        <f t="shared" si="214"/>
        <v>24200</v>
      </c>
      <c r="BT95" s="40">
        <f>'State of the System - Sumter Co'!AD95</f>
        <v>3519</v>
      </c>
      <c r="BU95" s="41">
        <f t="shared" si="182"/>
        <v>0.15</v>
      </c>
      <c r="BV95" s="2" t="str">
        <f t="shared" si="183"/>
        <v>B</v>
      </c>
      <c r="BW95" s="2">
        <f t="shared" si="184"/>
        <v>1.3</v>
      </c>
      <c r="BX95" s="15">
        <f>VLOOKUP($U95,'2020_CapacityTable'!$B$23:$F$45,2)</f>
        <v>580</v>
      </c>
      <c r="BY95" s="15">
        <f>VLOOKUP($U95,'2020_CapacityTable'!$B$23:$F$45,3)</f>
        <v>890</v>
      </c>
      <c r="BZ95" s="15">
        <f>VLOOKUP($U95,'2020_CapacityTable'!$B$23:$F$45,4)</f>
        <v>1200</v>
      </c>
      <c r="CA95" s="15">
        <f>VLOOKUP($U95,'2020_CapacityTable'!$B$23:$F$45,5)</f>
        <v>1610</v>
      </c>
      <c r="CB95" s="15">
        <f t="shared" si="185"/>
        <v>580</v>
      </c>
      <c r="CC95" s="15">
        <f t="shared" si="186"/>
        <v>890</v>
      </c>
      <c r="CD95" s="15">
        <f t="shared" si="187"/>
        <v>1200</v>
      </c>
      <c r="CE95" s="15">
        <f t="shared" si="188"/>
        <v>1610</v>
      </c>
      <c r="CF95" s="3">
        <f t="shared" si="215"/>
        <v>1200</v>
      </c>
      <c r="CG95" s="2">
        <f>'State of the System - Sumter Co'!AH95</f>
        <v>118</v>
      </c>
      <c r="CH95" s="2">
        <f>'State of the System - Sumter Co'!AI95</f>
        <v>301</v>
      </c>
      <c r="CI95" s="11">
        <f t="shared" si="190"/>
        <v>0.25</v>
      </c>
      <c r="CJ95" s="2" t="str">
        <f t="shared" si="216"/>
        <v>B</v>
      </c>
      <c r="CK95" s="3">
        <f t="shared" si="192"/>
        <v>35208</v>
      </c>
      <c r="CL95" s="11">
        <f t="shared" si="193"/>
        <v>0.1</v>
      </c>
      <c r="CM95" s="11" t="str">
        <f t="shared" si="194"/>
        <v>NOT CONGESTED</v>
      </c>
      <c r="CN95" s="3">
        <f t="shared" si="195"/>
        <v>1739</v>
      </c>
      <c r="CO95" s="11">
        <f t="shared" si="196"/>
        <v>0.17</v>
      </c>
      <c r="CP95" s="156" t="str">
        <f t="shared" si="217"/>
        <v>NOT CONGESTED</v>
      </c>
      <c r="CQ95" s="3"/>
      <c r="CR95" s="3"/>
      <c r="CS95" s="11" t="str">
        <f t="shared" si="198"/>
        <v/>
      </c>
      <c r="CT95" s="11" t="str">
        <f t="shared" si="218"/>
        <v/>
      </c>
      <c r="CU95" s="11" t="str">
        <f t="shared" si="200"/>
        <v/>
      </c>
      <c r="CV95" s="11" t="str">
        <f t="shared" si="201"/>
        <v/>
      </c>
      <c r="CW95" s="3"/>
      <c r="CX95" s="1"/>
      <c r="CY95" s="145" t="str">
        <f t="shared" si="202"/>
        <v/>
      </c>
      <c r="CZ95" s="32" t="str">
        <f t="shared" si="203"/>
        <v/>
      </c>
    </row>
    <row r="96" spans="1:104" s="9" customFormat="1" ht="12.75" customHeight="1">
      <c r="A96" s="1">
        <v>3543100</v>
      </c>
      <c r="B96" s="1">
        <f t="shared" si="204"/>
        <v>46</v>
      </c>
      <c r="C96" s="1">
        <v>66</v>
      </c>
      <c r="D96" s="1">
        <f>VLOOKUP(C96,'2022 counts'!$A$6:$B$304,2,FALSE)</f>
        <v>46</v>
      </c>
      <c r="E96" s="1"/>
      <c r="F96" s="2" t="s">
        <v>6</v>
      </c>
      <c r="G96" s="156">
        <v>35</v>
      </c>
      <c r="H96" s="11">
        <v>0.75182525846500003</v>
      </c>
      <c r="I96" s="10" t="s">
        <v>726</v>
      </c>
      <c r="J96" s="10" t="s">
        <v>40</v>
      </c>
      <c r="K96" s="10" t="s">
        <v>73</v>
      </c>
      <c r="L96" s="157">
        <v>2</v>
      </c>
      <c r="M96" s="1">
        <f>'State of the System - Sumter Co'!K96</f>
        <v>2</v>
      </c>
      <c r="N96" s="1" t="str">
        <f>IF('State of the System - Sumter Co'!L96="URBAN","U","R")</f>
        <v>U</v>
      </c>
      <c r="O96" s="1" t="str">
        <f>IF('State of the System - Sumter Co'!M96="UNDIVIDED","U",IF('State of the System - Sumter Co'!M96="DIVIDED","D","F"))</f>
        <v>U</v>
      </c>
      <c r="P96" s="1" t="str">
        <f>'State of the System - Sumter Co'!N96</f>
        <v>INTERRUPTED</v>
      </c>
      <c r="Q96" s="1" t="str">
        <f t="shared" si="156"/>
        <v/>
      </c>
      <c r="R96" s="1" t="str">
        <f>'State of the System - Sumter Co'!O96</f>
        <v/>
      </c>
      <c r="S96" s="1" t="str">
        <f t="shared" si="157"/>
        <v>-2</v>
      </c>
      <c r="T96" s="1" t="str">
        <f t="shared" si="158"/>
        <v>U-2U-2</v>
      </c>
      <c r="U96" s="1" t="str">
        <f t="shared" si="211"/>
        <v>U-2U-2</v>
      </c>
      <c r="V96" s="1" t="s">
        <v>10</v>
      </c>
      <c r="W96" s="1" t="s">
        <v>25</v>
      </c>
      <c r="X96" s="1" t="s">
        <v>21</v>
      </c>
      <c r="Y96" s="1" t="str">
        <f>'State of the System - Sumter Co'!R96</f>
        <v>D</v>
      </c>
      <c r="Z96" s="157" t="str">
        <f t="shared" si="159"/>
        <v>Other CMP Network Roadways</v>
      </c>
      <c r="AA96" s="15">
        <f>VLOOKUP($T96,'2020_CapacityTable'!$B$49:$F$71,2)</f>
        <v>0</v>
      </c>
      <c r="AB96" s="15">
        <f>VLOOKUP($T96,'2020_CapacityTable'!$B$49:$F$71,3)</f>
        <v>7300</v>
      </c>
      <c r="AC96" s="15">
        <f>VLOOKUP($T96,'2020_CapacityTable'!$B$49:$F$71,4)</f>
        <v>14800</v>
      </c>
      <c r="AD96" s="15">
        <f>VLOOKUP($T96,'2020_CapacityTable'!$B$49:$F$71,5)</f>
        <v>15600</v>
      </c>
      <c r="AE96" s="35">
        <f t="shared" ref="AE96:AE106" si="219">IF(V96&lt;&gt;"STATE",-10%,"")</f>
        <v>-0.1</v>
      </c>
      <c r="AF96" s="36" t="str">
        <f t="shared" si="160"/>
        <v/>
      </c>
      <c r="AG96" s="35"/>
      <c r="AH96" s="35" t="str">
        <f t="shared" si="210"/>
        <v/>
      </c>
      <c r="AI96" s="35"/>
      <c r="AJ96" s="36">
        <v>0.05</v>
      </c>
      <c r="AK96" s="15">
        <f t="shared" si="161"/>
        <v>0</v>
      </c>
      <c r="AL96" s="15">
        <f t="shared" si="162"/>
        <v>6935</v>
      </c>
      <c r="AM96" s="15">
        <f t="shared" si="163"/>
        <v>14060</v>
      </c>
      <c r="AN96" s="15">
        <f t="shared" si="164"/>
        <v>14820</v>
      </c>
      <c r="AO96" s="3">
        <f t="shared" si="212"/>
        <v>14060</v>
      </c>
      <c r="AP96" s="138">
        <f>VLOOKUP($B96,'2022 counts'!$B$6:$R$304,17,FALSE)</f>
        <v>6086</v>
      </c>
      <c r="AQ96" s="11">
        <f t="shared" si="165"/>
        <v>0.43</v>
      </c>
      <c r="AR96" s="2" t="str">
        <f t="shared" si="166"/>
        <v>C</v>
      </c>
      <c r="AS96" s="26">
        <f t="shared" si="167"/>
        <v>1.67</v>
      </c>
      <c r="AT96" s="15">
        <f>VLOOKUP($T96,'2020_CapacityTable'!$B$23:$F$45,2)</f>
        <v>0</v>
      </c>
      <c r="AU96" s="15">
        <f>VLOOKUP($T96,'2020_CapacityTable'!$B$23:$F$45,3)</f>
        <v>370</v>
      </c>
      <c r="AV96" s="15">
        <f>VLOOKUP($T96,'2020_CapacityTable'!$B$23:$F$45,4)</f>
        <v>750</v>
      </c>
      <c r="AW96" s="15">
        <f>VLOOKUP($T96,'2020_CapacityTable'!$B$23:$F$45,5)</f>
        <v>800</v>
      </c>
      <c r="AX96" s="15">
        <f t="shared" si="168"/>
        <v>0</v>
      </c>
      <c r="AY96" s="15">
        <f t="shared" si="169"/>
        <v>352</v>
      </c>
      <c r="AZ96" s="15">
        <f t="shared" si="170"/>
        <v>713</v>
      </c>
      <c r="BA96" s="15">
        <f t="shared" si="171"/>
        <v>760</v>
      </c>
      <c r="BB96" s="3">
        <f t="shared" si="213"/>
        <v>713</v>
      </c>
      <c r="BC96" s="138">
        <f>VLOOKUP($B96,'2022 counts'!$B$6:$AD$304,28,FALSE)</f>
        <v>329</v>
      </c>
      <c r="BD96" s="138">
        <f>VLOOKUP($B96,'2022 counts'!$B$6:$AD$304,29,FALSE)</f>
        <v>218</v>
      </c>
      <c r="BE96" s="11">
        <f t="shared" si="173"/>
        <v>0.46</v>
      </c>
      <c r="BF96" s="2" t="str">
        <f t="shared" si="174"/>
        <v>C</v>
      </c>
      <c r="BG96" s="135">
        <v>3.2500000000000001E-2</v>
      </c>
      <c r="BH96" s="135">
        <f>IF($AQ96="","",VLOOKUP($B96, '2022 counts'!$B$6:$T$304,19,FALSE))</f>
        <v>3.2500000000000001E-2</v>
      </c>
      <c r="BI96" s="38">
        <f t="shared" si="175"/>
        <v>3.2500000000000001E-2</v>
      </c>
      <c r="BJ96" s="39" t="str">
        <f t="shared" si="176"/>
        <v/>
      </c>
      <c r="BK96" s="15">
        <f>VLOOKUP($U96,'2020_CapacityTable'!$B$49:$F$71,2)</f>
        <v>0</v>
      </c>
      <c r="BL96" s="15">
        <f>VLOOKUP($U96,'2020_CapacityTable'!$B$49:$F$71,3)</f>
        <v>7300</v>
      </c>
      <c r="BM96" s="15">
        <f>VLOOKUP($T96,'2020_CapacityTable'!$B$49:$F$71,4)</f>
        <v>14800</v>
      </c>
      <c r="BN96" s="15">
        <f>VLOOKUP($T96,'2020_CapacityTable'!$B$49:$F$71,5)</f>
        <v>15600</v>
      </c>
      <c r="BO96" s="15">
        <f t="shared" si="177"/>
        <v>0</v>
      </c>
      <c r="BP96" s="15">
        <f t="shared" si="178"/>
        <v>6935</v>
      </c>
      <c r="BQ96" s="15">
        <f t="shared" si="179"/>
        <v>14060</v>
      </c>
      <c r="BR96" s="15">
        <f t="shared" si="180"/>
        <v>14820</v>
      </c>
      <c r="BS96" s="3">
        <f t="shared" si="214"/>
        <v>14060</v>
      </c>
      <c r="BT96" s="40">
        <f>'State of the System - Sumter Co'!AD96</f>
        <v>7141</v>
      </c>
      <c r="BU96" s="41">
        <f t="shared" si="182"/>
        <v>0.51</v>
      </c>
      <c r="BV96" s="2" t="str">
        <f t="shared" si="183"/>
        <v>D</v>
      </c>
      <c r="BW96" s="2">
        <f t="shared" si="184"/>
        <v>1.96</v>
      </c>
      <c r="BX96" s="15">
        <f>VLOOKUP($U96,'2020_CapacityTable'!$B$23:$F$45,2)</f>
        <v>0</v>
      </c>
      <c r="BY96" s="15">
        <f>VLOOKUP($U96,'2020_CapacityTable'!$B$23:$F$45,3)</f>
        <v>370</v>
      </c>
      <c r="BZ96" s="15">
        <f>VLOOKUP($U96,'2020_CapacityTable'!$B$23:$F$45,4)</f>
        <v>750</v>
      </c>
      <c r="CA96" s="15">
        <f>VLOOKUP($U96,'2020_CapacityTable'!$B$23:$F$45,5)</f>
        <v>800</v>
      </c>
      <c r="CB96" s="15">
        <f t="shared" si="185"/>
        <v>0</v>
      </c>
      <c r="CC96" s="15">
        <f t="shared" si="186"/>
        <v>352</v>
      </c>
      <c r="CD96" s="15">
        <f t="shared" si="187"/>
        <v>713</v>
      </c>
      <c r="CE96" s="15">
        <f t="shared" si="188"/>
        <v>760</v>
      </c>
      <c r="CF96" s="3">
        <f t="shared" si="215"/>
        <v>713</v>
      </c>
      <c r="CG96" s="2">
        <f>'State of the System - Sumter Co'!AH96</f>
        <v>386</v>
      </c>
      <c r="CH96" s="2">
        <f>'State of the System - Sumter Co'!AI96</f>
        <v>256</v>
      </c>
      <c r="CI96" s="11">
        <f t="shared" si="190"/>
        <v>0.54</v>
      </c>
      <c r="CJ96" s="2" t="str">
        <f t="shared" si="216"/>
        <v>D</v>
      </c>
      <c r="CK96" s="3">
        <f t="shared" si="192"/>
        <v>16006</v>
      </c>
      <c r="CL96" s="11">
        <f t="shared" si="193"/>
        <v>0.45</v>
      </c>
      <c r="CM96" s="11" t="str">
        <f t="shared" si="194"/>
        <v>NOT CONGESTED</v>
      </c>
      <c r="CN96" s="3">
        <f t="shared" si="195"/>
        <v>821</v>
      </c>
      <c r="CO96" s="11">
        <f t="shared" si="196"/>
        <v>0.47</v>
      </c>
      <c r="CP96" s="156" t="str">
        <f t="shared" si="217"/>
        <v>NOT CONGESTED</v>
      </c>
      <c r="CQ96" s="2"/>
      <c r="CR96" s="42"/>
      <c r="CS96" s="11" t="str">
        <f t="shared" si="198"/>
        <v/>
      </c>
      <c r="CT96" s="11" t="str">
        <f t="shared" si="218"/>
        <v/>
      </c>
      <c r="CU96" s="11" t="str">
        <f t="shared" si="200"/>
        <v/>
      </c>
      <c r="CV96" s="11" t="str">
        <f t="shared" si="201"/>
        <v/>
      </c>
      <c r="CW96" s="3"/>
      <c r="CX96" s="1"/>
      <c r="CY96" s="145" t="str">
        <f t="shared" si="202"/>
        <v/>
      </c>
      <c r="CZ96" s="32" t="str">
        <f t="shared" si="203"/>
        <v/>
      </c>
    </row>
    <row r="97" spans="1:104" s="9" customFormat="1" ht="12.75" customHeight="1">
      <c r="A97" s="1">
        <v>3545100</v>
      </c>
      <c r="B97" s="1">
        <f t="shared" si="204"/>
        <v>972210</v>
      </c>
      <c r="C97" s="1">
        <v>972210</v>
      </c>
      <c r="D97" s="1">
        <f>VLOOKUP(C97,'2022 counts'!$A$6:$B$304,2,FALSE)</f>
        <v>972210</v>
      </c>
      <c r="E97" s="1">
        <v>972210</v>
      </c>
      <c r="F97" s="2" t="s">
        <v>136</v>
      </c>
      <c r="G97" s="156">
        <v>70</v>
      </c>
      <c r="H97" s="11">
        <v>3.3517136672199999</v>
      </c>
      <c r="I97" s="10" t="s">
        <v>152</v>
      </c>
      <c r="J97" s="10" t="s">
        <v>66</v>
      </c>
      <c r="K97" s="10" t="s">
        <v>40</v>
      </c>
      <c r="L97" s="157">
        <v>4</v>
      </c>
      <c r="M97" s="1">
        <f>'State of the System - Sumter Co'!K97</f>
        <v>4</v>
      </c>
      <c r="N97" s="1" t="str">
        <f>IF('State of the System - Sumter Co'!L97="URBAN","U","R")</f>
        <v>R</v>
      </c>
      <c r="O97" s="1" t="str">
        <f>IF('State of the System - Sumter Co'!M97="UNDIVIDED","U",IF('State of the System - Sumter Co'!M97="DIVIDED","D","F"))</f>
        <v>F</v>
      </c>
      <c r="P97" s="1" t="str">
        <f>'State of the System - Sumter Co'!N97</f>
        <v>FREEWAY</v>
      </c>
      <c r="Q97" s="1" t="str">
        <f t="shared" si="156"/>
        <v/>
      </c>
      <c r="R97" s="1" t="str">
        <f>'State of the System - Sumter Co'!O97</f>
        <v/>
      </c>
      <c r="S97" s="1" t="str">
        <f t="shared" si="157"/>
        <v/>
      </c>
      <c r="T97" s="1" t="str">
        <f t="shared" si="158"/>
        <v>R-4F</v>
      </c>
      <c r="U97" s="1" t="str">
        <f t="shared" si="211"/>
        <v>R-4F</v>
      </c>
      <c r="V97" s="1" t="s">
        <v>137</v>
      </c>
      <c r="W97" s="1" t="s">
        <v>25</v>
      </c>
      <c r="X97" s="1" t="s">
        <v>153</v>
      </c>
      <c r="Y97" s="1" t="str">
        <f>'State of the System - Sumter Co'!R97</f>
        <v>C</v>
      </c>
      <c r="Z97" s="157" t="str">
        <f t="shared" si="159"/>
        <v>NHS Interstate</v>
      </c>
      <c r="AA97" s="15">
        <f>VLOOKUP($T97,'2020_CapacityTable'!$B$49:$F$71,2)</f>
        <v>34800</v>
      </c>
      <c r="AB97" s="15">
        <f>VLOOKUP($T97,'2020_CapacityTable'!$B$49:$F$71,3)</f>
        <v>48000</v>
      </c>
      <c r="AC97" s="15">
        <f>VLOOKUP($T97,'2020_CapacityTable'!$B$49:$F$71,4)</f>
        <v>56700</v>
      </c>
      <c r="AD97" s="15">
        <f>VLOOKUP($T97,'2020_CapacityTable'!$B$49:$F$71,5)</f>
        <v>63200</v>
      </c>
      <c r="AE97" s="35" t="str">
        <f t="shared" si="219"/>
        <v/>
      </c>
      <c r="AF97" s="36" t="str">
        <f t="shared" si="160"/>
        <v/>
      </c>
      <c r="AG97" s="35" t="str">
        <f t="shared" ref="AG97:AG111" si="220">IF(AND(L97=2,P97="interrupted",O97="U"),"LOOK","")</f>
        <v/>
      </c>
      <c r="AH97" s="35" t="str">
        <f t="shared" si="210"/>
        <v/>
      </c>
      <c r="AI97" s="35"/>
      <c r="AJ97" s="36"/>
      <c r="AK97" s="15">
        <f t="shared" si="161"/>
        <v>34800</v>
      </c>
      <c r="AL97" s="15">
        <f t="shared" si="162"/>
        <v>48000</v>
      </c>
      <c r="AM97" s="15">
        <f t="shared" si="163"/>
        <v>56700</v>
      </c>
      <c r="AN97" s="15">
        <f t="shared" si="164"/>
        <v>63200</v>
      </c>
      <c r="AO97" s="3">
        <f t="shared" si="212"/>
        <v>48000</v>
      </c>
      <c r="AP97" s="138">
        <f>VLOOKUP($B97,'2022 counts'!$B$6:$R$304,17,FALSE)</f>
        <v>42410</v>
      </c>
      <c r="AQ97" s="11">
        <f t="shared" si="165"/>
        <v>0.88</v>
      </c>
      <c r="AR97" s="2" t="str">
        <f t="shared" si="166"/>
        <v>C</v>
      </c>
      <c r="AS97" s="26">
        <f t="shared" si="167"/>
        <v>51.88</v>
      </c>
      <c r="AT97" s="15">
        <f>VLOOKUP($T97,'2020_CapacityTable'!$B$23:$F$45,2)</f>
        <v>2010</v>
      </c>
      <c r="AU97" s="15">
        <f>VLOOKUP($T97,'2020_CapacityTable'!$B$23:$F$45,3)</f>
        <v>2770</v>
      </c>
      <c r="AV97" s="15">
        <f>VLOOKUP($T97,'2020_CapacityTable'!$B$23:$F$45,4)</f>
        <v>3270</v>
      </c>
      <c r="AW97" s="15">
        <f>VLOOKUP($T97,'2020_CapacityTable'!$B$23:$F$45,5)</f>
        <v>3650</v>
      </c>
      <c r="AX97" s="15">
        <f t="shared" si="168"/>
        <v>2010</v>
      </c>
      <c r="AY97" s="15">
        <f t="shared" si="169"/>
        <v>2770</v>
      </c>
      <c r="AZ97" s="15">
        <f t="shared" si="170"/>
        <v>3270</v>
      </c>
      <c r="BA97" s="15">
        <f t="shared" si="171"/>
        <v>3650</v>
      </c>
      <c r="BB97" s="3">
        <f t="shared" si="213"/>
        <v>2770</v>
      </c>
      <c r="BC97" s="138">
        <f>VLOOKUP($B97,'2022 counts'!$B$6:$AD$304,28,FALSE)</f>
        <v>2654</v>
      </c>
      <c r="BD97" s="138">
        <f>VLOOKUP($B97,'2022 counts'!$B$6:$AD$304,29,FALSE)</f>
        <v>1799</v>
      </c>
      <c r="BE97" s="11">
        <f t="shared" si="173"/>
        <v>0.96</v>
      </c>
      <c r="BF97" s="2" t="str">
        <f t="shared" si="174"/>
        <v>C</v>
      </c>
      <c r="BG97" s="135">
        <v>0</v>
      </c>
      <c r="BH97" s="135">
        <f>IF($AQ97="","",VLOOKUP($B97, '2022 counts'!$B$6:$T$304,19,FALSE))</f>
        <v>0</v>
      </c>
      <c r="BI97" s="38">
        <f t="shared" si="175"/>
        <v>0.01</v>
      </c>
      <c r="BJ97" s="39" t="str">
        <f t="shared" si="176"/>
        <v>minimum</v>
      </c>
      <c r="BK97" s="15">
        <f>VLOOKUP($U97,'2020_CapacityTable'!$B$49:$F$71,2)</f>
        <v>34800</v>
      </c>
      <c r="BL97" s="15">
        <f>VLOOKUP($U97,'2020_CapacityTable'!$B$49:$F$71,3)</f>
        <v>48000</v>
      </c>
      <c r="BM97" s="15">
        <f>VLOOKUP($T97,'2020_CapacityTable'!$B$49:$F$71,4)</f>
        <v>56700</v>
      </c>
      <c r="BN97" s="15">
        <f>VLOOKUP($T97,'2020_CapacityTable'!$B$49:$F$71,5)</f>
        <v>63200</v>
      </c>
      <c r="BO97" s="15">
        <f t="shared" si="177"/>
        <v>34800</v>
      </c>
      <c r="BP97" s="15">
        <f t="shared" si="178"/>
        <v>48000</v>
      </c>
      <c r="BQ97" s="15">
        <f t="shared" si="179"/>
        <v>56700</v>
      </c>
      <c r="BR97" s="15">
        <f t="shared" si="180"/>
        <v>63200</v>
      </c>
      <c r="BS97" s="3">
        <f t="shared" si="214"/>
        <v>48000</v>
      </c>
      <c r="BT97" s="40">
        <f>'State of the System - Sumter Co'!AD97</f>
        <v>44573</v>
      </c>
      <c r="BU97" s="41">
        <f t="shared" si="182"/>
        <v>0.93</v>
      </c>
      <c r="BV97" s="2" t="str">
        <f t="shared" si="183"/>
        <v>C</v>
      </c>
      <c r="BW97" s="2">
        <f t="shared" si="184"/>
        <v>54.53</v>
      </c>
      <c r="BX97" s="15">
        <f>VLOOKUP($U97,'2020_CapacityTable'!$B$23:$F$45,2)</f>
        <v>2010</v>
      </c>
      <c r="BY97" s="15">
        <f>VLOOKUP($U97,'2020_CapacityTable'!$B$23:$F$45,3)</f>
        <v>2770</v>
      </c>
      <c r="BZ97" s="15">
        <f>VLOOKUP($U97,'2020_CapacityTable'!$B$23:$F$45,4)</f>
        <v>3270</v>
      </c>
      <c r="CA97" s="15">
        <f>VLOOKUP($U97,'2020_CapacityTable'!$B$23:$F$45,5)</f>
        <v>3650</v>
      </c>
      <c r="CB97" s="15">
        <f t="shared" si="185"/>
        <v>2010</v>
      </c>
      <c r="CC97" s="15">
        <f t="shared" si="186"/>
        <v>2770</v>
      </c>
      <c r="CD97" s="15">
        <f t="shared" si="187"/>
        <v>3270</v>
      </c>
      <c r="CE97" s="15">
        <f t="shared" si="188"/>
        <v>3650</v>
      </c>
      <c r="CF97" s="3">
        <f t="shared" si="215"/>
        <v>2770</v>
      </c>
      <c r="CG97" s="2">
        <f>'State of the System - Sumter Co'!AH97</f>
        <v>2789</v>
      </c>
      <c r="CH97" s="2">
        <f>'State of the System - Sumter Co'!AI97</f>
        <v>1891</v>
      </c>
      <c r="CI97" s="11">
        <f t="shared" si="190"/>
        <v>1.01</v>
      </c>
      <c r="CJ97" s="2" t="str">
        <f t="shared" si="216"/>
        <v>D</v>
      </c>
      <c r="CK97" s="3">
        <f t="shared" si="192"/>
        <v>68256</v>
      </c>
      <c r="CL97" s="11">
        <f t="shared" si="193"/>
        <v>0.65</v>
      </c>
      <c r="CM97" s="11" t="str">
        <f t="shared" si="194"/>
        <v>APPROACHING CONGESTION</v>
      </c>
      <c r="CN97" s="3">
        <f t="shared" si="195"/>
        <v>3942</v>
      </c>
      <c r="CO97" s="11">
        <f t="shared" si="196"/>
        <v>0.71</v>
      </c>
      <c r="CP97" s="260" t="str">
        <f t="shared" si="217"/>
        <v>CONGESTED (2025)</v>
      </c>
      <c r="CQ97" s="2" t="s">
        <v>558</v>
      </c>
      <c r="CR97" s="42"/>
      <c r="CS97" s="11" t="str">
        <f t="shared" si="198"/>
        <v/>
      </c>
      <c r="CT97" s="11" t="str">
        <f t="shared" si="218"/>
        <v/>
      </c>
      <c r="CU97" s="11" t="str">
        <f t="shared" si="200"/>
        <v/>
      </c>
      <c r="CV97" s="11" t="str">
        <f t="shared" si="201"/>
        <v/>
      </c>
      <c r="CW97" s="3"/>
      <c r="CX97" s="1" t="s">
        <v>585</v>
      </c>
      <c r="CY97" s="145" t="str">
        <f t="shared" si="202"/>
        <v/>
      </c>
      <c r="CZ97" s="32" t="str">
        <f t="shared" si="203"/>
        <v/>
      </c>
    </row>
    <row r="98" spans="1:104" ht="12.75" customHeight="1">
      <c r="A98" s="1">
        <v>3545110</v>
      </c>
      <c r="B98" s="1">
        <f t="shared" si="204"/>
        <v>972200</v>
      </c>
      <c r="C98" s="1">
        <v>972200</v>
      </c>
      <c r="D98" s="1">
        <f>VLOOKUP(C98,'2022 counts'!$A$6:$B$304,2,FALSE)</f>
        <v>972200</v>
      </c>
      <c r="E98" s="1">
        <v>972200</v>
      </c>
      <c r="F98" s="2" t="s">
        <v>136</v>
      </c>
      <c r="G98" s="156">
        <v>70</v>
      </c>
      <c r="H98" s="11">
        <v>7.31546977017</v>
      </c>
      <c r="I98" s="10" t="s">
        <v>152</v>
      </c>
      <c r="J98" s="10" t="s">
        <v>40</v>
      </c>
      <c r="K98" s="10" t="s">
        <v>56</v>
      </c>
      <c r="L98" s="157">
        <v>4</v>
      </c>
      <c r="M98" s="1">
        <f>'State of the System - Sumter Co'!K98</f>
        <v>4</v>
      </c>
      <c r="N98" s="1" t="str">
        <f>IF('State of the System - Sumter Co'!L98="URBAN","U","R")</f>
        <v>R</v>
      </c>
      <c r="O98" s="1" t="str">
        <f>IF('State of the System - Sumter Co'!M98="UNDIVIDED","U",IF('State of the System - Sumter Co'!M98="DIVIDED","D","F"))</f>
        <v>F</v>
      </c>
      <c r="P98" s="1" t="str">
        <f>'State of the System - Sumter Co'!N98</f>
        <v>FREEWAY</v>
      </c>
      <c r="Q98" s="1" t="str">
        <f t="shared" si="156"/>
        <v/>
      </c>
      <c r="R98" s="1" t="str">
        <f>'State of the System - Sumter Co'!O98</f>
        <v/>
      </c>
      <c r="S98" s="1" t="str">
        <f t="shared" si="157"/>
        <v/>
      </c>
      <c r="T98" s="1" t="str">
        <f t="shared" si="158"/>
        <v>R-4F</v>
      </c>
      <c r="U98" s="1" t="str">
        <f t="shared" si="211"/>
        <v>R-4F</v>
      </c>
      <c r="V98" s="1" t="s">
        <v>137</v>
      </c>
      <c r="W98" s="1" t="s">
        <v>25</v>
      </c>
      <c r="X98" s="1" t="s">
        <v>153</v>
      </c>
      <c r="Y98" s="1" t="str">
        <f>'State of the System - Sumter Co'!R98</f>
        <v>C</v>
      </c>
      <c r="Z98" s="157" t="str">
        <f t="shared" si="159"/>
        <v>NHS Interstate</v>
      </c>
      <c r="AA98" s="15">
        <f>VLOOKUP($T98,'2020_CapacityTable'!$B$49:$F$71,2)</f>
        <v>34800</v>
      </c>
      <c r="AB98" s="15">
        <f>VLOOKUP($T98,'2020_CapacityTable'!$B$49:$F$71,3)</f>
        <v>48000</v>
      </c>
      <c r="AC98" s="15">
        <f>VLOOKUP($T98,'2020_CapacityTable'!$B$49:$F$71,4)</f>
        <v>56700</v>
      </c>
      <c r="AD98" s="15">
        <f>VLOOKUP($T98,'2020_CapacityTable'!$B$49:$F$71,5)</f>
        <v>63200</v>
      </c>
      <c r="AE98" s="35" t="str">
        <f t="shared" si="219"/>
        <v/>
      </c>
      <c r="AF98" s="36" t="str">
        <f t="shared" si="160"/>
        <v/>
      </c>
      <c r="AG98" s="35" t="str">
        <f t="shared" si="220"/>
        <v/>
      </c>
      <c r="AH98" s="35" t="str">
        <f t="shared" si="210"/>
        <v/>
      </c>
      <c r="AI98" s="35"/>
      <c r="AJ98" s="36"/>
      <c r="AK98" s="15">
        <f t="shared" si="161"/>
        <v>34800</v>
      </c>
      <c r="AL98" s="15">
        <f t="shared" si="162"/>
        <v>48000</v>
      </c>
      <c r="AM98" s="15">
        <f t="shared" si="163"/>
        <v>56700</v>
      </c>
      <c r="AN98" s="15">
        <f t="shared" si="164"/>
        <v>63200</v>
      </c>
      <c r="AO98" s="3">
        <f t="shared" si="212"/>
        <v>48000</v>
      </c>
      <c r="AP98" s="138">
        <f>VLOOKUP($B98,'2022 counts'!$B$6:$R$304,17,FALSE)</f>
        <v>46882</v>
      </c>
      <c r="AQ98" s="11">
        <f t="shared" si="165"/>
        <v>0.98</v>
      </c>
      <c r="AR98" s="2" t="str">
        <f t="shared" si="166"/>
        <v>C</v>
      </c>
      <c r="AS98" s="26">
        <f t="shared" si="167"/>
        <v>125.18</v>
      </c>
      <c r="AT98" s="15">
        <f>VLOOKUP($T98,'2020_CapacityTable'!$B$23:$F$45,2)</f>
        <v>2010</v>
      </c>
      <c r="AU98" s="15">
        <f>VLOOKUP($T98,'2020_CapacityTable'!$B$23:$F$45,3)</f>
        <v>2770</v>
      </c>
      <c r="AV98" s="15">
        <f>VLOOKUP($T98,'2020_CapacityTable'!$B$23:$F$45,4)</f>
        <v>3270</v>
      </c>
      <c r="AW98" s="15">
        <f>VLOOKUP($T98,'2020_CapacityTable'!$B$23:$F$45,5)</f>
        <v>3650</v>
      </c>
      <c r="AX98" s="15">
        <f t="shared" si="168"/>
        <v>2010</v>
      </c>
      <c r="AY98" s="15">
        <f t="shared" si="169"/>
        <v>2770</v>
      </c>
      <c r="AZ98" s="15">
        <f t="shared" si="170"/>
        <v>3270</v>
      </c>
      <c r="BA98" s="15">
        <f t="shared" si="171"/>
        <v>3650</v>
      </c>
      <c r="BB98" s="3">
        <f t="shared" si="213"/>
        <v>2770</v>
      </c>
      <c r="BC98" s="138">
        <f>VLOOKUP($B98,'2022 counts'!$B$6:$AD$304,28,FALSE)</f>
        <v>2609</v>
      </c>
      <c r="BD98" s="138">
        <f>VLOOKUP($B98,'2022 counts'!$B$6:$AD$304,29,FALSE)</f>
        <v>2314</v>
      </c>
      <c r="BE98" s="11">
        <f t="shared" si="173"/>
        <v>0.94</v>
      </c>
      <c r="BF98" s="2" t="str">
        <f t="shared" si="174"/>
        <v>C</v>
      </c>
      <c r="BG98" s="135">
        <v>0</v>
      </c>
      <c r="BH98" s="135">
        <f>IF($AQ98="","",VLOOKUP($B98, '2022 counts'!$B$6:$T$304,19,FALSE))</f>
        <v>0</v>
      </c>
      <c r="BI98" s="38">
        <f t="shared" si="175"/>
        <v>0.01</v>
      </c>
      <c r="BJ98" s="39" t="str">
        <f t="shared" si="176"/>
        <v>minimum</v>
      </c>
      <c r="BK98" s="15">
        <f>VLOOKUP($U98,'2020_CapacityTable'!$B$49:$F$71,2)</f>
        <v>34800</v>
      </c>
      <c r="BL98" s="15">
        <f>VLOOKUP($U98,'2020_CapacityTable'!$B$49:$F$71,3)</f>
        <v>48000</v>
      </c>
      <c r="BM98" s="15">
        <f>VLOOKUP($T98,'2020_CapacityTable'!$B$49:$F$71,4)</f>
        <v>56700</v>
      </c>
      <c r="BN98" s="15">
        <f>VLOOKUP($T98,'2020_CapacityTable'!$B$49:$F$71,5)</f>
        <v>63200</v>
      </c>
      <c r="BO98" s="15">
        <f t="shared" si="177"/>
        <v>34800</v>
      </c>
      <c r="BP98" s="15">
        <f t="shared" si="178"/>
        <v>48000</v>
      </c>
      <c r="BQ98" s="15">
        <f t="shared" si="179"/>
        <v>56700</v>
      </c>
      <c r="BR98" s="15">
        <f t="shared" si="180"/>
        <v>63200</v>
      </c>
      <c r="BS98" s="3">
        <f t="shared" si="214"/>
        <v>48000</v>
      </c>
      <c r="BT98" s="40">
        <f>'State of the System - Sumter Co'!AD98</f>
        <v>49273</v>
      </c>
      <c r="BU98" s="41">
        <f t="shared" si="182"/>
        <v>1.03</v>
      </c>
      <c r="BV98" s="2" t="str">
        <f t="shared" si="183"/>
        <v>D</v>
      </c>
      <c r="BW98" s="2">
        <f t="shared" si="184"/>
        <v>131.57</v>
      </c>
      <c r="BX98" s="15">
        <f>VLOOKUP($U98,'2020_CapacityTable'!$B$23:$F$45,2)</f>
        <v>2010</v>
      </c>
      <c r="BY98" s="15">
        <f>VLOOKUP($U98,'2020_CapacityTable'!$B$23:$F$45,3)</f>
        <v>2770</v>
      </c>
      <c r="BZ98" s="15">
        <f>VLOOKUP($U98,'2020_CapacityTable'!$B$23:$F$45,4)</f>
        <v>3270</v>
      </c>
      <c r="CA98" s="15">
        <f>VLOOKUP($U98,'2020_CapacityTable'!$B$23:$F$45,5)</f>
        <v>3650</v>
      </c>
      <c r="CB98" s="15">
        <f t="shared" si="185"/>
        <v>2010</v>
      </c>
      <c r="CC98" s="15">
        <f t="shared" si="186"/>
        <v>2770</v>
      </c>
      <c r="CD98" s="15">
        <f t="shared" si="187"/>
        <v>3270</v>
      </c>
      <c r="CE98" s="15">
        <f t="shared" si="188"/>
        <v>3650</v>
      </c>
      <c r="CF98" s="3">
        <f t="shared" si="215"/>
        <v>2770</v>
      </c>
      <c r="CG98" s="2">
        <f>'State of the System - Sumter Co'!AH98</f>
        <v>2742</v>
      </c>
      <c r="CH98" s="2">
        <f>'State of the System - Sumter Co'!AI98</f>
        <v>2432</v>
      </c>
      <c r="CI98" s="11">
        <f t="shared" si="190"/>
        <v>0.99</v>
      </c>
      <c r="CJ98" s="2" t="str">
        <f t="shared" si="216"/>
        <v>C</v>
      </c>
      <c r="CK98" s="3">
        <f t="shared" si="192"/>
        <v>68256</v>
      </c>
      <c r="CL98" s="11">
        <f t="shared" si="193"/>
        <v>0.72</v>
      </c>
      <c r="CM98" s="11" t="str">
        <f t="shared" si="194"/>
        <v>CONGESTED (2025)</v>
      </c>
      <c r="CN98" s="3">
        <f t="shared" si="195"/>
        <v>3942</v>
      </c>
      <c r="CO98" s="11">
        <f t="shared" si="196"/>
        <v>0.7</v>
      </c>
      <c r="CP98" s="260" t="str">
        <f t="shared" si="217"/>
        <v>APPROACHING CONGESTION</v>
      </c>
      <c r="CQ98" s="2" t="s">
        <v>558</v>
      </c>
      <c r="CR98" s="42"/>
      <c r="CS98" s="11" t="str">
        <f t="shared" si="198"/>
        <v/>
      </c>
      <c r="CT98" s="11">
        <f t="shared" si="218"/>
        <v>7.32</v>
      </c>
      <c r="CU98" s="11" t="str">
        <f t="shared" si="200"/>
        <v/>
      </c>
      <c r="CV98" s="11" t="str">
        <f t="shared" si="201"/>
        <v/>
      </c>
      <c r="CW98" s="3"/>
      <c r="CX98" s="1" t="s">
        <v>585</v>
      </c>
      <c r="CY98" s="145" t="str">
        <f t="shared" si="202"/>
        <v/>
      </c>
      <c r="CZ98" s="32">
        <f t="shared" si="203"/>
        <v>131.57</v>
      </c>
    </row>
    <row r="99" spans="1:104" ht="12.75" customHeight="1">
      <c r="A99" s="1">
        <v>3546100</v>
      </c>
      <c r="B99" s="1">
        <f t="shared" si="204"/>
        <v>180208</v>
      </c>
      <c r="C99" s="1">
        <v>180208</v>
      </c>
      <c r="D99" s="1">
        <f>VLOOKUP(C99,'2022 counts'!$A$6:$B$304,2,FALSE)</f>
        <v>180208</v>
      </c>
      <c r="E99" s="1">
        <v>180208</v>
      </c>
      <c r="F99" s="2" t="s">
        <v>136</v>
      </c>
      <c r="G99" s="156">
        <v>70</v>
      </c>
      <c r="H99" s="11">
        <v>1.77931239147</v>
      </c>
      <c r="I99" s="10" t="s">
        <v>66</v>
      </c>
      <c r="J99" s="10" t="s">
        <v>83</v>
      </c>
      <c r="K99" s="10" t="s">
        <v>118</v>
      </c>
      <c r="L99" s="157">
        <v>6</v>
      </c>
      <c r="M99" s="1">
        <f>'State of the System - Sumter Co'!K99</f>
        <v>6</v>
      </c>
      <c r="N99" s="1" t="str">
        <f>IF('State of the System - Sumter Co'!L99="URBAN","U","R")</f>
        <v>R</v>
      </c>
      <c r="O99" s="1" t="str">
        <f>IF('State of the System - Sumter Co'!M99="UNDIVIDED","U",IF('State of the System - Sumter Co'!M99="DIVIDED","D","F"))</f>
        <v>F</v>
      </c>
      <c r="P99" s="1" t="str">
        <f>'State of the System - Sumter Co'!N99</f>
        <v>FREEWAY</v>
      </c>
      <c r="Q99" s="1" t="str">
        <f t="shared" si="156"/>
        <v/>
      </c>
      <c r="R99" s="1" t="str">
        <f>'State of the System - Sumter Co'!O99</f>
        <v/>
      </c>
      <c r="S99" s="1" t="str">
        <f t="shared" si="157"/>
        <v/>
      </c>
      <c r="T99" s="1" t="str">
        <f t="shared" si="158"/>
        <v>R-6F</v>
      </c>
      <c r="U99" s="1" t="str">
        <f t="shared" si="211"/>
        <v>R-6F</v>
      </c>
      <c r="V99" s="1" t="s">
        <v>137</v>
      </c>
      <c r="W99" s="1" t="s">
        <v>11</v>
      </c>
      <c r="X99" s="1" t="s">
        <v>153</v>
      </c>
      <c r="Y99" s="1" t="str">
        <f>'State of the System - Sumter Co'!R99</f>
        <v>C</v>
      </c>
      <c r="Z99" s="157" t="str">
        <f t="shared" si="159"/>
        <v>NHS Interstate</v>
      </c>
      <c r="AA99" s="15">
        <f>VLOOKUP($T99,'2020_CapacityTable'!$B$49:$F$71,2)</f>
        <v>48900</v>
      </c>
      <c r="AB99" s="15">
        <f>VLOOKUP($T99,'2020_CapacityTable'!$B$49:$F$71,3)</f>
        <v>69000</v>
      </c>
      <c r="AC99" s="15">
        <f>VLOOKUP($T99,'2020_CapacityTable'!$B$49:$F$71,4)</f>
        <v>82600</v>
      </c>
      <c r="AD99" s="15">
        <f>VLOOKUP($T99,'2020_CapacityTable'!$B$49:$F$71,5)</f>
        <v>94800</v>
      </c>
      <c r="AE99" s="35" t="str">
        <f t="shared" si="219"/>
        <v/>
      </c>
      <c r="AF99" s="36" t="str">
        <f t="shared" si="160"/>
        <v/>
      </c>
      <c r="AG99" s="35" t="str">
        <f t="shared" si="220"/>
        <v/>
      </c>
      <c r="AH99" s="35" t="str">
        <f t="shared" si="210"/>
        <v/>
      </c>
      <c r="AI99" s="35"/>
      <c r="AJ99" s="36"/>
      <c r="AK99" s="15">
        <f t="shared" si="161"/>
        <v>48900</v>
      </c>
      <c r="AL99" s="15">
        <f t="shared" si="162"/>
        <v>69000</v>
      </c>
      <c r="AM99" s="15">
        <f t="shared" si="163"/>
        <v>82600</v>
      </c>
      <c r="AN99" s="15">
        <f t="shared" si="164"/>
        <v>94800</v>
      </c>
      <c r="AO99" s="3">
        <f t="shared" si="212"/>
        <v>69000</v>
      </c>
      <c r="AP99" s="138">
        <f>VLOOKUP($B99,'2022 counts'!$B$6:$R$304,17,FALSE)</f>
        <v>53168.571428571362</v>
      </c>
      <c r="AQ99" s="11">
        <f t="shared" si="165"/>
        <v>0.77</v>
      </c>
      <c r="AR99" s="2" t="str">
        <f t="shared" si="166"/>
        <v>C</v>
      </c>
      <c r="AS99" s="26">
        <f t="shared" si="167"/>
        <v>34.53</v>
      </c>
      <c r="AT99" s="15">
        <f>VLOOKUP($T99,'2020_CapacityTable'!$B$23:$F$45,2)</f>
        <v>2820</v>
      </c>
      <c r="AU99" s="15">
        <f>VLOOKUP($T99,'2020_CapacityTable'!$B$23:$F$45,3)</f>
        <v>3990</v>
      </c>
      <c r="AV99" s="15">
        <f>VLOOKUP($T99,'2020_CapacityTable'!$B$23:$F$45,4)</f>
        <v>4770</v>
      </c>
      <c r="AW99" s="15">
        <f>VLOOKUP($T99,'2020_CapacityTable'!$B$23:$F$45,5)</f>
        <v>5470</v>
      </c>
      <c r="AX99" s="15">
        <f>ROUND(AT99*(1+SUM($AE99:$AJ99)),0)</f>
        <v>2820</v>
      </c>
      <c r="AY99" s="15">
        <f t="shared" si="169"/>
        <v>3990</v>
      </c>
      <c r="AZ99" s="15">
        <f t="shared" si="170"/>
        <v>4770</v>
      </c>
      <c r="BA99" s="15">
        <f t="shared" si="171"/>
        <v>5470</v>
      </c>
      <c r="BB99" s="3">
        <f>IF(Y99="","",IF(Y99="B",AX99,IF(Y99="C",AY99,IF(Y99="D",AZ99,BA99))))</f>
        <v>3990</v>
      </c>
      <c r="BC99" s="138">
        <f>VLOOKUP($B99,'2022 counts'!$B$6:$AD$304,28,FALSE)</f>
        <v>1870</v>
      </c>
      <c r="BD99" s="138">
        <f>VLOOKUP($B99,'2022 counts'!$B$6:$AD$304,29,FALSE)</f>
        <v>2044</v>
      </c>
      <c r="BE99" s="11">
        <f>IF(AND(BC99="-",BD99="-"),"",ROUND(MAX(BC99,BD99)/BB99,2))</f>
        <v>0.51</v>
      </c>
      <c r="BF99" s="2" t="str">
        <f t="shared" si="174"/>
        <v>B</v>
      </c>
      <c r="BG99" s="135">
        <v>0</v>
      </c>
      <c r="BH99" s="135">
        <f>IF($AQ99="","",VLOOKUP($B99, '2022 counts'!$B$6:$T$304,19,FALSE))</f>
        <v>5.0000000000000001E-3</v>
      </c>
      <c r="BI99" s="38">
        <f t="shared" si="175"/>
        <v>0.01</v>
      </c>
      <c r="BJ99" s="39" t="str">
        <f t="shared" si="176"/>
        <v>minimum</v>
      </c>
      <c r="BK99" s="15">
        <f>VLOOKUP($U99,'2020_CapacityTable'!$B$49:$F$71,2)</f>
        <v>48900</v>
      </c>
      <c r="BL99" s="15">
        <f>VLOOKUP($U99,'2020_CapacityTable'!$B$49:$F$71,3)</f>
        <v>69000</v>
      </c>
      <c r="BM99" s="15">
        <f>VLOOKUP($T99,'2020_CapacityTable'!$B$49:$F$71,4)</f>
        <v>82600</v>
      </c>
      <c r="BN99" s="15">
        <f>VLOOKUP($T99,'2020_CapacityTable'!$B$49:$F$71,5)</f>
        <v>94800</v>
      </c>
      <c r="BO99" s="15">
        <f t="shared" si="177"/>
        <v>48900</v>
      </c>
      <c r="BP99" s="15">
        <f t="shared" si="178"/>
        <v>69000</v>
      </c>
      <c r="BQ99" s="15">
        <f t="shared" si="179"/>
        <v>82600</v>
      </c>
      <c r="BR99" s="15">
        <f t="shared" si="180"/>
        <v>94800</v>
      </c>
      <c r="BS99" s="3">
        <f t="shared" si="214"/>
        <v>69000</v>
      </c>
      <c r="BT99" s="40">
        <f>'State of the System - Sumter Co'!AD99</f>
        <v>55881</v>
      </c>
      <c r="BU99" s="41">
        <f t="shared" si="182"/>
        <v>0.81</v>
      </c>
      <c r="BV99" s="2" t="str">
        <f t="shared" si="183"/>
        <v>C</v>
      </c>
      <c r="BW99" s="2">
        <f t="shared" si="184"/>
        <v>36.29</v>
      </c>
      <c r="BX99" s="15">
        <f>VLOOKUP($U99,'2020_CapacityTable'!$B$23:$F$45,2)</f>
        <v>2820</v>
      </c>
      <c r="BY99" s="15">
        <f>VLOOKUP($U99,'2020_CapacityTable'!$B$23:$F$45,3)</f>
        <v>3990</v>
      </c>
      <c r="BZ99" s="15">
        <f>VLOOKUP($U99,'2020_CapacityTable'!$B$23:$F$45,4)</f>
        <v>4770</v>
      </c>
      <c r="CA99" s="15">
        <f>VLOOKUP($U99,'2020_CapacityTable'!$B$23:$F$45,5)</f>
        <v>5470</v>
      </c>
      <c r="CB99" s="15">
        <f t="shared" si="185"/>
        <v>2820</v>
      </c>
      <c r="CC99" s="15">
        <f t="shared" si="186"/>
        <v>3990</v>
      </c>
      <c r="CD99" s="15">
        <f t="shared" si="187"/>
        <v>4770</v>
      </c>
      <c r="CE99" s="15">
        <f t="shared" si="188"/>
        <v>5470</v>
      </c>
      <c r="CF99" s="3">
        <f t="shared" si="215"/>
        <v>3990</v>
      </c>
      <c r="CG99" s="2">
        <f>'State of the System - Sumter Co'!AH99</f>
        <v>1965</v>
      </c>
      <c r="CH99" s="2">
        <f>'State of the System - Sumter Co'!AI99</f>
        <v>2148</v>
      </c>
      <c r="CI99" s="11">
        <f t="shared" si="190"/>
        <v>0.54</v>
      </c>
      <c r="CJ99" s="2" t="str">
        <f t="shared" si="216"/>
        <v>B</v>
      </c>
      <c r="CK99" s="3">
        <f t="shared" si="192"/>
        <v>102384</v>
      </c>
      <c r="CL99" s="11">
        <f t="shared" si="193"/>
        <v>0.55000000000000004</v>
      </c>
      <c r="CM99" s="11" t="str">
        <f t="shared" si="194"/>
        <v>NOT CONGESTED</v>
      </c>
      <c r="CN99" s="3">
        <f t="shared" si="195"/>
        <v>5908</v>
      </c>
      <c r="CO99" s="11">
        <f t="shared" si="196"/>
        <v>0.36</v>
      </c>
      <c r="CP99" s="156" t="str">
        <f t="shared" si="217"/>
        <v>NOT CONGESTED</v>
      </c>
      <c r="CQ99" s="2" t="s">
        <v>558</v>
      </c>
      <c r="CR99" s="42"/>
      <c r="CS99" s="11" t="str">
        <f t="shared" si="198"/>
        <v/>
      </c>
      <c r="CT99" s="11" t="str">
        <f t="shared" si="218"/>
        <v/>
      </c>
      <c r="CU99" s="11" t="str">
        <f t="shared" si="200"/>
        <v/>
      </c>
      <c r="CV99" s="11" t="str">
        <f t="shared" si="201"/>
        <v/>
      </c>
      <c r="CW99" s="3"/>
      <c r="CX99" s="1" t="s">
        <v>585</v>
      </c>
      <c r="CY99" s="145" t="str">
        <f t="shared" si="202"/>
        <v/>
      </c>
      <c r="CZ99" s="32" t="str">
        <f t="shared" si="203"/>
        <v/>
      </c>
    </row>
    <row r="100" spans="1:104" ht="12.75" customHeight="1">
      <c r="A100" s="1">
        <v>3546120</v>
      </c>
      <c r="B100" s="1">
        <f t="shared" si="204"/>
        <v>180194</v>
      </c>
      <c r="C100" s="1">
        <v>180194</v>
      </c>
      <c r="D100" s="1">
        <f>VLOOKUP(C100,'2022 counts'!$A$6:$B$304,2,FALSE)</f>
        <v>180194</v>
      </c>
      <c r="E100" s="1">
        <v>180194</v>
      </c>
      <c r="F100" s="2" t="s">
        <v>136</v>
      </c>
      <c r="G100" s="156">
        <v>70</v>
      </c>
      <c r="H100" s="11">
        <v>5.9070472314</v>
      </c>
      <c r="I100" s="10" t="s">
        <v>66</v>
      </c>
      <c r="J100" s="10" t="s">
        <v>118</v>
      </c>
      <c r="K100" s="10" t="s">
        <v>728</v>
      </c>
      <c r="L100" s="157">
        <v>6</v>
      </c>
      <c r="M100" s="1">
        <f>'State of the System - Sumter Co'!K100</f>
        <v>6</v>
      </c>
      <c r="N100" s="1" t="str">
        <f>IF('State of the System - Sumter Co'!L100="URBAN","U","R")</f>
        <v>R</v>
      </c>
      <c r="O100" s="1" t="str">
        <f>IF('State of the System - Sumter Co'!M100="UNDIVIDED","U",IF('State of the System - Sumter Co'!M100="DIVIDED","D","F"))</f>
        <v>F</v>
      </c>
      <c r="P100" s="1" t="str">
        <f>'State of the System - Sumter Co'!N100</f>
        <v>FREEWAY</v>
      </c>
      <c r="Q100" s="1" t="str">
        <f t="shared" si="156"/>
        <v/>
      </c>
      <c r="R100" s="1" t="str">
        <f>'State of the System - Sumter Co'!O100</f>
        <v/>
      </c>
      <c r="S100" s="1" t="str">
        <f t="shared" ref="S100:S131" si="221">IF(N100="r","",IF(P100="interrupted",IF(G100&lt;37.5,"-2","-1"),"-x"))</f>
        <v/>
      </c>
      <c r="T100" s="1" t="str">
        <f t="shared" si="158"/>
        <v>R-6F</v>
      </c>
      <c r="U100" s="1" t="str">
        <f t="shared" si="211"/>
        <v>R-6F</v>
      </c>
      <c r="V100" s="1" t="s">
        <v>137</v>
      </c>
      <c r="W100" s="1" t="s">
        <v>76</v>
      </c>
      <c r="X100" s="1" t="s">
        <v>153</v>
      </c>
      <c r="Y100" s="1" t="str">
        <f>'State of the System - Sumter Co'!R100</f>
        <v>C</v>
      </c>
      <c r="Z100" s="157" t="str">
        <f t="shared" si="159"/>
        <v>NHS Interstate</v>
      </c>
      <c r="AA100" s="15">
        <f>VLOOKUP($T100,'2020_CapacityTable'!$B$49:$F$71,2)</f>
        <v>48900</v>
      </c>
      <c r="AB100" s="15">
        <f>VLOOKUP($T100,'2020_CapacityTable'!$B$49:$F$71,3)</f>
        <v>69000</v>
      </c>
      <c r="AC100" s="15">
        <f>VLOOKUP($T100,'2020_CapacityTable'!$B$49:$F$71,4)</f>
        <v>82600</v>
      </c>
      <c r="AD100" s="15">
        <f>VLOOKUP($T100,'2020_CapacityTable'!$B$49:$F$71,5)</f>
        <v>94800</v>
      </c>
      <c r="AE100" s="35" t="str">
        <f t="shared" si="219"/>
        <v/>
      </c>
      <c r="AF100" s="36" t="str">
        <f t="shared" si="160"/>
        <v/>
      </c>
      <c r="AG100" s="35" t="str">
        <f t="shared" si="220"/>
        <v/>
      </c>
      <c r="AH100" s="35" t="str">
        <f t="shared" si="210"/>
        <v/>
      </c>
      <c r="AI100" s="35"/>
      <c r="AJ100" s="36"/>
      <c r="AK100" s="15">
        <f t="shared" si="161"/>
        <v>48900</v>
      </c>
      <c r="AL100" s="15">
        <f t="shared" si="162"/>
        <v>69000</v>
      </c>
      <c r="AM100" s="15">
        <f t="shared" si="163"/>
        <v>82600</v>
      </c>
      <c r="AN100" s="15">
        <f t="shared" si="164"/>
        <v>94800</v>
      </c>
      <c r="AO100" s="3">
        <f t="shared" si="212"/>
        <v>69000</v>
      </c>
      <c r="AP100" s="138">
        <f>VLOOKUP($B100,'2022 counts'!$B$6:$R$304,17,FALSE)</f>
        <v>53464</v>
      </c>
      <c r="AQ100" s="11">
        <f t="shared" si="165"/>
        <v>0.77</v>
      </c>
      <c r="AR100" s="2" t="str">
        <f t="shared" si="166"/>
        <v>C</v>
      </c>
      <c r="AS100" s="26">
        <f t="shared" si="167"/>
        <v>115.27</v>
      </c>
      <c r="AT100" s="15">
        <f>VLOOKUP($T100,'2020_CapacityTable'!$B$23:$F$45,2)</f>
        <v>2820</v>
      </c>
      <c r="AU100" s="15">
        <f>VLOOKUP($T100,'2020_CapacityTable'!$B$23:$F$45,3)</f>
        <v>3990</v>
      </c>
      <c r="AV100" s="15">
        <f>VLOOKUP($T100,'2020_CapacityTable'!$B$23:$F$45,4)</f>
        <v>4770</v>
      </c>
      <c r="AW100" s="15">
        <f>VLOOKUP($T100,'2020_CapacityTable'!$B$23:$F$45,5)</f>
        <v>5470</v>
      </c>
      <c r="AX100" s="15">
        <f t="shared" si="168"/>
        <v>2820</v>
      </c>
      <c r="AY100" s="15">
        <f t="shared" si="169"/>
        <v>3990</v>
      </c>
      <c r="AZ100" s="15">
        <f t="shared" si="170"/>
        <v>4770</v>
      </c>
      <c r="BA100" s="15">
        <f t="shared" si="171"/>
        <v>5470</v>
      </c>
      <c r="BB100" s="3">
        <f t="shared" si="213"/>
        <v>3990</v>
      </c>
      <c r="BC100" s="138">
        <f>VLOOKUP($B100,'2022 counts'!$B$6:$AD$304,28,FALSE)</f>
        <v>2507.5</v>
      </c>
      <c r="BD100" s="138">
        <f>VLOOKUP($B100,'2022 counts'!$B$6:$AD$304,29,FALSE)</f>
        <v>2377.5</v>
      </c>
      <c r="BE100" s="11">
        <f t="shared" si="173"/>
        <v>0.63</v>
      </c>
      <c r="BF100" s="2" t="str">
        <f>IF(BE100="","",IF(MAX(BC100,BD100)&lt;=$AX100,"B",IF(MAX(BC100,BD100)&lt;=$AY100,"C",IF(MAX(BC100,BD100)&lt;=$AZ100,"D",IF(MAX(BC100,BD100)&lt;=$BA100,"E","F")))))</f>
        <v>B</v>
      </c>
      <c r="BG100" s="135">
        <v>0.01</v>
      </c>
      <c r="BH100" s="135">
        <f>IF($AQ100="","",VLOOKUP($B100, '2022 counts'!$B$6:$T$304,19,FALSE))</f>
        <v>1.2500000000000001E-2</v>
      </c>
      <c r="BI100" s="38">
        <f t="shared" si="175"/>
        <v>1.2500000000000001E-2</v>
      </c>
      <c r="BJ100" s="39" t="str">
        <f t="shared" si="176"/>
        <v>(1)</v>
      </c>
      <c r="BK100" s="15">
        <f>VLOOKUP($U100,'2020_CapacityTable'!$B$49:$F$71,2)</f>
        <v>48900</v>
      </c>
      <c r="BL100" s="15">
        <f>VLOOKUP($U100,'2020_CapacityTable'!$B$49:$F$71,3)</f>
        <v>69000</v>
      </c>
      <c r="BM100" s="15">
        <f>VLOOKUP($T100,'2020_CapacityTable'!$B$49:$F$71,4)</f>
        <v>82600</v>
      </c>
      <c r="BN100" s="15">
        <f>VLOOKUP($T100,'2020_CapacityTable'!$B$49:$F$71,5)</f>
        <v>94800</v>
      </c>
      <c r="BO100" s="15">
        <f t="shared" si="177"/>
        <v>48900</v>
      </c>
      <c r="BP100" s="15">
        <f t="shared" si="178"/>
        <v>69000</v>
      </c>
      <c r="BQ100" s="15">
        <f t="shared" si="179"/>
        <v>82600</v>
      </c>
      <c r="BR100" s="15">
        <f t="shared" si="180"/>
        <v>94800</v>
      </c>
      <c r="BS100" s="3">
        <f t="shared" si="214"/>
        <v>69000</v>
      </c>
      <c r="BT100" s="40">
        <f>'State of the System - Sumter Co'!AD100</f>
        <v>56890</v>
      </c>
      <c r="BU100" s="41">
        <f t="shared" si="182"/>
        <v>0.82</v>
      </c>
      <c r="BV100" s="2" t="str">
        <f t="shared" si="183"/>
        <v>C</v>
      </c>
      <c r="BW100" s="2">
        <f t="shared" si="184"/>
        <v>122.66</v>
      </c>
      <c r="BX100" s="15">
        <f>VLOOKUP($U100,'2020_CapacityTable'!$B$23:$F$45,2)</f>
        <v>2820</v>
      </c>
      <c r="BY100" s="15">
        <f>VLOOKUP($U100,'2020_CapacityTable'!$B$23:$F$45,3)</f>
        <v>3990</v>
      </c>
      <c r="BZ100" s="15">
        <f>VLOOKUP($U100,'2020_CapacityTable'!$B$23:$F$45,4)</f>
        <v>4770</v>
      </c>
      <c r="CA100" s="15">
        <f>VLOOKUP($U100,'2020_CapacityTable'!$B$23:$F$45,5)</f>
        <v>5470</v>
      </c>
      <c r="CB100" s="15">
        <f t="shared" si="185"/>
        <v>2820</v>
      </c>
      <c r="CC100" s="15">
        <f t="shared" si="186"/>
        <v>3990</v>
      </c>
      <c r="CD100" s="15">
        <f t="shared" si="187"/>
        <v>4770</v>
      </c>
      <c r="CE100" s="15">
        <f t="shared" si="188"/>
        <v>5470</v>
      </c>
      <c r="CF100" s="3">
        <f t="shared" si="215"/>
        <v>3990</v>
      </c>
      <c r="CG100" s="2">
        <f>'State of the System - Sumter Co'!AH100</f>
        <v>2668</v>
      </c>
      <c r="CH100" s="2">
        <f>'State of the System - Sumter Co'!AI100</f>
        <v>2530</v>
      </c>
      <c r="CI100" s="11">
        <f t="shared" si="190"/>
        <v>0.67</v>
      </c>
      <c r="CJ100" s="2" t="str">
        <f t="shared" si="216"/>
        <v>B</v>
      </c>
      <c r="CK100" s="3">
        <f t="shared" si="192"/>
        <v>102384</v>
      </c>
      <c r="CL100" s="11">
        <f t="shared" si="193"/>
        <v>0.56000000000000005</v>
      </c>
      <c r="CM100" s="11" t="str">
        <f t="shared" si="194"/>
        <v>NOT CONGESTED</v>
      </c>
      <c r="CN100" s="3">
        <f t="shared" si="195"/>
        <v>5908</v>
      </c>
      <c r="CO100" s="11">
        <f t="shared" si="196"/>
        <v>0.45</v>
      </c>
      <c r="CP100" s="156" t="str">
        <f t="shared" si="217"/>
        <v>NOT CONGESTED</v>
      </c>
      <c r="CQ100" s="3" t="s">
        <v>558</v>
      </c>
      <c r="CR100" s="3"/>
      <c r="CS100" s="11" t="str">
        <f t="shared" si="198"/>
        <v/>
      </c>
      <c r="CT100" s="11" t="str">
        <f t="shared" si="218"/>
        <v/>
      </c>
      <c r="CU100" s="11" t="str">
        <f t="shared" si="200"/>
        <v/>
      </c>
      <c r="CV100" s="11" t="str">
        <f t="shared" si="201"/>
        <v/>
      </c>
      <c r="CW100" s="3"/>
      <c r="CX100" s="1" t="s">
        <v>585</v>
      </c>
      <c r="CY100" s="145" t="str">
        <f t="shared" si="202"/>
        <v/>
      </c>
      <c r="CZ100" s="32" t="str">
        <f t="shared" si="203"/>
        <v/>
      </c>
    </row>
    <row r="101" spans="1:104" ht="12.75" customHeight="1">
      <c r="A101" s="1">
        <v>3546130</v>
      </c>
      <c r="B101" s="1">
        <f t="shared" si="204"/>
        <v>180358</v>
      </c>
      <c r="C101" s="1">
        <v>180358</v>
      </c>
      <c r="D101" s="1">
        <f>VLOOKUP(C101,'2022 counts'!$A$6:$B$304,2,FALSE)</f>
        <v>180358</v>
      </c>
      <c r="E101" s="1">
        <v>180358</v>
      </c>
      <c r="F101" s="2" t="s">
        <v>136</v>
      </c>
      <c r="G101" s="156">
        <v>70</v>
      </c>
      <c r="H101" s="11">
        <v>6.43221063895</v>
      </c>
      <c r="I101" s="10" t="s">
        <v>66</v>
      </c>
      <c r="J101" s="10" t="s">
        <v>717</v>
      </c>
      <c r="K101" s="10" t="s">
        <v>742</v>
      </c>
      <c r="L101" s="157">
        <v>6</v>
      </c>
      <c r="M101" s="1">
        <f>'State of the System - Sumter Co'!K101</f>
        <v>6</v>
      </c>
      <c r="N101" s="1" t="str">
        <f>IF('State of the System - Sumter Co'!L101="URBAN","U","R")</f>
        <v>R</v>
      </c>
      <c r="O101" s="1" t="str">
        <f>IF('State of the System - Sumter Co'!M101="UNDIVIDED","U",IF('State of the System - Sumter Co'!M101="DIVIDED","D","F"))</f>
        <v>F</v>
      </c>
      <c r="P101" s="1" t="str">
        <f>'State of the System - Sumter Co'!N101</f>
        <v>FREEWAY</v>
      </c>
      <c r="Q101" s="1" t="str">
        <f t="shared" si="156"/>
        <v/>
      </c>
      <c r="R101" s="1" t="str">
        <f>'State of the System - Sumter Co'!O101</f>
        <v/>
      </c>
      <c r="S101" s="1" t="str">
        <f t="shared" si="221"/>
        <v/>
      </c>
      <c r="T101" s="1" t="str">
        <f t="shared" si="158"/>
        <v>R-6F</v>
      </c>
      <c r="U101" s="1" t="str">
        <f t="shared" si="211"/>
        <v>R-6F</v>
      </c>
      <c r="V101" s="1" t="s">
        <v>137</v>
      </c>
      <c r="W101" s="1" t="s">
        <v>76</v>
      </c>
      <c r="X101" s="1" t="s">
        <v>153</v>
      </c>
      <c r="Y101" s="1" t="str">
        <f>'State of the System - Sumter Co'!R101</f>
        <v>C</v>
      </c>
      <c r="Z101" s="157" t="str">
        <f t="shared" si="159"/>
        <v>NHS Interstate</v>
      </c>
      <c r="AA101" s="15">
        <f>VLOOKUP($T101,'2020_CapacityTable'!$B$49:$F$71,2)</f>
        <v>48900</v>
      </c>
      <c r="AB101" s="15">
        <f>VLOOKUP($T101,'2020_CapacityTable'!$B$49:$F$71,3)</f>
        <v>69000</v>
      </c>
      <c r="AC101" s="15">
        <f>VLOOKUP($T101,'2020_CapacityTable'!$B$49:$F$71,4)</f>
        <v>82600</v>
      </c>
      <c r="AD101" s="15">
        <f>VLOOKUP($T101,'2020_CapacityTable'!$B$49:$F$71,5)</f>
        <v>94800</v>
      </c>
      <c r="AE101" s="35" t="str">
        <f t="shared" si="219"/>
        <v/>
      </c>
      <c r="AF101" s="36" t="str">
        <f t="shared" si="160"/>
        <v/>
      </c>
      <c r="AG101" s="35" t="str">
        <f t="shared" si="220"/>
        <v/>
      </c>
      <c r="AH101" s="35" t="str">
        <f t="shared" si="210"/>
        <v/>
      </c>
      <c r="AI101" s="35"/>
      <c r="AJ101" s="36"/>
      <c r="AK101" s="15">
        <f t="shared" si="161"/>
        <v>48900</v>
      </c>
      <c r="AL101" s="15">
        <f t="shared" si="162"/>
        <v>69000</v>
      </c>
      <c r="AM101" s="15">
        <f t="shared" si="163"/>
        <v>82600</v>
      </c>
      <c r="AN101" s="15">
        <f t="shared" si="164"/>
        <v>94800</v>
      </c>
      <c r="AO101" s="3">
        <f t="shared" si="212"/>
        <v>69000</v>
      </c>
      <c r="AP101" s="138">
        <f>VLOOKUP($B101,'2022 counts'!$B$6:$R$304,17,FALSE)</f>
        <v>55771.499999999534</v>
      </c>
      <c r="AQ101" s="11">
        <f t="shared" si="165"/>
        <v>0.81</v>
      </c>
      <c r="AR101" s="2" t="str">
        <f t="shared" si="166"/>
        <v>C</v>
      </c>
      <c r="AS101" s="26">
        <f t="shared" si="167"/>
        <v>130.94</v>
      </c>
      <c r="AT101" s="15">
        <f>VLOOKUP($T101,'2020_CapacityTable'!$B$23:$F$45,2)</f>
        <v>2820</v>
      </c>
      <c r="AU101" s="15">
        <f>VLOOKUP($T101,'2020_CapacityTable'!$B$23:$F$45,3)</f>
        <v>3990</v>
      </c>
      <c r="AV101" s="15">
        <f>VLOOKUP($T101,'2020_CapacityTable'!$B$23:$F$45,4)</f>
        <v>4770</v>
      </c>
      <c r="AW101" s="15">
        <f>VLOOKUP($T101,'2020_CapacityTable'!$B$23:$F$45,5)</f>
        <v>5470</v>
      </c>
      <c r="AX101" s="15">
        <f t="shared" si="168"/>
        <v>2820</v>
      </c>
      <c r="AY101" s="15">
        <f t="shared" si="169"/>
        <v>3990</v>
      </c>
      <c r="AZ101" s="15">
        <f t="shared" si="170"/>
        <v>4770</v>
      </c>
      <c r="BA101" s="15">
        <f t="shared" si="171"/>
        <v>5470</v>
      </c>
      <c r="BB101" s="3">
        <f t="shared" si="213"/>
        <v>3990</v>
      </c>
      <c r="BC101" s="138">
        <f>VLOOKUP($B101,'2022 counts'!$B$6:$AD$304,28,FALSE)</f>
        <v>3145</v>
      </c>
      <c r="BD101" s="138">
        <f>VLOOKUP($B101,'2022 counts'!$B$6:$AD$304,29,FALSE)</f>
        <v>2711</v>
      </c>
      <c r="BE101" s="11">
        <f t="shared" si="173"/>
        <v>0.79</v>
      </c>
      <c r="BF101" s="2" t="str">
        <f t="shared" si="174"/>
        <v>C</v>
      </c>
      <c r="BG101" s="135">
        <v>2.75E-2</v>
      </c>
      <c r="BH101" s="135">
        <f>IF($AQ101="","",VLOOKUP($B101, '2022 counts'!$B$6:$T$304,19,FALSE))</f>
        <v>2.75E-2</v>
      </c>
      <c r="BI101" s="38">
        <f t="shared" si="175"/>
        <v>2.75E-2</v>
      </c>
      <c r="BJ101" s="39" t="str">
        <f t="shared" si="176"/>
        <v/>
      </c>
      <c r="BK101" s="15">
        <f>VLOOKUP($U101,'2020_CapacityTable'!$B$49:$F$71,2)</f>
        <v>48900</v>
      </c>
      <c r="BL101" s="15">
        <f>VLOOKUP($U101,'2020_CapacityTable'!$B$49:$F$71,3)</f>
        <v>69000</v>
      </c>
      <c r="BM101" s="15">
        <f>VLOOKUP($T101,'2020_CapacityTable'!$B$49:$F$71,4)</f>
        <v>82600</v>
      </c>
      <c r="BN101" s="15">
        <f>VLOOKUP($T101,'2020_CapacityTable'!$B$49:$F$71,5)</f>
        <v>94800</v>
      </c>
      <c r="BO101" s="15">
        <f t="shared" si="177"/>
        <v>48900</v>
      </c>
      <c r="BP101" s="15">
        <f t="shared" si="178"/>
        <v>69000</v>
      </c>
      <c r="BQ101" s="15">
        <f t="shared" si="179"/>
        <v>82600</v>
      </c>
      <c r="BR101" s="15">
        <f t="shared" si="180"/>
        <v>94800</v>
      </c>
      <c r="BS101" s="3">
        <f t="shared" si="214"/>
        <v>69000</v>
      </c>
      <c r="BT101" s="40">
        <f>'State of the System - Sumter Co'!AD101</f>
        <v>63874</v>
      </c>
      <c r="BU101" s="41">
        <f t="shared" si="182"/>
        <v>0.93</v>
      </c>
      <c r="BV101" s="2" t="str">
        <f t="shared" si="183"/>
        <v>C</v>
      </c>
      <c r="BW101" s="2">
        <f t="shared" si="184"/>
        <v>149.96</v>
      </c>
      <c r="BX101" s="15">
        <f>VLOOKUP($U101,'2020_CapacityTable'!$B$23:$F$45,2)</f>
        <v>2820</v>
      </c>
      <c r="BY101" s="15">
        <f>VLOOKUP($U101,'2020_CapacityTable'!$B$23:$F$45,3)</f>
        <v>3990</v>
      </c>
      <c r="BZ101" s="15">
        <f>VLOOKUP($U101,'2020_CapacityTable'!$B$23:$F$45,4)</f>
        <v>4770</v>
      </c>
      <c r="CA101" s="15">
        <f>VLOOKUP($U101,'2020_CapacityTable'!$B$23:$F$45,5)</f>
        <v>5470</v>
      </c>
      <c r="CB101" s="15">
        <f t="shared" si="185"/>
        <v>2820</v>
      </c>
      <c r="CC101" s="15">
        <f t="shared" si="186"/>
        <v>3990</v>
      </c>
      <c r="CD101" s="15">
        <f t="shared" si="187"/>
        <v>4770</v>
      </c>
      <c r="CE101" s="15">
        <f t="shared" si="188"/>
        <v>5470</v>
      </c>
      <c r="CF101" s="3">
        <f t="shared" si="215"/>
        <v>3990</v>
      </c>
      <c r="CG101" s="2">
        <f>'State of the System - Sumter Co'!AH101</f>
        <v>3602</v>
      </c>
      <c r="CH101" s="2">
        <f>'State of the System - Sumter Co'!AI101</f>
        <v>3105</v>
      </c>
      <c r="CI101" s="11">
        <f t="shared" si="190"/>
        <v>0.9</v>
      </c>
      <c r="CJ101" s="2" t="str">
        <f t="shared" si="216"/>
        <v>C</v>
      </c>
      <c r="CK101" s="3">
        <f t="shared" si="192"/>
        <v>102384</v>
      </c>
      <c r="CL101" s="11">
        <f t="shared" si="193"/>
        <v>0.62</v>
      </c>
      <c r="CM101" s="11" t="str">
        <f t="shared" si="194"/>
        <v>APPROACHING CONGESTION</v>
      </c>
      <c r="CN101" s="3">
        <f t="shared" si="195"/>
        <v>5908</v>
      </c>
      <c r="CO101" s="11">
        <f t="shared" si="196"/>
        <v>0.61</v>
      </c>
      <c r="CP101" s="156" t="str">
        <f t="shared" si="217"/>
        <v>APPROACHING CONGESTION</v>
      </c>
      <c r="CQ101" s="2"/>
      <c r="CR101" s="42"/>
      <c r="CS101" s="11" t="str">
        <f t="shared" si="198"/>
        <v/>
      </c>
      <c r="CT101" s="11" t="str">
        <f t="shared" si="218"/>
        <v/>
      </c>
      <c r="CU101" s="11" t="str">
        <f t="shared" si="200"/>
        <v/>
      </c>
      <c r="CV101" s="11" t="str">
        <f t="shared" si="201"/>
        <v/>
      </c>
      <c r="CW101" s="3"/>
      <c r="CX101" s="1" t="s">
        <v>585</v>
      </c>
      <c r="CY101" s="145" t="str">
        <f t="shared" si="202"/>
        <v/>
      </c>
      <c r="CZ101" s="32" t="str">
        <f t="shared" si="203"/>
        <v/>
      </c>
    </row>
    <row r="102" spans="1:104" ht="12.75" customHeight="1">
      <c r="A102" s="1">
        <v>3546140</v>
      </c>
      <c r="B102" s="1">
        <f t="shared" si="204"/>
        <v>189920</v>
      </c>
      <c r="C102" s="1">
        <v>189920</v>
      </c>
      <c r="D102" s="1">
        <f>VLOOKUP(C102,'2022 counts'!$A$6:$B$304,2,FALSE)</f>
        <v>189920</v>
      </c>
      <c r="E102" s="1">
        <v>189920</v>
      </c>
      <c r="F102" s="2" t="s">
        <v>136</v>
      </c>
      <c r="G102" s="156">
        <v>70</v>
      </c>
      <c r="H102" s="11">
        <v>7.7112058705199997</v>
      </c>
      <c r="I102" s="10" t="s">
        <v>66</v>
      </c>
      <c r="J102" s="10" t="s">
        <v>742</v>
      </c>
      <c r="K102" s="10" t="s">
        <v>152</v>
      </c>
      <c r="L102" s="157">
        <v>6</v>
      </c>
      <c r="M102" s="1">
        <f>'State of the System - Sumter Co'!K102</f>
        <v>6</v>
      </c>
      <c r="N102" s="1" t="str">
        <f>IF('State of the System - Sumter Co'!L102="URBAN","U","R")</f>
        <v>R</v>
      </c>
      <c r="O102" s="1" t="str">
        <f>IF('State of the System - Sumter Co'!M102="UNDIVIDED","U",IF('State of the System - Sumter Co'!M102="DIVIDED","D","F"))</f>
        <v>F</v>
      </c>
      <c r="P102" s="1" t="str">
        <f>'State of the System - Sumter Co'!N102</f>
        <v>FREEWAY</v>
      </c>
      <c r="Q102" s="1" t="str">
        <f t="shared" si="156"/>
        <v/>
      </c>
      <c r="R102" s="1" t="str">
        <f>'State of the System - Sumter Co'!O102</f>
        <v/>
      </c>
      <c r="S102" s="1" t="str">
        <f t="shared" si="221"/>
        <v/>
      </c>
      <c r="T102" s="1" t="str">
        <f t="shared" si="158"/>
        <v>R-6F</v>
      </c>
      <c r="U102" s="1" t="str">
        <f t="shared" si="211"/>
        <v>R-6F</v>
      </c>
      <c r="V102" s="1" t="s">
        <v>137</v>
      </c>
      <c r="W102" s="1" t="s">
        <v>11</v>
      </c>
      <c r="X102" s="1" t="s">
        <v>153</v>
      </c>
      <c r="Y102" s="1" t="str">
        <f>'State of the System - Sumter Co'!R102</f>
        <v>C</v>
      </c>
      <c r="Z102" s="157" t="str">
        <f t="shared" si="159"/>
        <v>NHS Interstate</v>
      </c>
      <c r="AA102" s="15">
        <f>VLOOKUP($T102,'2020_CapacityTable'!$B$49:$F$71,2)</f>
        <v>48900</v>
      </c>
      <c r="AB102" s="15">
        <f>VLOOKUP($T102,'2020_CapacityTable'!$B$49:$F$71,3)</f>
        <v>69000</v>
      </c>
      <c r="AC102" s="15">
        <f>VLOOKUP($T102,'2020_CapacityTable'!$B$49:$F$71,4)</f>
        <v>82600</v>
      </c>
      <c r="AD102" s="15">
        <f>VLOOKUP($T102,'2020_CapacityTable'!$B$49:$F$71,5)</f>
        <v>94800</v>
      </c>
      <c r="AE102" s="35" t="str">
        <f t="shared" si="219"/>
        <v/>
      </c>
      <c r="AF102" s="36" t="str">
        <f t="shared" si="160"/>
        <v/>
      </c>
      <c r="AG102" s="35" t="str">
        <f t="shared" si="220"/>
        <v/>
      </c>
      <c r="AH102" s="35" t="str">
        <f t="shared" si="210"/>
        <v/>
      </c>
      <c r="AI102" s="35"/>
      <c r="AJ102" s="36"/>
      <c r="AK102" s="15">
        <f t="shared" si="161"/>
        <v>48900</v>
      </c>
      <c r="AL102" s="15">
        <f t="shared" si="162"/>
        <v>69000</v>
      </c>
      <c r="AM102" s="15">
        <f t="shared" si="163"/>
        <v>82600</v>
      </c>
      <c r="AN102" s="15">
        <f t="shared" si="164"/>
        <v>94800</v>
      </c>
      <c r="AO102" s="3">
        <f t="shared" si="212"/>
        <v>69000</v>
      </c>
      <c r="AP102" s="138">
        <f>VLOOKUP($B102,'2022 counts'!$B$6:$R$304,17,FALSE)</f>
        <v>54358.700000000186</v>
      </c>
      <c r="AQ102" s="11">
        <f t="shared" si="165"/>
        <v>0.79</v>
      </c>
      <c r="AR102" s="2" t="str">
        <f t="shared" si="166"/>
        <v>C</v>
      </c>
      <c r="AS102" s="26">
        <f t="shared" si="167"/>
        <v>153</v>
      </c>
      <c r="AT102" s="15">
        <f>VLOOKUP($T102,'2020_CapacityTable'!$B$23:$F$45,2)</f>
        <v>2820</v>
      </c>
      <c r="AU102" s="15">
        <f>VLOOKUP($T102,'2020_CapacityTable'!$B$23:$F$45,3)</f>
        <v>3990</v>
      </c>
      <c r="AV102" s="15">
        <f>VLOOKUP($T102,'2020_CapacityTable'!$B$23:$F$45,4)</f>
        <v>4770</v>
      </c>
      <c r="AW102" s="15">
        <f>VLOOKUP($T102,'2020_CapacityTable'!$B$23:$F$45,5)</f>
        <v>5470</v>
      </c>
      <c r="AX102" s="15">
        <f t="shared" si="168"/>
        <v>2820</v>
      </c>
      <c r="AY102" s="15">
        <f t="shared" si="169"/>
        <v>3990</v>
      </c>
      <c r="AZ102" s="15">
        <f t="shared" si="170"/>
        <v>4770</v>
      </c>
      <c r="BA102" s="15">
        <f t="shared" si="171"/>
        <v>5470</v>
      </c>
      <c r="BB102" s="3">
        <f t="shared" si="213"/>
        <v>3990</v>
      </c>
      <c r="BC102" s="138">
        <f>VLOOKUP($B102,'2022 counts'!$B$6:$AD$304,28,FALSE)</f>
        <v>3054</v>
      </c>
      <c r="BD102" s="138">
        <f>VLOOKUP($B102,'2022 counts'!$B$6:$AD$304,29,FALSE)</f>
        <v>2654</v>
      </c>
      <c r="BE102" s="11">
        <f t="shared" si="173"/>
        <v>0.77</v>
      </c>
      <c r="BF102" s="2" t="str">
        <f t="shared" si="174"/>
        <v>C</v>
      </c>
      <c r="BG102" s="135">
        <v>5.0000000000000001E-3</v>
      </c>
      <c r="BH102" s="135">
        <f>IF($AQ102="","",VLOOKUP($B102, '2022 counts'!$B$6:$T$304,19,FALSE))</f>
        <v>5.0000000000000001E-3</v>
      </c>
      <c r="BI102" s="38">
        <f t="shared" si="175"/>
        <v>0.01</v>
      </c>
      <c r="BJ102" s="39" t="str">
        <f t="shared" si="176"/>
        <v>minimum</v>
      </c>
      <c r="BK102" s="15">
        <f>VLOOKUP($U102,'2020_CapacityTable'!$B$49:$F$71,2)</f>
        <v>48900</v>
      </c>
      <c r="BL102" s="15">
        <f>VLOOKUP($U102,'2020_CapacityTable'!$B$49:$F$71,3)</f>
        <v>69000</v>
      </c>
      <c r="BM102" s="15">
        <f>VLOOKUP($T102,'2020_CapacityTable'!$B$49:$F$71,4)</f>
        <v>82600</v>
      </c>
      <c r="BN102" s="15">
        <f>VLOOKUP($T102,'2020_CapacityTable'!$B$49:$F$71,5)</f>
        <v>94800</v>
      </c>
      <c r="BO102" s="15">
        <f t="shared" si="177"/>
        <v>48900</v>
      </c>
      <c r="BP102" s="15">
        <f t="shared" si="178"/>
        <v>69000</v>
      </c>
      <c r="BQ102" s="15">
        <f t="shared" si="179"/>
        <v>82600</v>
      </c>
      <c r="BR102" s="15">
        <f t="shared" si="180"/>
        <v>94800</v>
      </c>
      <c r="BS102" s="3">
        <f t="shared" si="214"/>
        <v>69000</v>
      </c>
      <c r="BT102" s="40">
        <f>'State of the System - Sumter Co'!AD102</f>
        <v>57132</v>
      </c>
      <c r="BU102" s="41">
        <f t="shared" si="182"/>
        <v>0.83</v>
      </c>
      <c r="BV102" s="2" t="str">
        <f t="shared" si="183"/>
        <v>C</v>
      </c>
      <c r="BW102" s="2">
        <f t="shared" si="184"/>
        <v>160.80000000000001</v>
      </c>
      <c r="BX102" s="15">
        <f>VLOOKUP($U102,'2020_CapacityTable'!$B$23:$F$45,2)</f>
        <v>2820</v>
      </c>
      <c r="BY102" s="15">
        <f>VLOOKUP($U102,'2020_CapacityTable'!$B$23:$F$45,3)</f>
        <v>3990</v>
      </c>
      <c r="BZ102" s="15">
        <f>VLOOKUP($U102,'2020_CapacityTable'!$B$23:$F$45,4)</f>
        <v>4770</v>
      </c>
      <c r="CA102" s="15">
        <f>VLOOKUP($U102,'2020_CapacityTable'!$B$23:$F$45,5)</f>
        <v>5470</v>
      </c>
      <c r="CB102" s="15">
        <f t="shared" si="185"/>
        <v>2820</v>
      </c>
      <c r="CC102" s="15">
        <f t="shared" si="186"/>
        <v>3990</v>
      </c>
      <c r="CD102" s="15">
        <f t="shared" si="187"/>
        <v>4770</v>
      </c>
      <c r="CE102" s="15">
        <f t="shared" si="188"/>
        <v>5470</v>
      </c>
      <c r="CF102" s="3">
        <f t="shared" si="215"/>
        <v>3990</v>
      </c>
      <c r="CG102" s="2">
        <f>'State of the System - Sumter Co'!AH102</f>
        <v>3210</v>
      </c>
      <c r="CH102" s="2">
        <f>'State of the System - Sumter Co'!AI102</f>
        <v>2789</v>
      </c>
      <c r="CI102" s="11">
        <f t="shared" si="190"/>
        <v>0.8</v>
      </c>
      <c r="CJ102" s="2" t="str">
        <f t="shared" si="216"/>
        <v>C</v>
      </c>
      <c r="CK102" s="3">
        <f t="shared" si="192"/>
        <v>102384</v>
      </c>
      <c r="CL102" s="11">
        <f t="shared" si="193"/>
        <v>0.56000000000000005</v>
      </c>
      <c r="CM102" s="11" t="str">
        <f t="shared" si="194"/>
        <v>NOT CONGESTED</v>
      </c>
      <c r="CN102" s="3">
        <f t="shared" si="195"/>
        <v>5908</v>
      </c>
      <c r="CO102" s="11">
        <f t="shared" si="196"/>
        <v>0.54</v>
      </c>
      <c r="CP102" s="156" t="str">
        <f t="shared" si="217"/>
        <v>NOT CONGESTED</v>
      </c>
      <c r="CQ102" s="3" t="s">
        <v>558</v>
      </c>
      <c r="CR102" s="3"/>
      <c r="CS102" s="11" t="str">
        <f t="shared" si="198"/>
        <v/>
      </c>
      <c r="CT102" s="11" t="str">
        <f t="shared" si="218"/>
        <v/>
      </c>
      <c r="CU102" s="11" t="str">
        <f t="shared" si="200"/>
        <v/>
      </c>
      <c r="CV102" s="11" t="str">
        <f t="shared" si="201"/>
        <v/>
      </c>
      <c r="CW102" s="3"/>
      <c r="CX102" s="1" t="s">
        <v>585</v>
      </c>
      <c r="CY102" s="145" t="str">
        <f t="shared" si="202"/>
        <v/>
      </c>
      <c r="CZ102" s="32" t="str">
        <f t="shared" si="203"/>
        <v/>
      </c>
    </row>
    <row r="103" spans="1:104" ht="12.75" customHeight="1">
      <c r="A103" s="1">
        <v>3546150</v>
      </c>
      <c r="B103" s="1">
        <f t="shared" si="204"/>
        <v>180186</v>
      </c>
      <c r="C103" s="1">
        <v>180186</v>
      </c>
      <c r="D103" s="1">
        <f>VLOOKUP(C103,'2022 counts'!$A$6:$B$304,2,FALSE)</f>
        <v>180186</v>
      </c>
      <c r="E103" s="1">
        <v>180186</v>
      </c>
      <c r="F103" s="2" t="s">
        <v>136</v>
      </c>
      <c r="G103" s="156">
        <v>70</v>
      </c>
      <c r="H103" s="11">
        <v>0.81839821898099996</v>
      </c>
      <c r="I103" s="10" t="s">
        <v>66</v>
      </c>
      <c r="J103" s="10" t="s">
        <v>152</v>
      </c>
      <c r="K103" s="10" t="s">
        <v>23</v>
      </c>
      <c r="L103" s="157">
        <v>6</v>
      </c>
      <c r="M103" s="1">
        <f>'State of the System - Sumter Co'!K103</f>
        <v>6</v>
      </c>
      <c r="N103" s="1" t="str">
        <f>IF('State of the System - Sumter Co'!L103="URBAN","U","R")</f>
        <v>R</v>
      </c>
      <c r="O103" s="1" t="str">
        <f>IF('State of the System - Sumter Co'!M103="UNDIVIDED","U",IF('State of the System - Sumter Co'!M103="DIVIDED","D","F"))</f>
        <v>F</v>
      </c>
      <c r="P103" s="1" t="str">
        <f>'State of the System - Sumter Co'!N103</f>
        <v>FREEWAY</v>
      </c>
      <c r="Q103" s="1" t="str">
        <f t="shared" si="156"/>
        <v/>
      </c>
      <c r="R103" s="1" t="str">
        <f>'State of the System - Sumter Co'!O103</f>
        <v/>
      </c>
      <c r="S103" s="1" t="str">
        <f t="shared" si="221"/>
        <v/>
      </c>
      <c r="T103" s="1" t="str">
        <f t="shared" si="158"/>
        <v>R-6F</v>
      </c>
      <c r="U103" s="1" t="str">
        <f t="shared" si="211"/>
        <v>R-6F</v>
      </c>
      <c r="V103" s="1" t="s">
        <v>137</v>
      </c>
      <c r="W103" s="1" t="s">
        <v>11</v>
      </c>
      <c r="X103" s="1" t="s">
        <v>153</v>
      </c>
      <c r="Y103" s="1" t="str">
        <f>'State of the System - Sumter Co'!R103</f>
        <v>C</v>
      </c>
      <c r="Z103" s="157" t="str">
        <f t="shared" si="159"/>
        <v>NHS Interstate</v>
      </c>
      <c r="AA103" s="15">
        <f>VLOOKUP($T103,'2020_CapacityTable'!$B$49:$F$71,2)</f>
        <v>48900</v>
      </c>
      <c r="AB103" s="15">
        <f>VLOOKUP($T103,'2020_CapacityTable'!$B$49:$F$71,3)</f>
        <v>69000</v>
      </c>
      <c r="AC103" s="15">
        <f>VLOOKUP($T103,'2020_CapacityTable'!$B$49:$F$71,4)</f>
        <v>82600</v>
      </c>
      <c r="AD103" s="15">
        <f>VLOOKUP($T103,'2020_CapacityTable'!$B$49:$F$71,5)</f>
        <v>94800</v>
      </c>
      <c r="AE103" s="35" t="str">
        <f t="shared" si="219"/>
        <v/>
      </c>
      <c r="AF103" s="36" t="str">
        <f t="shared" si="160"/>
        <v/>
      </c>
      <c r="AG103" s="35" t="str">
        <f t="shared" si="220"/>
        <v/>
      </c>
      <c r="AH103" s="35" t="str">
        <f t="shared" si="210"/>
        <v/>
      </c>
      <c r="AI103" s="35"/>
      <c r="AJ103" s="36"/>
      <c r="AK103" s="15">
        <f t="shared" si="161"/>
        <v>48900</v>
      </c>
      <c r="AL103" s="15">
        <f t="shared" si="162"/>
        <v>69000</v>
      </c>
      <c r="AM103" s="15">
        <f t="shared" si="163"/>
        <v>82600</v>
      </c>
      <c r="AN103" s="15">
        <f t="shared" si="164"/>
        <v>94800</v>
      </c>
      <c r="AO103" s="3">
        <f t="shared" si="212"/>
        <v>69000</v>
      </c>
      <c r="AP103" s="138">
        <f>VLOOKUP($B103,'2022 counts'!$B$6:$R$304,17,FALSE)</f>
        <v>91014.28571428638</v>
      </c>
      <c r="AQ103" s="11">
        <f t="shared" si="165"/>
        <v>1.32</v>
      </c>
      <c r="AR103" s="2" t="str">
        <f t="shared" si="166"/>
        <v>E</v>
      </c>
      <c r="AS103" s="26">
        <f t="shared" si="167"/>
        <v>27.19</v>
      </c>
      <c r="AT103" s="15">
        <f>VLOOKUP($T103,'2020_CapacityTable'!$B$23:$F$45,2)</f>
        <v>2820</v>
      </c>
      <c r="AU103" s="15">
        <f>VLOOKUP($T103,'2020_CapacityTable'!$B$23:$F$45,3)</f>
        <v>3990</v>
      </c>
      <c r="AV103" s="15">
        <f>VLOOKUP($T103,'2020_CapacityTable'!$B$23:$F$45,4)</f>
        <v>4770</v>
      </c>
      <c r="AW103" s="15">
        <f>VLOOKUP($T103,'2020_CapacityTable'!$B$23:$F$45,5)</f>
        <v>5470</v>
      </c>
      <c r="AX103" s="15">
        <f t="shared" si="168"/>
        <v>2820</v>
      </c>
      <c r="AY103" s="15">
        <f t="shared" si="169"/>
        <v>3990</v>
      </c>
      <c r="AZ103" s="15">
        <f t="shared" si="170"/>
        <v>4770</v>
      </c>
      <c r="BA103" s="15">
        <f t="shared" si="171"/>
        <v>5470</v>
      </c>
      <c r="BB103" s="3">
        <f t="shared" si="213"/>
        <v>3990</v>
      </c>
      <c r="BC103" s="138">
        <f>VLOOKUP($B103,'2022 counts'!$B$6:$AD$304,28,FALSE)</f>
        <v>5122</v>
      </c>
      <c r="BD103" s="138">
        <f>VLOOKUP($B103,'2022 counts'!$B$6:$AD$304,29,FALSE)</f>
        <v>4434</v>
      </c>
      <c r="BE103" s="11">
        <f t="shared" si="173"/>
        <v>1.28</v>
      </c>
      <c r="BF103" s="2" t="str">
        <f t="shared" si="174"/>
        <v>E</v>
      </c>
      <c r="BG103" s="135">
        <v>0.03</v>
      </c>
      <c r="BH103" s="135">
        <f>IF($AQ103="","",VLOOKUP($B103, '2022 counts'!$B$6:$T$304,19,FALSE))</f>
        <v>5.0000000000000001E-3</v>
      </c>
      <c r="BI103" s="38">
        <f t="shared" si="175"/>
        <v>0.01</v>
      </c>
      <c r="BJ103" s="39" t="str">
        <f t="shared" si="176"/>
        <v>minimum, (1)</v>
      </c>
      <c r="BK103" s="15">
        <f>VLOOKUP($U103,'2020_CapacityTable'!$B$49:$F$71,2)</f>
        <v>48900</v>
      </c>
      <c r="BL103" s="15">
        <f>VLOOKUP($U103,'2020_CapacityTable'!$B$49:$F$71,3)</f>
        <v>69000</v>
      </c>
      <c r="BM103" s="15">
        <f>VLOOKUP($T103,'2020_CapacityTable'!$B$49:$F$71,4)</f>
        <v>82600</v>
      </c>
      <c r="BN103" s="15">
        <f>VLOOKUP($T103,'2020_CapacityTable'!$B$49:$F$71,5)</f>
        <v>94800</v>
      </c>
      <c r="BO103" s="15">
        <f t="shared" si="177"/>
        <v>48900</v>
      </c>
      <c r="BP103" s="15">
        <f t="shared" si="178"/>
        <v>69000</v>
      </c>
      <c r="BQ103" s="15">
        <f t="shared" si="179"/>
        <v>82600</v>
      </c>
      <c r="BR103" s="15">
        <f t="shared" si="180"/>
        <v>94800</v>
      </c>
      <c r="BS103" s="3">
        <f t="shared" si="214"/>
        <v>69000</v>
      </c>
      <c r="BT103" s="40">
        <f>'State of the System - Sumter Co'!AD103</f>
        <v>95657</v>
      </c>
      <c r="BU103" s="41">
        <f t="shared" si="182"/>
        <v>1.39</v>
      </c>
      <c r="BV103" s="2" t="str">
        <f t="shared" si="183"/>
        <v>F</v>
      </c>
      <c r="BW103" s="2">
        <f t="shared" si="184"/>
        <v>28.57</v>
      </c>
      <c r="BX103" s="15">
        <f>VLOOKUP($U103,'2020_CapacityTable'!$B$23:$F$45,2)</f>
        <v>2820</v>
      </c>
      <c r="BY103" s="15">
        <f>VLOOKUP($U103,'2020_CapacityTable'!$B$23:$F$45,3)</f>
        <v>3990</v>
      </c>
      <c r="BZ103" s="15">
        <f>VLOOKUP($U103,'2020_CapacityTable'!$B$23:$F$45,4)</f>
        <v>4770</v>
      </c>
      <c r="CA103" s="15">
        <f>VLOOKUP($U103,'2020_CapacityTable'!$B$23:$F$45,5)</f>
        <v>5470</v>
      </c>
      <c r="CB103" s="15">
        <f t="shared" si="185"/>
        <v>2820</v>
      </c>
      <c r="CC103" s="15">
        <f t="shared" si="186"/>
        <v>3990</v>
      </c>
      <c r="CD103" s="15">
        <f t="shared" si="187"/>
        <v>4770</v>
      </c>
      <c r="CE103" s="15">
        <f t="shared" si="188"/>
        <v>5470</v>
      </c>
      <c r="CF103" s="3">
        <f t="shared" si="215"/>
        <v>3990</v>
      </c>
      <c r="CG103" s="2">
        <f>'State of the System - Sumter Co'!AH103</f>
        <v>5383</v>
      </c>
      <c r="CH103" s="2">
        <f>'State of the System - Sumter Co'!AI103</f>
        <v>4660</v>
      </c>
      <c r="CI103" s="11">
        <f t="shared" si="190"/>
        <v>1.35</v>
      </c>
      <c r="CJ103" s="2" t="str">
        <f t="shared" si="216"/>
        <v>E</v>
      </c>
      <c r="CK103" s="3">
        <f t="shared" si="192"/>
        <v>102384</v>
      </c>
      <c r="CL103" s="11">
        <f t="shared" si="193"/>
        <v>0.93</v>
      </c>
      <c r="CM103" s="11" t="str">
        <f t="shared" si="194"/>
        <v>CONGESTED (2020)</v>
      </c>
      <c r="CN103" s="3">
        <f t="shared" si="195"/>
        <v>5908</v>
      </c>
      <c r="CO103" s="11">
        <f t="shared" si="196"/>
        <v>0.91</v>
      </c>
      <c r="CP103" s="260" t="str">
        <f t="shared" si="217"/>
        <v>CONGESTED (2020)</v>
      </c>
      <c r="CQ103" s="2" t="s">
        <v>558</v>
      </c>
      <c r="CR103" s="42"/>
      <c r="CS103" s="11">
        <f t="shared" si="198"/>
        <v>0.82</v>
      </c>
      <c r="CT103" s="11">
        <f t="shared" si="218"/>
        <v>0.82</v>
      </c>
      <c r="CU103" s="11" t="str">
        <f t="shared" si="200"/>
        <v/>
      </c>
      <c r="CV103" s="11" t="str">
        <f t="shared" si="201"/>
        <v/>
      </c>
      <c r="CW103" s="3"/>
      <c r="CX103" s="1" t="s">
        <v>585</v>
      </c>
      <c r="CY103" s="145">
        <f t="shared" si="202"/>
        <v>27.19</v>
      </c>
      <c r="CZ103" s="32">
        <f t="shared" si="203"/>
        <v>28.57</v>
      </c>
    </row>
    <row r="104" spans="1:104" ht="12.75" customHeight="1">
      <c r="A104" s="1">
        <v>3546180</v>
      </c>
      <c r="B104" s="1">
        <f t="shared" si="204"/>
        <v>180188</v>
      </c>
      <c r="C104" s="1">
        <v>180188</v>
      </c>
      <c r="D104" s="1">
        <f>VLOOKUP(C104,'2022 counts'!$A$6:$B$304,2,FALSE)</f>
        <v>180188</v>
      </c>
      <c r="E104" s="1">
        <v>180188</v>
      </c>
      <c r="F104" s="2" t="s">
        <v>136</v>
      </c>
      <c r="G104" s="156">
        <v>70</v>
      </c>
      <c r="H104" s="11">
        <v>6.3696312174200003</v>
      </c>
      <c r="I104" s="10" t="s">
        <v>66</v>
      </c>
      <c r="J104" s="10" t="s">
        <v>23</v>
      </c>
      <c r="K104" s="10" t="s">
        <v>34</v>
      </c>
      <c r="L104" s="157">
        <v>6</v>
      </c>
      <c r="M104" s="1">
        <f>'State of the System - Sumter Co'!K104</f>
        <v>6</v>
      </c>
      <c r="N104" s="1" t="str">
        <f>IF('State of the System - Sumter Co'!L104="URBAN","U","R")</f>
        <v>R</v>
      </c>
      <c r="O104" s="1" t="str">
        <f>IF('State of the System - Sumter Co'!M104="UNDIVIDED","U",IF('State of the System - Sumter Co'!M104="DIVIDED","D","F"))</f>
        <v>F</v>
      </c>
      <c r="P104" s="1" t="str">
        <f>'State of the System - Sumter Co'!N104</f>
        <v>FREEWAY</v>
      </c>
      <c r="Q104" s="1" t="str">
        <f t="shared" si="156"/>
        <v/>
      </c>
      <c r="R104" s="1" t="str">
        <f>'State of the System - Sumter Co'!O104</f>
        <v/>
      </c>
      <c r="S104" s="1" t="str">
        <f t="shared" si="221"/>
        <v/>
      </c>
      <c r="T104" s="1" t="str">
        <f t="shared" si="158"/>
        <v>R-6F</v>
      </c>
      <c r="U104" s="1" t="str">
        <f t="shared" si="211"/>
        <v>R-6F</v>
      </c>
      <c r="V104" s="1" t="s">
        <v>137</v>
      </c>
      <c r="W104" s="1" t="s">
        <v>11</v>
      </c>
      <c r="X104" s="1" t="s">
        <v>153</v>
      </c>
      <c r="Y104" s="1" t="str">
        <f>'State of the System - Sumter Co'!R104</f>
        <v>C</v>
      </c>
      <c r="Z104" s="157" t="str">
        <f t="shared" si="159"/>
        <v>NHS Interstate</v>
      </c>
      <c r="AA104" s="15">
        <f>VLOOKUP($T104,'2020_CapacityTable'!$B$49:$F$71,2)</f>
        <v>48900</v>
      </c>
      <c r="AB104" s="15">
        <f>VLOOKUP($T104,'2020_CapacityTable'!$B$49:$F$71,3)</f>
        <v>69000</v>
      </c>
      <c r="AC104" s="15">
        <f>VLOOKUP($T104,'2020_CapacityTable'!$B$49:$F$71,4)</f>
        <v>82600</v>
      </c>
      <c r="AD104" s="15">
        <f>VLOOKUP($T104,'2020_CapacityTable'!$B$49:$F$71,5)</f>
        <v>94800</v>
      </c>
      <c r="AE104" s="35" t="str">
        <f t="shared" si="219"/>
        <v/>
      </c>
      <c r="AF104" s="36" t="str">
        <f t="shared" si="160"/>
        <v/>
      </c>
      <c r="AG104" s="35" t="str">
        <f t="shared" si="220"/>
        <v/>
      </c>
      <c r="AH104" s="35" t="str">
        <f t="shared" si="210"/>
        <v/>
      </c>
      <c r="AI104" s="35"/>
      <c r="AJ104" s="36"/>
      <c r="AK104" s="15">
        <f t="shared" si="161"/>
        <v>48900</v>
      </c>
      <c r="AL104" s="15">
        <f t="shared" si="162"/>
        <v>69000</v>
      </c>
      <c r="AM104" s="15">
        <f t="shared" si="163"/>
        <v>82600</v>
      </c>
      <c r="AN104" s="15">
        <f t="shared" si="164"/>
        <v>94800</v>
      </c>
      <c r="AO104" s="3">
        <f t="shared" si="212"/>
        <v>69000</v>
      </c>
      <c r="AP104" s="138">
        <f>VLOOKUP($B104,'2022 counts'!$B$6:$R$304,17,FALSE)</f>
        <v>70250</v>
      </c>
      <c r="AQ104" s="11">
        <f t="shared" si="165"/>
        <v>1.02</v>
      </c>
      <c r="AR104" s="2" t="str">
        <f t="shared" si="166"/>
        <v>D</v>
      </c>
      <c r="AS104" s="26">
        <f t="shared" si="167"/>
        <v>163.33000000000001</v>
      </c>
      <c r="AT104" s="15">
        <f>VLOOKUP($T104,'2020_CapacityTable'!$B$23:$F$45,2)</f>
        <v>2820</v>
      </c>
      <c r="AU104" s="15">
        <f>VLOOKUP($T104,'2020_CapacityTable'!$B$23:$F$45,3)</f>
        <v>3990</v>
      </c>
      <c r="AV104" s="15">
        <f>VLOOKUP($T104,'2020_CapacityTable'!$B$23:$F$45,4)</f>
        <v>4770</v>
      </c>
      <c r="AW104" s="15">
        <f>VLOOKUP($T104,'2020_CapacityTable'!$B$23:$F$45,5)</f>
        <v>5470</v>
      </c>
      <c r="AX104" s="15">
        <f t="shared" si="168"/>
        <v>2820</v>
      </c>
      <c r="AY104" s="15">
        <f t="shared" si="169"/>
        <v>3990</v>
      </c>
      <c r="AZ104" s="15">
        <f t="shared" si="170"/>
        <v>4770</v>
      </c>
      <c r="BA104" s="15">
        <f t="shared" si="171"/>
        <v>5470</v>
      </c>
      <c r="BB104" s="3">
        <f t="shared" si="213"/>
        <v>3990</v>
      </c>
      <c r="BC104" s="138">
        <f>VLOOKUP($B104,'2022 counts'!$B$6:$AD$304,28,FALSE)</f>
        <v>3954</v>
      </c>
      <c r="BD104" s="138">
        <f>VLOOKUP($B104,'2022 counts'!$B$6:$AD$304,29,FALSE)</f>
        <v>3423</v>
      </c>
      <c r="BE104" s="11">
        <f t="shared" si="173"/>
        <v>0.99</v>
      </c>
      <c r="BF104" s="2" t="str">
        <f t="shared" si="174"/>
        <v>C</v>
      </c>
      <c r="BG104" s="135">
        <v>0</v>
      </c>
      <c r="BH104" s="135">
        <f>IF($AQ104="","",VLOOKUP($B104, '2022 counts'!$B$6:$T$304,19,FALSE))</f>
        <v>0</v>
      </c>
      <c r="BI104" s="38">
        <f t="shared" si="175"/>
        <v>0.01</v>
      </c>
      <c r="BJ104" s="39" t="str">
        <f t="shared" si="176"/>
        <v>minimum</v>
      </c>
      <c r="BK104" s="15">
        <f>VLOOKUP($U104,'2020_CapacityTable'!$B$49:$F$71,2)</f>
        <v>48900</v>
      </c>
      <c r="BL104" s="15">
        <f>VLOOKUP($U104,'2020_CapacityTable'!$B$49:$F$71,3)</f>
        <v>69000</v>
      </c>
      <c r="BM104" s="15">
        <f>VLOOKUP($T104,'2020_CapacityTable'!$B$49:$F$71,4)</f>
        <v>82600</v>
      </c>
      <c r="BN104" s="15">
        <f>VLOOKUP($T104,'2020_CapacityTable'!$B$49:$F$71,5)</f>
        <v>94800</v>
      </c>
      <c r="BO104" s="15">
        <f t="shared" si="177"/>
        <v>48900</v>
      </c>
      <c r="BP104" s="15">
        <f t="shared" si="178"/>
        <v>69000</v>
      </c>
      <c r="BQ104" s="15">
        <f t="shared" si="179"/>
        <v>82600</v>
      </c>
      <c r="BR104" s="15">
        <f t="shared" si="180"/>
        <v>94800</v>
      </c>
      <c r="BS104" s="3">
        <f t="shared" si="214"/>
        <v>69000</v>
      </c>
      <c r="BT104" s="40">
        <f>'State of the System - Sumter Co'!AD104</f>
        <v>73833</v>
      </c>
      <c r="BU104" s="41">
        <f t="shared" si="182"/>
        <v>1.07</v>
      </c>
      <c r="BV104" s="2" t="str">
        <f t="shared" si="183"/>
        <v>D</v>
      </c>
      <c r="BW104" s="2">
        <f t="shared" si="184"/>
        <v>171.66</v>
      </c>
      <c r="BX104" s="15">
        <f>VLOOKUP($U104,'2020_CapacityTable'!$B$23:$F$45,2)</f>
        <v>2820</v>
      </c>
      <c r="BY104" s="15">
        <f>VLOOKUP($U104,'2020_CapacityTable'!$B$23:$F$45,3)</f>
        <v>3990</v>
      </c>
      <c r="BZ104" s="15">
        <f>VLOOKUP($U104,'2020_CapacityTable'!$B$23:$F$45,4)</f>
        <v>4770</v>
      </c>
      <c r="CA104" s="15">
        <f>VLOOKUP($U104,'2020_CapacityTable'!$B$23:$F$45,5)</f>
        <v>5470</v>
      </c>
      <c r="CB104" s="15">
        <f t="shared" si="185"/>
        <v>2820</v>
      </c>
      <c r="CC104" s="15">
        <f t="shared" si="186"/>
        <v>3990</v>
      </c>
      <c r="CD104" s="15">
        <f t="shared" si="187"/>
        <v>4770</v>
      </c>
      <c r="CE104" s="15">
        <f t="shared" si="188"/>
        <v>5470</v>
      </c>
      <c r="CF104" s="3">
        <f t="shared" si="215"/>
        <v>3990</v>
      </c>
      <c r="CG104" s="2">
        <f>'State of the System - Sumter Co'!AH104</f>
        <v>4156</v>
      </c>
      <c r="CH104" s="2">
        <f>'State of the System - Sumter Co'!AI104</f>
        <v>3598</v>
      </c>
      <c r="CI104" s="11">
        <f t="shared" si="190"/>
        <v>1.04</v>
      </c>
      <c r="CJ104" s="2" t="str">
        <f t="shared" si="216"/>
        <v>D</v>
      </c>
      <c r="CK104" s="3">
        <f t="shared" si="192"/>
        <v>102384</v>
      </c>
      <c r="CL104" s="11">
        <f t="shared" si="193"/>
        <v>0.72</v>
      </c>
      <c r="CM104" s="11" t="str">
        <f t="shared" si="194"/>
        <v>CONGESTED (2020)</v>
      </c>
      <c r="CN104" s="3">
        <f t="shared" si="195"/>
        <v>5908</v>
      </c>
      <c r="CO104" s="11">
        <f t="shared" si="196"/>
        <v>0.7</v>
      </c>
      <c r="CP104" s="260" t="str">
        <f t="shared" si="217"/>
        <v>CONGESTED (2025)</v>
      </c>
      <c r="CQ104" s="3" t="s">
        <v>558</v>
      </c>
      <c r="CR104" s="3"/>
      <c r="CS104" s="11">
        <f t="shared" si="198"/>
        <v>6.37</v>
      </c>
      <c r="CT104" s="11">
        <f t="shared" si="218"/>
        <v>6.37</v>
      </c>
      <c r="CU104" s="11" t="str">
        <f t="shared" si="200"/>
        <v/>
      </c>
      <c r="CV104" s="11" t="str">
        <f t="shared" si="201"/>
        <v/>
      </c>
      <c r="CW104" s="3"/>
      <c r="CX104" s="1" t="s">
        <v>585</v>
      </c>
      <c r="CY104" s="145">
        <f t="shared" si="202"/>
        <v>163.33000000000001</v>
      </c>
      <c r="CZ104" s="32">
        <f t="shared" si="203"/>
        <v>171.66</v>
      </c>
    </row>
    <row r="105" spans="1:104" ht="12.75" customHeight="1">
      <c r="A105" s="1">
        <v>3547105</v>
      </c>
      <c r="B105" s="1">
        <f t="shared" si="204"/>
        <v>180209</v>
      </c>
      <c r="C105" s="1">
        <v>418</v>
      </c>
      <c r="D105" s="1" t="str">
        <f>VLOOKUP(C105,'2022 counts'!$A$6:$B$304,2,FALSE)</f>
        <v>STATE</v>
      </c>
      <c r="E105" s="1">
        <v>180209</v>
      </c>
      <c r="F105" s="2" t="s">
        <v>136</v>
      </c>
      <c r="G105" s="156">
        <v>45</v>
      </c>
      <c r="H105" s="11">
        <v>0.50980070985399994</v>
      </c>
      <c r="I105" s="10" t="s">
        <v>36</v>
      </c>
      <c r="J105" s="10" t="s">
        <v>159</v>
      </c>
      <c r="K105" s="10" t="s">
        <v>35</v>
      </c>
      <c r="L105" s="157">
        <v>6</v>
      </c>
      <c r="M105" s="1">
        <f>'State of the System - Sumter Co'!K105</f>
        <v>6</v>
      </c>
      <c r="N105" s="1" t="str">
        <f>IF('State of the System - Sumter Co'!L105="URBAN","U","R")</f>
        <v>U</v>
      </c>
      <c r="O105" s="1" t="str">
        <f>IF('State of the System - Sumter Co'!M105="UNDIVIDED","U",IF('State of the System - Sumter Co'!M105="DIVIDED","D","F"))</f>
        <v>D</v>
      </c>
      <c r="P105" s="1" t="str">
        <f>'State of the System - Sumter Co'!N105</f>
        <v>INTERRUPTED</v>
      </c>
      <c r="Q105" s="1" t="str">
        <f t="shared" si="156"/>
        <v/>
      </c>
      <c r="R105" s="1" t="str">
        <f>'State of the System - Sumter Co'!O105</f>
        <v/>
      </c>
      <c r="S105" s="1" t="str">
        <f t="shared" si="221"/>
        <v>-1</v>
      </c>
      <c r="T105" s="1" t="str">
        <f t="shared" si="158"/>
        <v>U-6D-1</v>
      </c>
      <c r="U105" s="1" t="str">
        <f t="shared" si="211"/>
        <v>U-6D-1</v>
      </c>
      <c r="V105" s="1" t="s">
        <v>137</v>
      </c>
      <c r="W105" s="1" t="s">
        <v>11</v>
      </c>
      <c r="X105" s="1" t="s">
        <v>50</v>
      </c>
      <c r="Y105" s="1" t="str">
        <f>'State of the System - Sumter Co'!R105</f>
        <v>D</v>
      </c>
      <c r="Z105" s="157" t="str">
        <f t="shared" si="159"/>
        <v>NHS Non-Interstate</v>
      </c>
      <c r="AA105" s="15">
        <f>VLOOKUP($T105,'2020_CapacityTable'!$B$49:$F$71,2)</f>
        <v>0</v>
      </c>
      <c r="AB105" s="15">
        <f>VLOOKUP($T105,'2020_CapacityTable'!$B$49:$F$71,3)</f>
        <v>58400</v>
      </c>
      <c r="AC105" s="15">
        <f>VLOOKUP($T105,'2020_CapacityTable'!$B$49:$F$71,4)</f>
        <v>59900</v>
      </c>
      <c r="AD105" s="15">
        <f>VLOOKUP($T105,'2020_CapacityTable'!$B$49:$F$71,5)</f>
        <v>59900</v>
      </c>
      <c r="AE105" s="35" t="str">
        <f t="shared" si="219"/>
        <v/>
      </c>
      <c r="AF105" s="36" t="str">
        <f t="shared" si="160"/>
        <v/>
      </c>
      <c r="AG105" s="35" t="str">
        <f t="shared" si="220"/>
        <v/>
      </c>
      <c r="AH105" s="35" t="str">
        <f t="shared" si="210"/>
        <v/>
      </c>
      <c r="AI105" s="35"/>
      <c r="AJ105" s="36"/>
      <c r="AK105" s="15">
        <f t="shared" si="161"/>
        <v>0</v>
      </c>
      <c r="AL105" s="15">
        <f t="shared" si="162"/>
        <v>58400</v>
      </c>
      <c r="AM105" s="15">
        <f t="shared" si="163"/>
        <v>59900</v>
      </c>
      <c r="AN105" s="15">
        <f t="shared" si="164"/>
        <v>59900</v>
      </c>
      <c r="AO105" s="3">
        <f t="shared" si="212"/>
        <v>59900</v>
      </c>
      <c r="AP105" s="138">
        <f>VLOOKUP($B105,'2022 counts'!$B$6:$R$304,17,FALSE)</f>
        <v>37300</v>
      </c>
      <c r="AQ105" s="11">
        <f t="shared" si="165"/>
        <v>0.62</v>
      </c>
      <c r="AR105" s="2" t="str">
        <f t="shared" si="166"/>
        <v>C</v>
      </c>
      <c r="AS105" s="26">
        <f t="shared" si="167"/>
        <v>6.94</v>
      </c>
      <c r="AT105" s="15">
        <f>VLOOKUP($T105,'2020_CapacityTable'!$B$23:$F$45,2)</f>
        <v>0</v>
      </c>
      <c r="AU105" s="15">
        <f>VLOOKUP($T105,'2020_CapacityTable'!$B$23:$F$45,3)</f>
        <v>2940</v>
      </c>
      <c r="AV105" s="15">
        <f>VLOOKUP($T105,'2020_CapacityTable'!$B$23:$F$45,4)</f>
        <v>3020</v>
      </c>
      <c r="AW105" s="15">
        <f>VLOOKUP($T105,'2020_CapacityTable'!$B$23:$F$45,5)</f>
        <v>3020</v>
      </c>
      <c r="AX105" s="15">
        <f t="shared" si="168"/>
        <v>0</v>
      </c>
      <c r="AY105" s="15">
        <f t="shared" si="169"/>
        <v>2940</v>
      </c>
      <c r="AZ105" s="15">
        <f t="shared" si="170"/>
        <v>3020</v>
      </c>
      <c r="BA105" s="15">
        <f t="shared" si="171"/>
        <v>3020</v>
      </c>
      <c r="BB105" s="3">
        <f t="shared" si="213"/>
        <v>3020</v>
      </c>
      <c r="BC105" s="138">
        <f>VLOOKUP($B105,'2022 counts'!$B$6:$AD$304,28,FALSE)</f>
        <v>1301</v>
      </c>
      <c r="BD105" s="138">
        <f>VLOOKUP($B105,'2022 counts'!$B$6:$AD$304,29,FALSE)</f>
        <v>1757</v>
      </c>
      <c r="BE105" s="11">
        <f t="shared" si="173"/>
        <v>0.57999999999999996</v>
      </c>
      <c r="BF105" s="2" t="str">
        <f t="shared" si="174"/>
        <v>C</v>
      </c>
      <c r="BG105" s="135">
        <v>0</v>
      </c>
      <c r="BH105" s="135">
        <f>IF($AQ105="","",VLOOKUP($B105, '2022 counts'!$B$6:$T$304,19,FALSE))</f>
        <v>0</v>
      </c>
      <c r="BI105" s="38">
        <f t="shared" si="175"/>
        <v>0.01</v>
      </c>
      <c r="BJ105" s="39" t="str">
        <f t="shared" si="176"/>
        <v>minimum</v>
      </c>
      <c r="BK105" s="15">
        <f>VLOOKUP($U105,'2020_CapacityTable'!$B$49:$F$71,2)</f>
        <v>0</v>
      </c>
      <c r="BL105" s="15">
        <f>VLOOKUP($U105,'2020_CapacityTable'!$B$49:$F$71,3)</f>
        <v>58400</v>
      </c>
      <c r="BM105" s="15">
        <f>VLOOKUP($T105,'2020_CapacityTable'!$B$49:$F$71,4)</f>
        <v>59900</v>
      </c>
      <c r="BN105" s="15">
        <f>VLOOKUP($T105,'2020_CapacityTable'!$B$49:$F$71,5)</f>
        <v>59900</v>
      </c>
      <c r="BO105" s="15">
        <f t="shared" si="177"/>
        <v>0</v>
      </c>
      <c r="BP105" s="15">
        <f t="shared" si="178"/>
        <v>58400</v>
      </c>
      <c r="BQ105" s="15">
        <f t="shared" si="179"/>
        <v>59900</v>
      </c>
      <c r="BR105" s="15">
        <f t="shared" si="180"/>
        <v>59900</v>
      </c>
      <c r="BS105" s="3">
        <f t="shared" si="214"/>
        <v>59900</v>
      </c>
      <c r="BT105" s="40">
        <f>'State of the System - Sumter Co'!AD105</f>
        <v>39203</v>
      </c>
      <c r="BU105" s="41">
        <f t="shared" si="182"/>
        <v>0.65</v>
      </c>
      <c r="BV105" s="2" t="str">
        <f t="shared" si="183"/>
        <v>C</v>
      </c>
      <c r="BW105" s="2">
        <f t="shared" si="184"/>
        <v>7.29</v>
      </c>
      <c r="BX105" s="15">
        <f>VLOOKUP($U105,'2020_CapacityTable'!$B$23:$F$45,2)</f>
        <v>0</v>
      </c>
      <c r="BY105" s="15">
        <f>VLOOKUP($U105,'2020_CapacityTable'!$B$23:$F$45,3)</f>
        <v>2940</v>
      </c>
      <c r="BZ105" s="15">
        <f>VLOOKUP($U105,'2020_CapacityTable'!$B$23:$F$45,4)</f>
        <v>3020</v>
      </c>
      <c r="CA105" s="15">
        <f>VLOOKUP($U105,'2020_CapacityTable'!$B$23:$F$45,5)</f>
        <v>3020</v>
      </c>
      <c r="CB105" s="15">
        <f t="shared" si="185"/>
        <v>0</v>
      </c>
      <c r="CC105" s="15">
        <f t="shared" si="186"/>
        <v>2940</v>
      </c>
      <c r="CD105" s="15">
        <f t="shared" si="187"/>
        <v>3020</v>
      </c>
      <c r="CE105" s="15">
        <f t="shared" si="188"/>
        <v>3020</v>
      </c>
      <c r="CF105" s="3">
        <f t="shared" si="215"/>
        <v>3020</v>
      </c>
      <c r="CG105" s="2">
        <f>'State of the System - Sumter Co'!AH105</f>
        <v>1367</v>
      </c>
      <c r="CH105" s="2">
        <f>'State of the System - Sumter Co'!AI105</f>
        <v>1847</v>
      </c>
      <c r="CI105" s="11">
        <f t="shared" si="190"/>
        <v>0.61</v>
      </c>
      <c r="CJ105" s="2" t="str">
        <f t="shared" si="216"/>
        <v>C</v>
      </c>
      <c r="CK105" s="3">
        <f t="shared" si="192"/>
        <v>64692</v>
      </c>
      <c r="CL105" s="11">
        <f t="shared" si="193"/>
        <v>0.61</v>
      </c>
      <c r="CM105" s="11" t="str">
        <f t="shared" si="194"/>
        <v>NOT CONGESTED</v>
      </c>
      <c r="CN105" s="3">
        <f t="shared" si="195"/>
        <v>3262</v>
      </c>
      <c r="CO105" s="11">
        <f t="shared" si="196"/>
        <v>0.56999999999999995</v>
      </c>
      <c r="CP105" s="156" t="str">
        <f t="shared" si="217"/>
        <v>NOT CONGESTED</v>
      </c>
      <c r="CQ105" s="3"/>
      <c r="CR105" s="3"/>
      <c r="CS105" s="11" t="str">
        <f t="shared" si="198"/>
        <v/>
      </c>
      <c r="CT105" s="11" t="str">
        <f t="shared" si="218"/>
        <v/>
      </c>
      <c r="CU105" s="11" t="str">
        <f t="shared" si="200"/>
        <v/>
      </c>
      <c r="CV105" s="11" t="str">
        <f t="shared" si="201"/>
        <v/>
      </c>
      <c r="CW105" s="2"/>
      <c r="CX105" s="1" t="s">
        <v>585</v>
      </c>
      <c r="CY105" s="145" t="str">
        <f t="shared" si="202"/>
        <v/>
      </c>
      <c r="CZ105" s="32" t="str">
        <f t="shared" si="203"/>
        <v/>
      </c>
    </row>
    <row r="106" spans="1:104" ht="12.75" customHeight="1">
      <c r="A106" s="1">
        <v>3547120</v>
      </c>
      <c r="B106" s="1">
        <f t="shared" si="204"/>
        <v>180209</v>
      </c>
      <c r="C106" s="1">
        <v>458</v>
      </c>
      <c r="D106" s="1" t="str">
        <f>VLOOKUP(C106,'2022 counts'!$A$6:$B$304,2,FALSE)</f>
        <v>STATE</v>
      </c>
      <c r="E106" s="1">
        <v>180209</v>
      </c>
      <c r="F106" s="2" t="s">
        <v>136</v>
      </c>
      <c r="G106" s="156">
        <v>45</v>
      </c>
      <c r="H106" s="11">
        <v>0.50603699289899995</v>
      </c>
      <c r="I106" s="10" t="s">
        <v>36</v>
      </c>
      <c r="J106" s="10" t="s">
        <v>35</v>
      </c>
      <c r="K106" s="10" t="s">
        <v>55</v>
      </c>
      <c r="L106" s="157">
        <v>6</v>
      </c>
      <c r="M106" s="1">
        <f>'State of the System - Sumter Co'!K106</f>
        <v>6</v>
      </c>
      <c r="N106" s="1" t="str">
        <f>IF('State of the System - Sumter Co'!L106="URBAN","U","R")</f>
        <v>U</v>
      </c>
      <c r="O106" s="1" t="str">
        <f>IF('State of the System - Sumter Co'!M106="UNDIVIDED","U",IF('State of the System - Sumter Co'!M106="DIVIDED","D","F"))</f>
        <v>D</v>
      </c>
      <c r="P106" s="1" t="str">
        <f>'State of the System - Sumter Co'!N106</f>
        <v>INTERRUPTED</v>
      </c>
      <c r="Q106" s="1" t="str">
        <f t="shared" si="156"/>
        <v/>
      </c>
      <c r="R106" s="1" t="str">
        <f>'State of the System - Sumter Co'!O106</f>
        <v/>
      </c>
      <c r="S106" s="1" t="str">
        <f t="shared" si="221"/>
        <v>-1</v>
      </c>
      <c r="T106" s="1" t="str">
        <f t="shared" si="158"/>
        <v>U-6D-1</v>
      </c>
      <c r="U106" s="1" t="str">
        <f t="shared" si="211"/>
        <v>U-6D-1</v>
      </c>
      <c r="V106" s="1" t="s">
        <v>137</v>
      </c>
      <c r="W106" s="1" t="s">
        <v>11</v>
      </c>
      <c r="X106" s="1" t="s">
        <v>50</v>
      </c>
      <c r="Y106" s="1" t="str">
        <f>'State of the System - Sumter Co'!R106</f>
        <v>D</v>
      </c>
      <c r="Z106" s="157" t="str">
        <f t="shared" si="159"/>
        <v>NHS Non-Interstate</v>
      </c>
      <c r="AA106" s="15">
        <f>VLOOKUP($T106,'2020_CapacityTable'!$B$49:$F$71,2)</f>
        <v>0</v>
      </c>
      <c r="AB106" s="15">
        <f>VLOOKUP($T106,'2020_CapacityTable'!$B$49:$F$71,3)</f>
        <v>58400</v>
      </c>
      <c r="AC106" s="15">
        <f>VLOOKUP($T106,'2020_CapacityTable'!$B$49:$F$71,4)</f>
        <v>59900</v>
      </c>
      <c r="AD106" s="15">
        <f>VLOOKUP($T106,'2020_CapacityTable'!$B$49:$F$71,5)</f>
        <v>59900</v>
      </c>
      <c r="AE106" s="35" t="str">
        <f t="shared" si="219"/>
        <v/>
      </c>
      <c r="AF106" s="36" t="str">
        <f t="shared" si="160"/>
        <v/>
      </c>
      <c r="AG106" s="35" t="str">
        <f t="shared" si="220"/>
        <v/>
      </c>
      <c r="AH106" s="35" t="str">
        <f t="shared" si="210"/>
        <v/>
      </c>
      <c r="AI106" s="35"/>
      <c r="AJ106" s="36"/>
      <c r="AK106" s="15">
        <f t="shared" si="161"/>
        <v>0</v>
      </c>
      <c r="AL106" s="15">
        <f t="shared" si="162"/>
        <v>58400</v>
      </c>
      <c r="AM106" s="15">
        <f t="shared" si="163"/>
        <v>59900</v>
      </c>
      <c r="AN106" s="15">
        <f t="shared" si="164"/>
        <v>59900</v>
      </c>
      <c r="AO106" s="3">
        <f t="shared" si="212"/>
        <v>59900</v>
      </c>
      <c r="AP106" s="138">
        <f>VLOOKUP($B106,'2022 counts'!$B$6:$R$304,17,FALSE)</f>
        <v>37300</v>
      </c>
      <c r="AQ106" s="11">
        <f t="shared" si="165"/>
        <v>0.62</v>
      </c>
      <c r="AR106" s="2" t="str">
        <f t="shared" si="166"/>
        <v>C</v>
      </c>
      <c r="AS106" s="26">
        <f t="shared" si="167"/>
        <v>6.89</v>
      </c>
      <c r="AT106" s="15">
        <f>VLOOKUP($T106,'2020_CapacityTable'!$B$23:$F$45,2)</f>
        <v>0</v>
      </c>
      <c r="AU106" s="15">
        <f>VLOOKUP($T106,'2020_CapacityTable'!$B$23:$F$45,3)</f>
        <v>2940</v>
      </c>
      <c r="AV106" s="15">
        <f>VLOOKUP($T106,'2020_CapacityTable'!$B$23:$F$45,4)</f>
        <v>3020</v>
      </c>
      <c r="AW106" s="15">
        <f>VLOOKUP($T106,'2020_CapacityTable'!$B$23:$F$45,5)</f>
        <v>3020</v>
      </c>
      <c r="AX106" s="15">
        <f t="shared" si="168"/>
        <v>0</v>
      </c>
      <c r="AY106" s="15">
        <f t="shared" si="169"/>
        <v>2940</v>
      </c>
      <c r="AZ106" s="15">
        <f t="shared" si="170"/>
        <v>3020</v>
      </c>
      <c r="BA106" s="15">
        <f t="shared" si="171"/>
        <v>3020</v>
      </c>
      <c r="BB106" s="3">
        <f t="shared" si="213"/>
        <v>3020</v>
      </c>
      <c r="BC106" s="138">
        <f>VLOOKUP($B106,'2022 counts'!$B$6:$AD$304,28,FALSE)</f>
        <v>1301</v>
      </c>
      <c r="BD106" s="138">
        <f>VLOOKUP($B106,'2022 counts'!$B$6:$AD$304,29,FALSE)</f>
        <v>1757</v>
      </c>
      <c r="BE106" s="11">
        <f t="shared" si="173"/>
        <v>0.57999999999999996</v>
      </c>
      <c r="BF106" s="2" t="str">
        <f t="shared" si="174"/>
        <v>C</v>
      </c>
      <c r="BG106" s="135">
        <v>0</v>
      </c>
      <c r="BH106" s="135">
        <f>IF($AQ106="","",VLOOKUP($B106, '2022 counts'!$B$6:$T$304,19,FALSE))</f>
        <v>0</v>
      </c>
      <c r="BI106" s="38">
        <f t="shared" si="175"/>
        <v>0.01</v>
      </c>
      <c r="BJ106" s="39" t="str">
        <f t="shared" si="176"/>
        <v>minimum</v>
      </c>
      <c r="BK106" s="15">
        <f>VLOOKUP($U106,'2020_CapacityTable'!$B$49:$F$71,2)</f>
        <v>0</v>
      </c>
      <c r="BL106" s="15">
        <f>VLOOKUP($U106,'2020_CapacityTable'!$B$49:$F$71,3)</f>
        <v>58400</v>
      </c>
      <c r="BM106" s="15">
        <f>VLOOKUP($T106,'2020_CapacityTable'!$B$49:$F$71,4)</f>
        <v>59900</v>
      </c>
      <c r="BN106" s="15">
        <f>VLOOKUP($T106,'2020_CapacityTable'!$B$49:$F$71,5)</f>
        <v>59900</v>
      </c>
      <c r="BO106" s="15">
        <f t="shared" si="177"/>
        <v>0</v>
      </c>
      <c r="BP106" s="15">
        <f t="shared" si="178"/>
        <v>58400</v>
      </c>
      <c r="BQ106" s="15">
        <f t="shared" si="179"/>
        <v>59900</v>
      </c>
      <c r="BR106" s="15">
        <f t="shared" si="180"/>
        <v>59900</v>
      </c>
      <c r="BS106" s="3">
        <f t="shared" si="214"/>
        <v>59900</v>
      </c>
      <c r="BT106" s="40">
        <f>'State of the System - Sumter Co'!AD106</f>
        <v>39203</v>
      </c>
      <c r="BU106" s="41">
        <f t="shared" si="182"/>
        <v>0.65</v>
      </c>
      <c r="BV106" s="2" t="str">
        <f t="shared" si="183"/>
        <v>C</v>
      </c>
      <c r="BW106" s="2">
        <f t="shared" si="184"/>
        <v>7.24</v>
      </c>
      <c r="BX106" s="15">
        <f>VLOOKUP($U106,'2020_CapacityTable'!$B$23:$F$45,2)</f>
        <v>0</v>
      </c>
      <c r="BY106" s="15">
        <f>VLOOKUP($U106,'2020_CapacityTable'!$B$23:$F$45,3)</f>
        <v>2940</v>
      </c>
      <c r="BZ106" s="15">
        <f>VLOOKUP($U106,'2020_CapacityTable'!$B$23:$F$45,4)</f>
        <v>3020</v>
      </c>
      <c r="CA106" s="15">
        <f>VLOOKUP($U106,'2020_CapacityTable'!$B$23:$F$45,5)</f>
        <v>3020</v>
      </c>
      <c r="CB106" s="15">
        <f t="shared" si="185"/>
        <v>0</v>
      </c>
      <c r="CC106" s="15">
        <f t="shared" si="186"/>
        <v>2940</v>
      </c>
      <c r="CD106" s="15">
        <f t="shared" si="187"/>
        <v>3020</v>
      </c>
      <c r="CE106" s="15">
        <f t="shared" si="188"/>
        <v>3020</v>
      </c>
      <c r="CF106" s="3">
        <f t="shared" si="215"/>
        <v>3020</v>
      </c>
      <c r="CG106" s="2">
        <f>'State of the System - Sumter Co'!AH106</f>
        <v>1367</v>
      </c>
      <c r="CH106" s="2">
        <f>'State of the System - Sumter Co'!AI106</f>
        <v>1847</v>
      </c>
      <c r="CI106" s="11">
        <f t="shared" si="190"/>
        <v>0.61</v>
      </c>
      <c r="CJ106" s="2" t="str">
        <f t="shared" si="216"/>
        <v>C</v>
      </c>
      <c r="CK106" s="3">
        <f t="shared" si="192"/>
        <v>64692</v>
      </c>
      <c r="CL106" s="11">
        <f t="shared" si="193"/>
        <v>0.61</v>
      </c>
      <c r="CM106" s="11" t="str">
        <f t="shared" si="194"/>
        <v>NOT CONGESTED</v>
      </c>
      <c r="CN106" s="3">
        <f t="shared" si="195"/>
        <v>3262</v>
      </c>
      <c r="CO106" s="11">
        <f t="shared" si="196"/>
        <v>0.56999999999999995</v>
      </c>
      <c r="CP106" s="156" t="str">
        <f t="shared" si="217"/>
        <v>NOT CONGESTED</v>
      </c>
      <c r="CQ106" s="3"/>
      <c r="CR106" s="3"/>
      <c r="CS106" s="11" t="str">
        <f t="shared" si="198"/>
        <v/>
      </c>
      <c r="CT106" s="11" t="str">
        <f t="shared" si="218"/>
        <v/>
      </c>
      <c r="CU106" s="11" t="str">
        <f t="shared" si="200"/>
        <v/>
      </c>
      <c r="CV106" s="11" t="str">
        <f t="shared" si="201"/>
        <v/>
      </c>
      <c r="CW106" s="3"/>
      <c r="CX106" s="1" t="s">
        <v>585</v>
      </c>
      <c r="CY106" s="145" t="str">
        <f t="shared" si="202"/>
        <v/>
      </c>
      <c r="CZ106" s="32" t="str">
        <f t="shared" si="203"/>
        <v/>
      </c>
    </row>
    <row r="107" spans="1:104" ht="12.75" customHeight="1">
      <c r="A107" s="1">
        <v>3549100</v>
      </c>
      <c r="B107" s="1">
        <f t="shared" si="204"/>
        <v>60</v>
      </c>
      <c r="C107" s="1">
        <v>83</v>
      </c>
      <c r="D107" s="1">
        <f>VLOOKUP(C107,'2022 counts'!$A$6:$B$304,2,FALSE)</f>
        <v>60</v>
      </c>
      <c r="E107" s="1"/>
      <c r="F107" s="3" t="s">
        <v>6</v>
      </c>
      <c r="G107" s="156">
        <v>55</v>
      </c>
      <c r="H107" s="11">
        <v>1.3379234094400001</v>
      </c>
      <c r="I107" s="10" t="s">
        <v>741</v>
      </c>
      <c r="J107" s="10" t="s">
        <v>83</v>
      </c>
      <c r="K107" s="10" t="s">
        <v>735</v>
      </c>
      <c r="L107" s="157">
        <v>2</v>
      </c>
      <c r="M107" s="1">
        <f>'State of the System - Sumter Co'!K107</f>
        <v>2</v>
      </c>
      <c r="N107" s="1" t="str">
        <f>IF('State of the System - Sumter Co'!L107="URBAN","U","R")</f>
        <v>U</v>
      </c>
      <c r="O107" s="1" t="str">
        <f>IF('State of the System - Sumter Co'!M107="UNDIVIDED","U",IF('State of the System - Sumter Co'!M107="DIVIDED","D","F"))</f>
        <v>U</v>
      </c>
      <c r="P107" s="1" t="str">
        <f>'State of the System - Sumter Co'!N107</f>
        <v>UNINTERRUPTED</v>
      </c>
      <c r="Q107" s="1" t="str">
        <f t="shared" si="156"/>
        <v/>
      </c>
      <c r="R107" s="1" t="str">
        <f>'State of the System - Sumter Co'!O107</f>
        <v/>
      </c>
      <c r="S107" s="1" t="str">
        <f t="shared" si="221"/>
        <v>-x</v>
      </c>
      <c r="T107" s="1" t="str">
        <f t="shared" si="158"/>
        <v>U-2U-x</v>
      </c>
      <c r="U107" s="1" t="str">
        <f t="shared" si="211"/>
        <v>U-2U-x</v>
      </c>
      <c r="V107" s="1" t="s">
        <v>10</v>
      </c>
      <c r="W107" s="1" t="s">
        <v>11</v>
      </c>
      <c r="X107" s="1" t="s">
        <v>21</v>
      </c>
      <c r="Y107" s="1" t="str">
        <f>'State of the System - Sumter Co'!R107</f>
        <v>C</v>
      </c>
      <c r="Z107" s="157" t="str">
        <f t="shared" si="159"/>
        <v>Other CMP Network Roadways</v>
      </c>
      <c r="AA107" s="15">
        <f>VLOOKUP($T107,'2020_CapacityTable'!$B$49:$F$71,2)</f>
        <v>11700</v>
      </c>
      <c r="AB107" s="15">
        <f>VLOOKUP($T107,'2020_CapacityTable'!$B$49:$F$71,3)</f>
        <v>18000</v>
      </c>
      <c r="AC107" s="15">
        <f>VLOOKUP($T107,'2020_CapacityTable'!$B$49:$F$71,4)</f>
        <v>24200</v>
      </c>
      <c r="AD107" s="15">
        <f>VLOOKUP($T107,'2020_CapacityTable'!$B$49:$F$71,5)</f>
        <v>32600</v>
      </c>
      <c r="AE107" s="35"/>
      <c r="AF107" s="36" t="str">
        <f t="shared" si="160"/>
        <v/>
      </c>
      <c r="AG107" s="35" t="str">
        <f t="shared" si="220"/>
        <v/>
      </c>
      <c r="AH107" s="35" t="str">
        <f t="shared" si="210"/>
        <v/>
      </c>
      <c r="AI107" s="35"/>
      <c r="AJ107" s="36"/>
      <c r="AK107" s="15">
        <f t="shared" si="161"/>
        <v>11700</v>
      </c>
      <c r="AL107" s="15">
        <f t="shared" si="162"/>
        <v>18000</v>
      </c>
      <c r="AM107" s="15">
        <f t="shared" si="163"/>
        <v>24200</v>
      </c>
      <c r="AN107" s="15">
        <f t="shared" si="164"/>
        <v>32600</v>
      </c>
      <c r="AO107" s="3">
        <f t="shared" si="212"/>
        <v>18000</v>
      </c>
      <c r="AP107" s="138">
        <f>VLOOKUP($B107,'2022 counts'!$B$6:$R$304,17,FALSE)</f>
        <v>5028</v>
      </c>
      <c r="AQ107" s="11">
        <f t="shared" si="165"/>
        <v>0.28000000000000003</v>
      </c>
      <c r="AR107" s="2" t="str">
        <f t="shared" si="166"/>
        <v>B</v>
      </c>
      <c r="AS107" s="26">
        <f t="shared" si="167"/>
        <v>2.46</v>
      </c>
      <c r="AT107" s="15">
        <f>VLOOKUP($T107,'2020_CapacityTable'!$B$23:$F$45,2)</f>
        <v>580</v>
      </c>
      <c r="AU107" s="15">
        <f>VLOOKUP($T107,'2020_CapacityTable'!$B$23:$F$45,3)</f>
        <v>890</v>
      </c>
      <c r="AV107" s="15">
        <f>VLOOKUP($T107,'2020_CapacityTable'!$B$23:$F$45,4)</f>
        <v>1200</v>
      </c>
      <c r="AW107" s="15">
        <f>VLOOKUP($T107,'2020_CapacityTable'!$B$23:$F$45,5)</f>
        <v>1610</v>
      </c>
      <c r="AX107" s="15">
        <f t="shared" si="168"/>
        <v>580</v>
      </c>
      <c r="AY107" s="15">
        <f t="shared" si="169"/>
        <v>890</v>
      </c>
      <c r="AZ107" s="15">
        <f t="shared" si="170"/>
        <v>1200</v>
      </c>
      <c r="BA107" s="15">
        <f t="shared" si="171"/>
        <v>1610</v>
      </c>
      <c r="BB107" s="3">
        <f t="shared" si="213"/>
        <v>890</v>
      </c>
      <c r="BC107" s="138">
        <f>VLOOKUP($B107,'2022 counts'!$B$6:$AD$304,28,FALSE)</f>
        <v>168</v>
      </c>
      <c r="BD107" s="138">
        <f>VLOOKUP($B107,'2022 counts'!$B$6:$AD$304,29,FALSE)</f>
        <v>250</v>
      </c>
      <c r="BE107" s="11">
        <f t="shared" si="173"/>
        <v>0.28000000000000003</v>
      </c>
      <c r="BF107" s="2" t="str">
        <f t="shared" si="174"/>
        <v>B</v>
      </c>
      <c r="BG107" s="135">
        <v>4.2500000000000003E-2</v>
      </c>
      <c r="BH107" s="135">
        <f>IF($AQ107="","",VLOOKUP($B107, '2022 counts'!$B$6:$T$304,19,FALSE))</f>
        <v>4.2500000000000003E-2</v>
      </c>
      <c r="BI107" s="38">
        <f t="shared" si="175"/>
        <v>4.2500000000000003E-2</v>
      </c>
      <c r="BJ107" s="39" t="str">
        <f t="shared" si="176"/>
        <v/>
      </c>
      <c r="BK107" s="15">
        <f>VLOOKUP($U107,'2020_CapacityTable'!$B$49:$F$71,2)</f>
        <v>11700</v>
      </c>
      <c r="BL107" s="15">
        <f>VLOOKUP($U107,'2020_CapacityTable'!$B$49:$F$71,3)</f>
        <v>18000</v>
      </c>
      <c r="BM107" s="15">
        <f>VLOOKUP($T107,'2020_CapacityTable'!$B$49:$F$71,4)</f>
        <v>24200</v>
      </c>
      <c r="BN107" s="15">
        <f>VLOOKUP($T107,'2020_CapacityTable'!$B$49:$F$71,5)</f>
        <v>32600</v>
      </c>
      <c r="BO107" s="15">
        <f t="shared" si="177"/>
        <v>11700</v>
      </c>
      <c r="BP107" s="15">
        <f t="shared" si="178"/>
        <v>18000</v>
      </c>
      <c r="BQ107" s="15">
        <f t="shared" si="179"/>
        <v>24200</v>
      </c>
      <c r="BR107" s="15">
        <f t="shared" si="180"/>
        <v>32600</v>
      </c>
      <c r="BS107" s="3">
        <f t="shared" si="214"/>
        <v>18000</v>
      </c>
      <c r="BT107" s="40">
        <f>'State of the System - Sumter Co'!AD107</f>
        <v>6191</v>
      </c>
      <c r="BU107" s="41">
        <f t="shared" si="182"/>
        <v>0.34</v>
      </c>
      <c r="BV107" s="2" t="str">
        <f t="shared" si="183"/>
        <v>B</v>
      </c>
      <c r="BW107" s="2">
        <f t="shared" si="184"/>
        <v>3.02</v>
      </c>
      <c r="BX107" s="15">
        <f>VLOOKUP($U107,'2020_CapacityTable'!$B$23:$F$45,2)</f>
        <v>580</v>
      </c>
      <c r="BY107" s="15">
        <f>VLOOKUP($U107,'2020_CapacityTable'!$B$23:$F$45,3)</f>
        <v>890</v>
      </c>
      <c r="BZ107" s="15">
        <f>VLOOKUP($U107,'2020_CapacityTable'!$B$23:$F$45,4)</f>
        <v>1200</v>
      </c>
      <c r="CA107" s="15">
        <f>VLOOKUP($U107,'2020_CapacityTable'!$B$23:$F$45,5)</f>
        <v>1610</v>
      </c>
      <c r="CB107" s="15">
        <f t="shared" si="185"/>
        <v>580</v>
      </c>
      <c r="CC107" s="15">
        <f t="shared" si="186"/>
        <v>890</v>
      </c>
      <c r="CD107" s="15">
        <f t="shared" si="187"/>
        <v>1200</v>
      </c>
      <c r="CE107" s="15">
        <f t="shared" si="188"/>
        <v>1610</v>
      </c>
      <c r="CF107" s="3">
        <f t="shared" si="215"/>
        <v>890</v>
      </c>
      <c r="CG107" s="2">
        <f>'State of the System - Sumter Co'!AH107</f>
        <v>207</v>
      </c>
      <c r="CH107" s="2">
        <f>'State of the System - Sumter Co'!AI107</f>
        <v>308</v>
      </c>
      <c r="CI107" s="11">
        <f t="shared" si="190"/>
        <v>0.35</v>
      </c>
      <c r="CJ107" s="2" t="str">
        <f t="shared" si="216"/>
        <v>B</v>
      </c>
      <c r="CK107" s="3">
        <f t="shared" si="192"/>
        <v>35208</v>
      </c>
      <c r="CL107" s="11">
        <f t="shared" si="193"/>
        <v>0.18</v>
      </c>
      <c r="CM107" s="11" t="str">
        <f t="shared" si="194"/>
        <v>NOT CONGESTED</v>
      </c>
      <c r="CN107" s="3">
        <f t="shared" si="195"/>
        <v>1739</v>
      </c>
      <c r="CO107" s="11">
        <f t="shared" si="196"/>
        <v>0.18</v>
      </c>
      <c r="CP107" s="156" t="str">
        <f t="shared" si="217"/>
        <v>NOT CONGESTED</v>
      </c>
      <c r="CQ107" s="3"/>
      <c r="CR107" s="3"/>
      <c r="CS107" s="11" t="str">
        <f t="shared" si="198"/>
        <v/>
      </c>
      <c r="CT107" s="11" t="str">
        <f t="shared" si="218"/>
        <v/>
      </c>
      <c r="CU107" s="11" t="str">
        <f t="shared" si="200"/>
        <v/>
      </c>
      <c r="CV107" s="11" t="str">
        <f t="shared" si="201"/>
        <v/>
      </c>
      <c r="CW107" s="3"/>
      <c r="CX107" s="1"/>
      <c r="CY107" s="145" t="str">
        <f t="shared" si="202"/>
        <v/>
      </c>
      <c r="CZ107" s="32" t="str">
        <f t="shared" si="203"/>
        <v/>
      </c>
    </row>
    <row r="108" spans="1:104" ht="12.75" customHeight="1">
      <c r="A108" s="1">
        <v>3549110</v>
      </c>
      <c r="B108" s="1">
        <f t="shared" si="204"/>
        <v>61</v>
      </c>
      <c r="C108" s="1">
        <v>84</v>
      </c>
      <c r="D108" s="1">
        <f>VLOOKUP(C108,'2022 counts'!$A$6:$B$304,2,FALSE)</f>
        <v>61</v>
      </c>
      <c r="E108" s="1"/>
      <c r="F108" s="3" t="s">
        <v>6</v>
      </c>
      <c r="G108" s="156">
        <v>45</v>
      </c>
      <c r="H108" s="11">
        <v>2.0102526688700002</v>
      </c>
      <c r="I108" s="10" t="s">
        <v>741</v>
      </c>
      <c r="J108" s="10" t="s">
        <v>735</v>
      </c>
      <c r="K108" s="10" t="s">
        <v>738</v>
      </c>
      <c r="L108" s="157">
        <v>2</v>
      </c>
      <c r="M108" s="1">
        <f>'State of the System - Sumter Co'!K108</f>
        <v>2</v>
      </c>
      <c r="N108" s="1" t="str">
        <f>IF('State of the System - Sumter Co'!L108="URBAN","U","R")</f>
        <v>U</v>
      </c>
      <c r="O108" s="1" t="str">
        <f>IF('State of the System - Sumter Co'!M108="UNDIVIDED","U",IF('State of the System - Sumter Co'!M108="DIVIDED","D","F"))</f>
        <v>U</v>
      </c>
      <c r="P108" s="1" t="str">
        <f>'State of the System - Sumter Co'!N108</f>
        <v>UNINTERRUPTED</v>
      </c>
      <c r="Q108" s="1" t="str">
        <f t="shared" si="156"/>
        <v/>
      </c>
      <c r="R108" s="1" t="str">
        <f>'State of the System - Sumter Co'!O108</f>
        <v/>
      </c>
      <c r="S108" s="1" t="str">
        <f t="shared" si="221"/>
        <v>-x</v>
      </c>
      <c r="T108" s="1" t="str">
        <f t="shared" si="158"/>
        <v>U-2U-x</v>
      </c>
      <c r="U108" s="1" t="str">
        <f t="shared" si="211"/>
        <v>U-2U-x</v>
      </c>
      <c r="V108" s="1" t="s">
        <v>10</v>
      </c>
      <c r="W108" s="1" t="s">
        <v>11</v>
      </c>
      <c r="X108" s="1" t="s">
        <v>21</v>
      </c>
      <c r="Y108" s="1" t="str">
        <f>'State of the System - Sumter Co'!R108</f>
        <v>C</v>
      </c>
      <c r="Z108" s="157" t="str">
        <f t="shared" si="159"/>
        <v>Other CMP Network Roadways</v>
      </c>
      <c r="AA108" s="15">
        <f>VLOOKUP($T108,'2020_CapacityTable'!$B$49:$F$71,2)</f>
        <v>11700</v>
      </c>
      <c r="AB108" s="15">
        <f>VLOOKUP($T108,'2020_CapacityTable'!$B$49:$F$71,3)</f>
        <v>18000</v>
      </c>
      <c r="AC108" s="15">
        <f>VLOOKUP($T108,'2020_CapacityTable'!$B$49:$F$71,4)</f>
        <v>24200</v>
      </c>
      <c r="AD108" s="15">
        <f>VLOOKUP($T108,'2020_CapacityTable'!$B$49:$F$71,5)</f>
        <v>32600</v>
      </c>
      <c r="AE108" s="35"/>
      <c r="AF108" s="36" t="str">
        <f t="shared" si="160"/>
        <v/>
      </c>
      <c r="AG108" s="35" t="str">
        <f t="shared" si="220"/>
        <v/>
      </c>
      <c r="AH108" s="35" t="str">
        <f t="shared" si="210"/>
        <v/>
      </c>
      <c r="AI108" s="35"/>
      <c r="AJ108" s="36"/>
      <c r="AK108" s="15">
        <f t="shared" si="161"/>
        <v>11700</v>
      </c>
      <c r="AL108" s="15">
        <f t="shared" si="162"/>
        <v>18000</v>
      </c>
      <c r="AM108" s="15">
        <f t="shared" si="163"/>
        <v>24200</v>
      </c>
      <c r="AN108" s="15">
        <f t="shared" si="164"/>
        <v>32600</v>
      </c>
      <c r="AO108" s="3">
        <f t="shared" si="212"/>
        <v>18000</v>
      </c>
      <c r="AP108" s="138">
        <f>VLOOKUP($B108,'2022 counts'!$B$6:$R$304,17,FALSE)</f>
        <v>5905</v>
      </c>
      <c r="AQ108" s="11">
        <f t="shared" si="165"/>
        <v>0.33</v>
      </c>
      <c r="AR108" s="2" t="str">
        <f t="shared" si="166"/>
        <v>B</v>
      </c>
      <c r="AS108" s="26">
        <f t="shared" si="167"/>
        <v>4.33</v>
      </c>
      <c r="AT108" s="15">
        <f>VLOOKUP($T108,'2020_CapacityTable'!$B$23:$F$45,2)</f>
        <v>580</v>
      </c>
      <c r="AU108" s="15">
        <f>VLOOKUP($T108,'2020_CapacityTable'!$B$23:$F$45,3)</f>
        <v>890</v>
      </c>
      <c r="AV108" s="15">
        <f>VLOOKUP($T108,'2020_CapacityTable'!$B$23:$F$45,4)</f>
        <v>1200</v>
      </c>
      <c r="AW108" s="15">
        <f>VLOOKUP($T108,'2020_CapacityTable'!$B$23:$F$45,5)</f>
        <v>1610</v>
      </c>
      <c r="AX108" s="15">
        <f t="shared" si="168"/>
        <v>580</v>
      </c>
      <c r="AY108" s="15">
        <f t="shared" si="169"/>
        <v>890</v>
      </c>
      <c r="AZ108" s="15">
        <f t="shared" si="170"/>
        <v>1200</v>
      </c>
      <c r="BA108" s="15">
        <f t="shared" si="171"/>
        <v>1610</v>
      </c>
      <c r="BB108" s="3">
        <f t="shared" si="213"/>
        <v>890</v>
      </c>
      <c r="BC108" s="138">
        <f>VLOOKUP($B108,'2022 counts'!$B$6:$AD$304,28,FALSE)</f>
        <v>180</v>
      </c>
      <c r="BD108" s="138">
        <f>VLOOKUP($B108,'2022 counts'!$B$6:$AD$304,29,FALSE)</f>
        <v>310</v>
      </c>
      <c r="BE108" s="11">
        <f t="shared" si="173"/>
        <v>0.35</v>
      </c>
      <c r="BF108" s="2" t="str">
        <f t="shared" si="174"/>
        <v>B</v>
      </c>
      <c r="BG108" s="135">
        <v>3.2500000000000001E-2</v>
      </c>
      <c r="BH108" s="135">
        <f>IF($AQ108="","",VLOOKUP($B108, '2022 counts'!$B$6:$T$304,19,FALSE))</f>
        <v>3.2500000000000001E-2</v>
      </c>
      <c r="BI108" s="38">
        <f t="shared" si="175"/>
        <v>3.2500000000000001E-2</v>
      </c>
      <c r="BJ108" s="39" t="str">
        <f t="shared" si="176"/>
        <v/>
      </c>
      <c r="BK108" s="15">
        <f>VLOOKUP($U108,'2020_CapacityTable'!$B$49:$F$71,2)</f>
        <v>11700</v>
      </c>
      <c r="BL108" s="15">
        <f>VLOOKUP($U108,'2020_CapacityTable'!$B$49:$F$71,3)</f>
        <v>18000</v>
      </c>
      <c r="BM108" s="15">
        <f>VLOOKUP($T108,'2020_CapacityTable'!$B$49:$F$71,4)</f>
        <v>24200</v>
      </c>
      <c r="BN108" s="15">
        <f>VLOOKUP($T108,'2020_CapacityTable'!$B$49:$F$71,5)</f>
        <v>32600</v>
      </c>
      <c r="BO108" s="15">
        <f t="shared" si="177"/>
        <v>11700</v>
      </c>
      <c r="BP108" s="15">
        <f t="shared" si="178"/>
        <v>18000</v>
      </c>
      <c r="BQ108" s="15">
        <f t="shared" si="179"/>
        <v>24200</v>
      </c>
      <c r="BR108" s="15">
        <f t="shared" si="180"/>
        <v>32600</v>
      </c>
      <c r="BS108" s="3">
        <f t="shared" si="214"/>
        <v>18000</v>
      </c>
      <c r="BT108" s="40">
        <f>'State of the System - Sumter Co'!AD108</f>
        <v>6929</v>
      </c>
      <c r="BU108" s="41">
        <f t="shared" si="182"/>
        <v>0.38</v>
      </c>
      <c r="BV108" s="2" t="str">
        <f t="shared" si="183"/>
        <v>B</v>
      </c>
      <c r="BW108" s="2">
        <f t="shared" si="184"/>
        <v>5.08</v>
      </c>
      <c r="BX108" s="15">
        <f>VLOOKUP($U108,'2020_CapacityTable'!$B$23:$F$45,2)</f>
        <v>580</v>
      </c>
      <c r="BY108" s="15">
        <f>VLOOKUP($U108,'2020_CapacityTable'!$B$23:$F$45,3)</f>
        <v>890</v>
      </c>
      <c r="BZ108" s="15">
        <f>VLOOKUP($U108,'2020_CapacityTable'!$B$23:$F$45,4)</f>
        <v>1200</v>
      </c>
      <c r="CA108" s="15">
        <f>VLOOKUP($U108,'2020_CapacityTable'!$B$23:$F$45,5)</f>
        <v>1610</v>
      </c>
      <c r="CB108" s="15">
        <f t="shared" si="185"/>
        <v>580</v>
      </c>
      <c r="CC108" s="15">
        <f t="shared" si="186"/>
        <v>890</v>
      </c>
      <c r="CD108" s="15">
        <f t="shared" si="187"/>
        <v>1200</v>
      </c>
      <c r="CE108" s="15">
        <f t="shared" si="188"/>
        <v>1610</v>
      </c>
      <c r="CF108" s="3">
        <f t="shared" si="215"/>
        <v>890</v>
      </c>
      <c r="CG108" s="2">
        <f>'State of the System - Sumter Co'!AH108</f>
        <v>211</v>
      </c>
      <c r="CH108" s="2">
        <f>'State of the System - Sumter Co'!AI108</f>
        <v>364</v>
      </c>
      <c r="CI108" s="11">
        <f t="shared" si="190"/>
        <v>0.41</v>
      </c>
      <c r="CJ108" s="2" t="str">
        <f t="shared" si="216"/>
        <v>B</v>
      </c>
      <c r="CK108" s="3">
        <f t="shared" si="192"/>
        <v>35208</v>
      </c>
      <c r="CL108" s="11">
        <f t="shared" si="193"/>
        <v>0.2</v>
      </c>
      <c r="CM108" s="11" t="str">
        <f t="shared" si="194"/>
        <v>NOT CONGESTED</v>
      </c>
      <c r="CN108" s="3">
        <f t="shared" si="195"/>
        <v>1739</v>
      </c>
      <c r="CO108" s="11">
        <f t="shared" si="196"/>
        <v>0.21</v>
      </c>
      <c r="CP108" s="156" t="str">
        <f t="shared" si="217"/>
        <v>NOT CONGESTED</v>
      </c>
      <c r="CQ108" s="2"/>
      <c r="CR108" s="42"/>
      <c r="CS108" s="11" t="str">
        <f t="shared" si="198"/>
        <v/>
      </c>
      <c r="CT108" s="11" t="str">
        <f t="shared" si="218"/>
        <v/>
      </c>
      <c r="CU108" s="11" t="str">
        <f t="shared" si="200"/>
        <v/>
      </c>
      <c r="CV108" s="11" t="str">
        <f t="shared" si="201"/>
        <v/>
      </c>
      <c r="CW108" s="2"/>
      <c r="CX108" s="1"/>
      <c r="CY108" s="145" t="str">
        <f t="shared" si="202"/>
        <v/>
      </c>
      <c r="CZ108" s="32" t="str">
        <f t="shared" si="203"/>
        <v/>
      </c>
    </row>
    <row r="109" spans="1:104" ht="12.75" customHeight="1">
      <c r="A109" s="1">
        <v>3549120</v>
      </c>
      <c r="B109" s="1">
        <f t="shared" si="204"/>
        <v>62</v>
      </c>
      <c r="C109" s="1">
        <v>85</v>
      </c>
      <c r="D109" s="1">
        <f>VLOOKUP(C109,'2022 counts'!$A$6:$B$304,2,FALSE)</f>
        <v>62</v>
      </c>
      <c r="E109" s="1"/>
      <c r="F109" s="3" t="s">
        <v>6</v>
      </c>
      <c r="G109" s="156">
        <v>45</v>
      </c>
      <c r="H109" s="11">
        <v>1.5518909830600001</v>
      </c>
      <c r="I109" s="10" t="s">
        <v>741</v>
      </c>
      <c r="J109" s="10" t="s">
        <v>738</v>
      </c>
      <c r="K109" s="10" t="s">
        <v>86</v>
      </c>
      <c r="L109" s="157">
        <v>2</v>
      </c>
      <c r="M109" s="1">
        <f>'State of the System - Sumter Co'!K109</f>
        <v>2</v>
      </c>
      <c r="N109" s="1" t="str">
        <f>IF('State of the System - Sumter Co'!L109="URBAN","U","R")</f>
        <v>U</v>
      </c>
      <c r="O109" s="1" t="str">
        <f>IF('State of the System - Sumter Co'!M109="UNDIVIDED","U",IF('State of the System - Sumter Co'!M109="DIVIDED","D","F"))</f>
        <v>U</v>
      </c>
      <c r="P109" s="1" t="str">
        <f>'State of the System - Sumter Co'!N109</f>
        <v>UNINTERRUPTED</v>
      </c>
      <c r="Q109" s="1" t="str">
        <f t="shared" si="156"/>
        <v/>
      </c>
      <c r="R109" s="1" t="str">
        <f>'State of the System - Sumter Co'!O109</f>
        <v/>
      </c>
      <c r="S109" s="1" t="str">
        <f t="shared" si="221"/>
        <v>-x</v>
      </c>
      <c r="T109" s="1" t="str">
        <f t="shared" si="158"/>
        <v>U-2U-x</v>
      </c>
      <c r="U109" s="1" t="str">
        <f t="shared" si="211"/>
        <v>U-2U-x</v>
      </c>
      <c r="V109" s="1" t="s">
        <v>10</v>
      </c>
      <c r="W109" s="1" t="s">
        <v>11</v>
      </c>
      <c r="X109" s="1" t="s">
        <v>21</v>
      </c>
      <c r="Y109" s="1" t="str">
        <f>'State of the System - Sumter Co'!R109</f>
        <v>C</v>
      </c>
      <c r="Z109" s="157" t="str">
        <f t="shared" si="159"/>
        <v>Other CMP Network Roadways</v>
      </c>
      <c r="AA109" s="15">
        <f>VLOOKUP($T109,'2020_CapacityTable'!$B$49:$F$71,2)</f>
        <v>11700</v>
      </c>
      <c r="AB109" s="15">
        <f>VLOOKUP($T109,'2020_CapacityTable'!$B$49:$F$71,3)</f>
        <v>18000</v>
      </c>
      <c r="AC109" s="15">
        <f>VLOOKUP($T109,'2020_CapacityTable'!$B$49:$F$71,4)</f>
        <v>24200</v>
      </c>
      <c r="AD109" s="15">
        <f>VLOOKUP($T109,'2020_CapacityTable'!$B$49:$F$71,5)</f>
        <v>32600</v>
      </c>
      <c r="AE109" s="35"/>
      <c r="AF109" s="36" t="str">
        <f t="shared" si="160"/>
        <v/>
      </c>
      <c r="AG109" s="35" t="str">
        <f t="shared" si="220"/>
        <v/>
      </c>
      <c r="AH109" s="35" t="str">
        <f t="shared" si="210"/>
        <v/>
      </c>
      <c r="AI109" s="35"/>
      <c r="AJ109" s="36"/>
      <c r="AK109" s="15">
        <f t="shared" si="161"/>
        <v>11700</v>
      </c>
      <c r="AL109" s="15">
        <f t="shared" si="162"/>
        <v>18000</v>
      </c>
      <c r="AM109" s="15">
        <f t="shared" si="163"/>
        <v>24200</v>
      </c>
      <c r="AN109" s="15">
        <f t="shared" si="164"/>
        <v>32600</v>
      </c>
      <c r="AO109" s="3">
        <f t="shared" si="212"/>
        <v>18000</v>
      </c>
      <c r="AP109" s="138">
        <f>VLOOKUP($B109,'2022 counts'!$B$6:$R$304,17,FALSE)</f>
        <v>5405</v>
      </c>
      <c r="AQ109" s="11">
        <f t="shared" si="165"/>
        <v>0.3</v>
      </c>
      <c r="AR109" s="2" t="str">
        <f t="shared" si="166"/>
        <v>B</v>
      </c>
      <c r="AS109" s="26">
        <f t="shared" si="167"/>
        <v>3.06</v>
      </c>
      <c r="AT109" s="15">
        <f>VLOOKUP($T109,'2020_CapacityTable'!$B$23:$F$45,2)</f>
        <v>580</v>
      </c>
      <c r="AU109" s="15">
        <f>VLOOKUP($T109,'2020_CapacityTable'!$B$23:$F$45,3)</f>
        <v>890</v>
      </c>
      <c r="AV109" s="15">
        <f>VLOOKUP($T109,'2020_CapacityTable'!$B$23:$F$45,4)</f>
        <v>1200</v>
      </c>
      <c r="AW109" s="15">
        <f>VLOOKUP($T109,'2020_CapacityTable'!$B$23:$F$45,5)</f>
        <v>1610</v>
      </c>
      <c r="AX109" s="15">
        <f t="shared" si="168"/>
        <v>580</v>
      </c>
      <c r="AY109" s="15">
        <f t="shared" si="169"/>
        <v>890</v>
      </c>
      <c r="AZ109" s="15">
        <f t="shared" si="170"/>
        <v>1200</v>
      </c>
      <c r="BA109" s="15">
        <f t="shared" si="171"/>
        <v>1610</v>
      </c>
      <c r="BB109" s="3">
        <f t="shared" si="213"/>
        <v>890</v>
      </c>
      <c r="BC109" s="138">
        <f>VLOOKUP($B109,'2022 counts'!$B$6:$AD$304,28,FALSE)</f>
        <v>173</v>
      </c>
      <c r="BD109" s="138">
        <f>VLOOKUP($B109,'2022 counts'!$B$6:$AD$304,29,FALSE)</f>
        <v>290</v>
      </c>
      <c r="BE109" s="11">
        <f t="shared" si="173"/>
        <v>0.33</v>
      </c>
      <c r="BF109" s="2" t="str">
        <f t="shared" si="174"/>
        <v>B</v>
      </c>
      <c r="BG109" s="135">
        <v>2.2499999999999999E-2</v>
      </c>
      <c r="BH109" s="135">
        <f>IF($AQ109="","",VLOOKUP($B109, '2022 counts'!$B$6:$T$304,19,FALSE))</f>
        <v>2.2499999999999999E-2</v>
      </c>
      <c r="BI109" s="38">
        <f t="shared" si="175"/>
        <v>2.2499999999999999E-2</v>
      </c>
      <c r="BJ109" s="39" t="str">
        <f t="shared" si="176"/>
        <v/>
      </c>
      <c r="BK109" s="15">
        <f>VLOOKUP($U109,'2020_CapacityTable'!$B$49:$F$71,2)</f>
        <v>11700</v>
      </c>
      <c r="BL109" s="15">
        <f>VLOOKUP($U109,'2020_CapacityTable'!$B$49:$F$71,3)</f>
        <v>18000</v>
      </c>
      <c r="BM109" s="15">
        <f>VLOOKUP($T109,'2020_CapacityTable'!$B$49:$F$71,4)</f>
        <v>24200</v>
      </c>
      <c r="BN109" s="15">
        <f>VLOOKUP($T109,'2020_CapacityTable'!$B$49:$F$71,5)</f>
        <v>32600</v>
      </c>
      <c r="BO109" s="15">
        <f t="shared" si="177"/>
        <v>11700</v>
      </c>
      <c r="BP109" s="15">
        <f t="shared" si="178"/>
        <v>18000</v>
      </c>
      <c r="BQ109" s="15">
        <f t="shared" si="179"/>
        <v>24200</v>
      </c>
      <c r="BR109" s="15">
        <f t="shared" si="180"/>
        <v>32600</v>
      </c>
      <c r="BS109" s="3">
        <f t="shared" si="214"/>
        <v>18000</v>
      </c>
      <c r="BT109" s="40">
        <f>'State of the System - Sumter Co'!AD109</f>
        <v>6041</v>
      </c>
      <c r="BU109" s="41">
        <f t="shared" si="182"/>
        <v>0.34</v>
      </c>
      <c r="BV109" s="2" t="str">
        <f t="shared" si="183"/>
        <v>B</v>
      </c>
      <c r="BW109" s="2">
        <f t="shared" si="184"/>
        <v>3.42</v>
      </c>
      <c r="BX109" s="15">
        <f>VLOOKUP($U109,'2020_CapacityTable'!$B$23:$F$45,2)</f>
        <v>580</v>
      </c>
      <c r="BY109" s="15">
        <f>VLOOKUP($U109,'2020_CapacityTable'!$B$23:$F$45,3)</f>
        <v>890</v>
      </c>
      <c r="BZ109" s="15">
        <f>VLOOKUP($U109,'2020_CapacityTable'!$B$23:$F$45,4)</f>
        <v>1200</v>
      </c>
      <c r="CA109" s="15">
        <f>VLOOKUP($U109,'2020_CapacityTable'!$B$23:$F$45,5)</f>
        <v>1610</v>
      </c>
      <c r="CB109" s="15">
        <f t="shared" si="185"/>
        <v>580</v>
      </c>
      <c r="CC109" s="15">
        <f t="shared" si="186"/>
        <v>890</v>
      </c>
      <c r="CD109" s="15">
        <f t="shared" si="187"/>
        <v>1200</v>
      </c>
      <c r="CE109" s="15">
        <f t="shared" si="188"/>
        <v>1610</v>
      </c>
      <c r="CF109" s="3">
        <f t="shared" si="215"/>
        <v>890</v>
      </c>
      <c r="CG109" s="2">
        <f>'State of the System - Sumter Co'!AH109</f>
        <v>193</v>
      </c>
      <c r="CH109" s="2">
        <f>'State of the System - Sumter Co'!AI109</f>
        <v>324</v>
      </c>
      <c r="CI109" s="11">
        <f t="shared" si="190"/>
        <v>0.36</v>
      </c>
      <c r="CJ109" s="2" t="str">
        <f t="shared" si="216"/>
        <v>B</v>
      </c>
      <c r="CK109" s="3">
        <f t="shared" si="192"/>
        <v>35208</v>
      </c>
      <c r="CL109" s="11">
        <f t="shared" si="193"/>
        <v>0.17</v>
      </c>
      <c r="CM109" s="11" t="str">
        <f t="shared" si="194"/>
        <v>NOT CONGESTED</v>
      </c>
      <c r="CN109" s="3">
        <f t="shared" si="195"/>
        <v>1739</v>
      </c>
      <c r="CO109" s="11">
        <f t="shared" si="196"/>
        <v>0.19</v>
      </c>
      <c r="CP109" s="156" t="str">
        <f t="shared" si="217"/>
        <v>NOT CONGESTED</v>
      </c>
      <c r="CQ109" s="3"/>
      <c r="CR109" s="3"/>
      <c r="CS109" s="11" t="str">
        <f t="shared" si="198"/>
        <v/>
      </c>
      <c r="CT109" s="11" t="str">
        <f t="shared" si="218"/>
        <v/>
      </c>
      <c r="CU109" s="11" t="str">
        <f t="shared" si="200"/>
        <v/>
      </c>
      <c r="CV109" s="11" t="str">
        <f t="shared" si="201"/>
        <v/>
      </c>
      <c r="CW109" s="2"/>
      <c r="CX109" s="1"/>
      <c r="CY109" s="145" t="str">
        <f t="shared" si="202"/>
        <v/>
      </c>
      <c r="CZ109" s="32" t="str">
        <f t="shared" si="203"/>
        <v/>
      </c>
    </row>
    <row r="110" spans="1:104" ht="12.75" customHeight="1">
      <c r="A110" s="1">
        <v>3549130</v>
      </c>
      <c r="B110" s="1">
        <f t="shared" si="204"/>
        <v>56</v>
      </c>
      <c r="C110" s="1">
        <v>364</v>
      </c>
      <c r="D110" s="1">
        <f>VLOOKUP(C110,'2022 counts'!$A$6:$B$304,2,FALSE)</f>
        <v>56</v>
      </c>
      <c r="E110" s="1"/>
      <c r="F110" s="3" t="s">
        <v>6</v>
      </c>
      <c r="G110" s="156">
        <v>45</v>
      </c>
      <c r="H110" s="11">
        <v>1.8160939453</v>
      </c>
      <c r="I110" s="10" t="s">
        <v>741</v>
      </c>
      <c r="J110" s="10" t="s">
        <v>86</v>
      </c>
      <c r="K110" s="10" t="s">
        <v>87</v>
      </c>
      <c r="L110" s="157">
        <v>2</v>
      </c>
      <c r="M110" s="1">
        <f>'State of the System - Sumter Co'!K110</f>
        <v>2</v>
      </c>
      <c r="N110" s="1" t="str">
        <f>IF('State of the System - Sumter Co'!L110="URBAN","U","R")</f>
        <v>U</v>
      </c>
      <c r="O110" s="1" t="str">
        <f>IF('State of the System - Sumter Co'!M110="UNDIVIDED","U",IF('State of the System - Sumter Co'!M110="DIVIDED","D","F"))</f>
        <v>U</v>
      </c>
      <c r="P110" s="1" t="str">
        <f>'State of the System - Sumter Co'!N110</f>
        <v>UNINTERRUPTED</v>
      </c>
      <c r="Q110" s="1" t="str">
        <f t="shared" si="156"/>
        <v/>
      </c>
      <c r="R110" s="1" t="str">
        <f>'State of the System - Sumter Co'!O110</f>
        <v/>
      </c>
      <c r="S110" s="1" t="str">
        <f t="shared" si="221"/>
        <v>-x</v>
      </c>
      <c r="T110" s="1" t="str">
        <f t="shared" si="158"/>
        <v>U-2U-x</v>
      </c>
      <c r="U110" s="1" t="str">
        <f t="shared" si="211"/>
        <v>U-2U-x</v>
      </c>
      <c r="V110" s="1" t="s">
        <v>10</v>
      </c>
      <c r="W110" s="1" t="s">
        <v>76</v>
      </c>
      <c r="X110" s="1" t="s">
        <v>21</v>
      </c>
      <c r="Y110" s="1" t="str">
        <f>'State of the System - Sumter Co'!R110</f>
        <v>D</v>
      </c>
      <c r="Z110" s="157" t="str">
        <f t="shared" si="159"/>
        <v>Other CMP Network Roadways</v>
      </c>
      <c r="AA110" s="15">
        <f>VLOOKUP($T110,'2020_CapacityTable'!$B$49:$F$71,2)</f>
        <v>11700</v>
      </c>
      <c r="AB110" s="15">
        <f>VLOOKUP($T110,'2020_CapacityTable'!$B$49:$F$71,3)</f>
        <v>18000</v>
      </c>
      <c r="AC110" s="15">
        <f>VLOOKUP($T110,'2020_CapacityTable'!$B$49:$F$71,4)</f>
        <v>24200</v>
      </c>
      <c r="AD110" s="15">
        <f>VLOOKUP($T110,'2020_CapacityTable'!$B$49:$F$71,5)</f>
        <v>32600</v>
      </c>
      <c r="AE110" s="35"/>
      <c r="AF110" s="36" t="str">
        <f t="shared" si="160"/>
        <v/>
      </c>
      <c r="AG110" s="35" t="str">
        <f t="shared" si="220"/>
        <v/>
      </c>
      <c r="AH110" s="35" t="str">
        <f t="shared" si="210"/>
        <v/>
      </c>
      <c r="AI110" s="35"/>
      <c r="AJ110" s="36"/>
      <c r="AK110" s="15">
        <f t="shared" si="161"/>
        <v>11700</v>
      </c>
      <c r="AL110" s="15">
        <f t="shared" si="162"/>
        <v>18000</v>
      </c>
      <c r="AM110" s="15">
        <f t="shared" si="163"/>
        <v>24200</v>
      </c>
      <c r="AN110" s="15">
        <f t="shared" si="164"/>
        <v>32600</v>
      </c>
      <c r="AO110" s="3">
        <f t="shared" si="212"/>
        <v>24200</v>
      </c>
      <c r="AP110" s="138">
        <f>VLOOKUP($B110,'2022 counts'!$B$6:$R$304,17,FALSE)</f>
        <v>5802</v>
      </c>
      <c r="AQ110" s="11">
        <f t="shared" si="165"/>
        <v>0.24</v>
      </c>
      <c r="AR110" s="2" t="str">
        <f t="shared" si="166"/>
        <v>B</v>
      </c>
      <c r="AS110" s="26">
        <f t="shared" si="167"/>
        <v>3.85</v>
      </c>
      <c r="AT110" s="15">
        <f>VLOOKUP($T110,'2020_CapacityTable'!$B$23:$F$45,2)</f>
        <v>580</v>
      </c>
      <c r="AU110" s="15">
        <f>VLOOKUP($T110,'2020_CapacityTable'!$B$23:$F$45,3)</f>
        <v>890</v>
      </c>
      <c r="AV110" s="15">
        <f>VLOOKUP($T110,'2020_CapacityTable'!$B$23:$F$45,4)</f>
        <v>1200</v>
      </c>
      <c r="AW110" s="15">
        <f>VLOOKUP($T110,'2020_CapacityTable'!$B$23:$F$45,5)</f>
        <v>1610</v>
      </c>
      <c r="AX110" s="15">
        <f t="shared" si="168"/>
        <v>580</v>
      </c>
      <c r="AY110" s="15">
        <f t="shared" si="169"/>
        <v>890</v>
      </c>
      <c r="AZ110" s="15">
        <f t="shared" si="170"/>
        <v>1200</v>
      </c>
      <c r="BA110" s="15">
        <f t="shared" si="171"/>
        <v>1610</v>
      </c>
      <c r="BB110" s="3">
        <f t="shared" si="213"/>
        <v>1200</v>
      </c>
      <c r="BC110" s="138">
        <f>VLOOKUP($B110,'2022 counts'!$B$6:$AD$304,28,FALSE)</f>
        <v>186</v>
      </c>
      <c r="BD110" s="138">
        <f>VLOOKUP($B110,'2022 counts'!$B$6:$AD$304,29,FALSE)</f>
        <v>327</v>
      </c>
      <c r="BE110" s="11">
        <f t="shared" si="173"/>
        <v>0.27</v>
      </c>
      <c r="BF110" s="2" t="str">
        <f t="shared" si="174"/>
        <v>B</v>
      </c>
      <c r="BG110" s="135">
        <v>1.7500000000000002E-2</v>
      </c>
      <c r="BH110" s="135">
        <f>IF($AQ110="","",VLOOKUP($B110, '2022 counts'!$B$6:$T$304,19,FALSE))</f>
        <v>1.7500000000000002E-2</v>
      </c>
      <c r="BI110" s="38">
        <f t="shared" si="175"/>
        <v>1.7500000000000002E-2</v>
      </c>
      <c r="BJ110" s="39" t="str">
        <f t="shared" si="176"/>
        <v/>
      </c>
      <c r="BK110" s="15">
        <f>VLOOKUP($U110,'2020_CapacityTable'!$B$49:$F$71,2)</f>
        <v>11700</v>
      </c>
      <c r="BL110" s="15">
        <f>VLOOKUP($U110,'2020_CapacityTable'!$B$49:$F$71,3)</f>
        <v>18000</v>
      </c>
      <c r="BM110" s="15">
        <f>VLOOKUP($T110,'2020_CapacityTable'!$B$49:$F$71,4)</f>
        <v>24200</v>
      </c>
      <c r="BN110" s="15">
        <f>VLOOKUP($T110,'2020_CapacityTable'!$B$49:$F$71,5)</f>
        <v>32600</v>
      </c>
      <c r="BO110" s="15">
        <f t="shared" si="177"/>
        <v>11700</v>
      </c>
      <c r="BP110" s="15">
        <f t="shared" si="178"/>
        <v>18000</v>
      </c>
      <c r="BQ110" s="15">
        <f t="shared" si="179"/>
        <v>24200</v>
      </c>
      <c r="BR110" s="15">
        <f t="shared" si="180"/>
        <v>32600</v>
      </c>
      <c r="BS110" s="3">
        <f t="shared" si="214"/>
        <v>24200</v>
      </c>
      <c r="BT110" s="40">
        <f>'State of the System - Sumter Co'!AD110</f>
        <v>6328</v>
      </c>
      <c r="BU110" s="41">
        <f t="shared" si="182"/>
        <v>0.26</v>
      </c>
      <c r="BV110" s="2" t="str">
        <f t="shared" si="183"/>
        <v>B</v>
      </c>
      <c r="BW110" s="2">
        <f t="shared" si="184"/>
        <v>4.1900000000000004</v>
      </c>
      <c r="BX110" s="15">
        <f>VLOOKUP($U110,'2020_CapacityTable'!$B$23:$F$45,2)</f>
        <v>580</v>
      </c>
      <c r="BY110" s="15">
        <f>VLOOKUP($U110,'2020_CapacityTable'!$B$23:$F$45,3)</f>
        <v>890</v>
      </c>
      <c r="BZ110" s="15">
        <f>VLOOKUP($U110,'2020_CapacityTable'!$B$23:$F$45,4)</f>
        <v>1200</v>
      </c>
      <c r="CA110" s="15">
        <f>VLOOKUP($U110,'2020_CapacityTable'!$B$23:$F$45,5)</f>
        <v>1610</v>
      </c>
      <c r="CB110" s="15">
        <f t="shared" si="185"/>
        <v>580</v>
      </c>
      <c r="CC110" s="15">
        <f t="shared" si="186"/>
        <v>890</v>
      </c>
      <c r="CD110" s="15">
        <f t="shared" si="187"/>
        <v>1200</v>
      </c>
      <c r="CE110" s="15">
        <f t="shared" si="188"/>
        <v>1610</v>
      </c>
      <c r="CF110" s="3">
        <f t="shared" si="215"/>
        <v>1200</v>
      </c>
      <c r="CG110" s="2">
        <f>'State of the System - Sumter Co'!AH110</f>
        <v>203</v>
      </c>
      <c r="CH110" s="2">
        <f>'State of the System - Sumter Co'!AI110</f>
        <v>357</v>
      </c>
      <c r="CI110" s="11">
        <f t="shared" si="190"/>
        <v>0.3</v>
      </c>
      <c r="CJ110" s="2" t="str">
        <f t="shared" si="216"/>
        <v>B</v>
      </c>
      <c r="CK110" s="3">
        <f t="shared" si="192"/>
        <v>35208</v>
      </c>
      <c r="CL110" s="11">
        <f t="shared" si="193"/>
        <v>0.18</v>
      </c>
      <c r="CM110" s="11" t="str">
        <f t="shared" si="194"/>
        <v>NOT CONGESTED</v>
      </c>
      <c r="CN110" s="3">
        <f t="shared" si="195"/>
        <v>1739</v>
      </c>
      <c r="CO110" s="11">
        <f t="shared" si="196"/>
        <v>0.21</v>
      </c>
      <c r="CP110" s="156" t="str">
        <f t="shared" si="217"/>
        <v>NOT CONGESTED</v>
      </c>
      <c r="CQ110" s="3"/>
      <c r="CR110" s="3"/>
      <c r="CS110" s="11" t="str">
        <f t="shared" si="198"/>
        <v/>
      </c>
      <c r="CT110" s="11" t="str">
        <f t="shared" si="218"/>
        <v/>
      </c>
      <c r="CU110" s="11" t="str">
        <f t="shared" si="200"/>
        <v/>
      </c>
      <c r="CV110" s="11" t="str">
        <f t="shared" si="201"/>
        <v/>
      </c>
      <c r="CW110" s="2"/>
      <c r="CX110" s="1"/>
      <c r="CY110" s="145" t="str">
        <f t="shared" si="202"/>
        <v/>
      </c>
      <c r="CZ110" s="32" t="str">
        <f t="shared" si="203"/>
        <v/>
      </c>
    </row>
    <row r="111" spans="1:104" ht="12.75" customHeight="1">
      <c r="A111" s="1">
        <v>3549140</v>
      </c>
      <c r="B111" s="1">
        <f t="shared" si="204"/>
        <v>63</v>
      </c>
      <c r="C111" s="1">
        <v>86</v>
      </c>
      <c r="D111" s="1">
        <f>VLOOKUP(C111,'2022 counts'!$A$6:$B$304,2,FALSE)</f>
        <v>63</v>
      </c>
      <c r="E111" s="1"/>
      <c r="F111" s="3" t="s">
        <v>6</v>
      </c>
      <c r="G111" s="156">
        <v>45</v>
      </c>
      <c r="H111" s="11">
        <v>2.3414434066599998</v>
      </c>
      <c r="I111" s="10" t="s">
        <v>741</v>
      </c>
      <c r="J111" s="10" t="s">
        <v>87</v>
      </c>
      <c r="K111" s="10" t="s">
        <v>40</v>
      </c>
      <c r="L111" s="157">
        <v>2</v>
      </c>
      <c r="M111" s="1">
        <f>'State of the System - Sumter Co'!K111</f>
        <v>2</v>
      </c>
      <c r="N111" s="1" t="str">
        <f>IF('State of the System - Sumter Co'!L111="URBAN","U","R")</f>
        <v>U</v>
      </c>
      <c r="O111" s="1" t="str">
        <f>IF('State of the System - Sumter Co'!M111="UNDIVIDED","U",IF('State of the System - Sumter Co'!M111="DIVIDED","D","F"))</f>
        <v>U</v>
      </c>
      <c r="P111" s="1" t="str">
        <f>'State of the System - Sumter Co'!N111</f>
        <v>UNINTERRUPTED</v>
      </c>
      <c r="Q111" s="1" t="str">
        <f t="shared" si="156"/>
        <v/>
      </c>
      <c r="R111" s="1" t="str">
        <f>'State of the System - Sumter Co'!O111</f>
        <v/>
      </c>
      <c r="S111" s="1" t="str">
        <f t="shared" si="221"/>
        <v>-x</v>
      </c>
      <c r="T111" s="1" t="str">
        <f t="shared" si="158"/>
        <v>U-2U-x</v>
      </c>
      <c r="U111" s="1" t="str">
        <f t="shared" si="211"/>
        <v>U-2U-x</v>
      </c>
      <c r="V111" s="1" t="s">
        <v>10</v>
      </c>
      <c r="W111" s="1" t="s">
        <v>76</v>
      </c>
      <c r="X111" s="1" t="s">
        <v>21</v>
      </c>
      <c r="Y111" s="1" t="str">
        <f>'State of the System - Sumter Co'!R111</f>
        <v>D</v>
      </c>
      <c r="Z111" s="157" t="str">
        <f t="shared" si="159"/>
        <v>Other CMP Network Roadways</v>
      </c>
      <c r="AA111" s="15">
        <f>VLOOKUP($T111,'2020_CapacityTable'!$B$49:$F$71,2)</f>
        <v>11700</v>
      </c>
      <c r="AB111" s="15">
        <f>VLOOKUP($T111,'2020_CapacityTable'!$B$49:$F$71,3)</f>
        <v>18000</v>
      </c>
      <c r="AC111" s="15">
        <f>VLOOKUP($T111,'2020_CapacityTable'!$B$49:$F$71,4)</f>
        <v>24200</v>
      </c>
      <c r="AD111" s="15">
        <f>VLOOKUP($T111,'2020_CapacityTable'!$B$49:$F$71,5)</f>
        <v>32600</v>
      </c>
      <c r="AE111" s="35"/>
      <c r="AF111" s="36" t="str">
        <f t="shared" si="160"/>
        <v/>
      </c>
      <c r="AG111" s="35" t="str">
        <f t="shared" si="220"/>
        <v/>
      </c>
      <c r="AH111" s="35" t="str">
        <f t="shared" si="210"/>
        <v/>
      </c>
      <c r="AI111" s="35"/>
      <c r="AJ111" s="36"/>
      <c r="AK111" s="15">
        <f t="shared" si="161"/>
        <v>11700</v>
      </c>
      <c r="AL111" s="15">
        <f t="shared" si="162"/>
        <v>18000</v>
      </c>
      <c r="AM111" s="15">
        <f t="shared" si="163"/>
        <v>24200</v>
      </c>
      <c r="AN111" s="15">
        <f t="shared" si="164"/>
        <v>32600</v>
      </c>
      <c r="AO111" s="3">
        <f t="shared" si="212"/>
        <v>24200</v>
      </c>
      <c r="AP111" s="138">
        <f>VLOOKUP($B111,'2022 counts'!$B$6:$R$304,17,FALSE)</f>
        <v>5572</v>
      </c>
      <c r="AQ111" s="11">
        <f t="shared" si="165"/>
        <v>0.23</v>
      </c>
      <c r="AR111" s="2" t="str">
        <f t="shared" si="166"/>
        <v>B</v>
      </c>
      <c r="AS111" s="26">
        <f t="shared" si="167"/>
        <v>4.76</v>
      </c>
      <c r="AT111" s="15">
        <f>VLOOKUP($T111,'2020_CapacityTable'!$B$23:$F$45,2)</f>
        <v>580</v>
      </c>
      <c r="AU111" s="15">
        <f>VLOOKUP($T111,'2020_CapacityTable'!$B$23:$F$45,3)</f>
        <v>890</v>
      </c>
      <c r="AV111" s="15">
        <f>VLOOKUP($T111,'2020_CapacityTable'!$B$23:$F$45,4)</f>
        <v>1200</v>
      </c>
      <c r="AW111" s="15">
        <f>VLOOKUP($T111,'2020_CapacityTable'!$B$23:$F$45,5)</f>
        <v>1610</v>
      </c>
      <c r="AX111" s="15">
        <f t="shared" si="168"/>
        <v>580</v>
      </c>
      <c r="AY111" s="15">
        <f t="shared" si="169"/>
        <v>890</v>
      </c>
      <c r="AZ111" s="15">
        <f t="shared" si="170"/>
        <v>1200</v>
      </c>
      <c r="BA111" s="15">
        <f t="shared" si="171"/>
        <v>1610</v>
      </c>
      <c r="BB111" s="3">
        <f t="shared" si="213"/>
        <v>1200</v>
      </c>
      <c r="BC111" s="138">
        <f>VLOOKUP($B111,'2022 counts'!$B$6:$AD$304,28,FALSE)</f>
        <v>223</v>
      </c>
      <c r="BD111" s="138">
        <f>VLOOKUP($B111,'2022 counts'!$B$6:$AD$304,29,FALSE)</f>
        <v>328</v>
      </c>
      <c r="BE111" s="11">
        <f t="shared" si="173"/>
        <v>0.27</v>
      </c>
      <c r="BF111" s="2" t="str">
        <f t="shared" si="174"/>
        <v>B</v>
      </c>
      <c r="BG111" s="135">
        <v>0.04</v>
      </c>
      <c r="BH111" s="135">
        <f>IF($AQ111="","",VLOOKUP($B111, '2022 counts'!$B$6:$T$304,19,FALSE))</f>
        <v>0.04</v>
      </c>
      <c r="BI111" s="38">
        <f t="shared" si="175"/>
        <v>0.04</v>
      </c>
      <c r="BJ111" s="39" t="str">
        <f t="shared" si="176"/>
        <v/>
      </c>
      <c r="BK111" s="15">
        <f>VLOOKUP($U111,'2020_CapacityTable'!$B$49:$F$71,2)</f>
        <v>11700</v>
      </c>
      <c r="BL111" s="15">
        <f>VLOOKUP($U111,'2020_CapacityTable'!$B$49:$F$71,3)</f>
        <v>18000</v>
      </c>
      <c r="BM111" s="15">
        <f>VLOOKUP($T111,'2020_CapacityTable'!$B$49:$F$71,4)</f>
        <v>24200</v>
      </c>
      <c r="BN111" s="15">
        <f>VLOOKUP($T111,'2020_CapacityTable'!$B$49:$F$71,5)</f>
        <v>32600</v>
      </c>
      <c r="BO111" s="15">
        <f t="shared" si="177"/>
        <v>11700</v>
      </c>
      <c r="BP111" s="15">
        <f t="shared" si="178"/>
        <v>18000</v>
      </c>
      <c r="BQ111" s="15">
        <f t="shared" si="179"/>
        <v>24200</v>
      </c>
      <c r="BR111" s="15">
        <f t="shared" si="180"/>
        <v>32600</v>
      </c>
      <c r="BS111" s="3">
        <f t="shared" si="214"/>
        <v>24200</v>
      </c>
      <c r="BT111" s="40">
        <f>'State of the System - Sumter Co'!AD111</f>
        <v>6779</v>
      </c>
      <c r="BU111" s="41">
        <f t="shared" si="182"/>
        <v>0.28000000000000003</v>
      </c>
      <c r="BV111" s="2" t="str">
        <f t="shared" si="183"/>
        <v>B</v>
      </c>
      <c r="BW111" s="2">
        <f t="shared" si="184"/>
        <v>5.79</v>
      </c>
      <c r="BX111" s="15">
        <f>VLOOKUP($U111,'2020_CapacityTable'!$B$23:$F$45,2)</f>
        <v>580</v>
      </c>
      <c r="BY111" s="15">
        <f>VLOOKUP($U111,'2020_CapacityTable'!$B$23:$F$45,3)</f>
        <v>890</v>
      </c>
      <c r="BZ111" s="15">
        <f>VLOOKUP($U111,'2020_CapacityTable'!$B$23:$F$45,4)</f>
        <v>1200</v>
      </c>
      <c r="CA111" s="15">
        <f>VLOOKUP($U111,'2020_CapacityTable'!$B$23:$F$45,5)</f>
        <v>1610</v>
      </c>
      <c r="CB111" s="15">
        <f t="shared" si="185"/>
        <v>580</v>
      </c>
      <c r="CC111" s="15">
        <f t="shared" si="186"/>
        <v>890</v>
      </c>
      <c r="CD111" s="15">
        <f t="shared" si="187"/>
        <v>1200</v>
      </c>
      <c r="CE111" s="15">
        <f t="shared" si="188"/>
        <v>1610</v>
      </c>
      <c r="CF111" s="3">
        <f t="shared" si="215"/>
        <v>1200</v>
      </c>
      <c r="CG111" s="2">
        <f>'State of the System - Sumter Co'!AH111</f>
        <v>271</v>
      </c>
      <c r="CH111" s="2">
        <f>'State of the System - Sumter Co'!AI111</f>
        <v>399</v>
      </c>
      <c r="CI111" s="11">
        <f t="shared" si="190"/>
        <v>0.33</v>
      </c>
      <c r="CJ111" s="2" t="str">
        <f t="shared" si="216"/>
        <v>B</v>
      </c>
      <c r="CK111" s="3">
        <f t="shared" si="192"/>
        <v>35208</v>
      </c>
      <c r="CL111" s="11">
        <f t="shared" si="193"/>
        <v>0.19</v>
      </c>
      <c r="CM111" s="11" t="str">
        <f t="shared" si="194"/>
        <v>NOT CONGESTED</v>
      </c>
      <c r="CN111" s="3">
        <f t="shared" si="195"/>
        <v>1739</v>
      </c>
      <c r="CO111" s="11">
        <f t="shared" si="196"/>
        <v>0.23</v>
      </c>
      <c r="CP111" s="156" t="str">
        <f t="shared" si="217"/>
        <v>NOT CONGESTED</v>
      </c>
      <c r="CQ111" s="2"/>
      <c r="CR111" s="42"/>
      <c r="CS111" s="11" t="str">
        <f t="shared" si="198"/>
        <v/>
      </c>
      <c r="CT111" s="11" t="str">
        <f t="shared" si="218"/>
        <v/>
      </c>
      <c r="CU111" s="11" t="str">
        <f t="shared" si="200"/>
        <v/>
      </c>
      <c r="CV111" s="11" t="str">
        <f t="shared" si="201"/>
        <v/>
      </c>
      <c r="CW111" s="2"/>
      <c r="CX111" s="1"/>
      <c r="CY111" s="145" t="str">
        <f t="shared" si="202"/>
        <v/>
      </c>
      <c r="CZ111" s="32" t="str">
        <f t="shared" si="203"/>
        <v/>
      </c>
    </row>
    <row r="112" spans="1:104" ht="12.75" customHeight="1">
      <c r="A112" s="1">
        <v>3549160</v>
      </c>
      <c r="B112" s="1">
        <f t="shared" si="204"/>
        <v>54</v>
      </c>
      <c r="C112" s="1">
        <v>366</v>
      </c>
      <c r="D112" s="1">
        <f>VLOOKUP(C112,'2022 counts'!$A$6:$B$304,2,FALSE)</f>
        <v>54</v>
      </c>
      <c r="E112" s="1"/>
      <c r="F112" s="3" t="s">
        <v>6</v>
      </c>
      <c r="G112" s="156">
        <v>30</v>
      </c>
      <c r="H112" s="11">
        <v>0.26906177167099998</v>
      </c>
      <c r="I112" s="10" t="s">
        <v>719</v>
      </c>
      <c r="J112" s="10" t="s">
        <v>40</v>
      </c>
      <c r="K112" s="10" t="s">
        <v>728</v>
      </c>
      <c r="L112" s="157">
        <v>2</v>
      </c>
      <c r="M112" s="1">
        <f>'State of the System - Sumter Co'!K112</f>
        <v>2</v>
      </c>
      <c r="N112" s="1" t="str">
        <f>IF('State of the System - Sumter Co'!L112="URBAN","U","R")</f>
        <v>U</v>
      </c>
      <c r="O112" s="1" t="str">
        <f>IF('State of the System - Sumter Co'!M112="UNDIVIDED","U",IF('State of the System - Sumter Co'!M112="DIVIDED","D","F"))</f>
        <v>U</v>
      </c>
      <c r="P112" s="1" t="str">
        <f>'State of the System - Sumter Co'!N112</f>
        <v>INTERRUPTED</v>
      </c>
      <c r="Q112" s="1" t="str">
        <f t="shared" si="156"/>
        <v/>
      </c>
      <c r="R112" s="1" t="str">
        <f>'State of the System - Sumter Co'!O112</f>
        <v/>
      </c>
      <c r="S112" s="1" t="str">
        <f t="shared" si="221"/>
        <v>-2</v>
      </c>
      <c r="T112" s="1" t="str">
        <f t="shared" si="158"/>
        <v>U-2U-2</v>
      </c>
      <c r="U112" s="1" t="str">
        <f t="shared" si="211"/>
        <v>U-2U-2</v>
      </c>
      <c r="V112" s="1" t="s">
        <v>10</v>
      </c>
      <c r="W112" s="1" t="s">
        <v>76</v>
      </c>
      <c r="X112" s="1" t="s">
        <v>21</v>
      </c>
      <c r="Y112" s="1" t="str">
        <f>'State of the System - Sumter Co'!R112</f>
        <v>D</v>
      </c>
      <c r="Z112" s="157" t="str">
        <f t="shared" si="159"/>
        <v>Other CMP Network Roadways</v>
      </c>
      <c r="AA112" s="15">
        <f>VLOOKUP($T112,'2020_CapacityTable'!$B$49:$F$71,2)</f>
        <v>0</v>
      </c>
      <c r="AB112" s="15">
        <f>VLOOKUP($T112,'2020_CapacityTable'!$B$49:$F$71,3)</f>
        <v>7300</v>
      </c>
      <c r="AC112" s="15">
        <f>VLOOKUP($T112,'2020_CapacityTable'!$B$49:$F$71,4)</f>
        <v>14800</v>
      </c>
      <c r="AD112" s="15">
        <f>VLOOKUP($T112,'2020_CapacityTable'!$B$49:$F$71,5)</f>
        <v>15600</v>
      </c>
      <c r="AE112" s="35">
        <f>IF(V112&lt;&gt;"STATE",-10%,"")</f>
        <v>-0.1</v>
      </c>
      <c r="AF112" s="36" t="str">
        <f t="shared" si="160"/>
        <v/>
      </c>
      <c r="AG112" s="35">
        <v>-0.2</v>
      </c>
      <c r="AH112" s="35" t="str">
        <f t="shared" si="210"/>
        <v/>
      </c>
      <c r="AI112" s="35"/>
      <c r="AJ112" s="36"/>
      <c r="AK112" s="15">
        <f t="shared" si="161"/>
        <v>0</v>
      </c>
      <c r="AL112" s="15">
        <f t="shared" si="162"/>
        <v>5110</v>
      </c>
      <c r="AM112" s="15">
        <f t="shared" si="163"/>
        <v>10360</v>
      </c>
      <c r="AN112" s="15">
        <f t="shared" si="164"/>
        <v>10920</v>
      </c>
      <c r="AO112" s="3">
        <f t="shared" si="212"/>
        <v>10360</v>
      </c>
      <c r="AP112" s="138">
        <f>VLOOKUP($B112,'2022 counts'!$B$6:$R$304,17,FALSE)</f>
        <v>5832</v>
      </c>
      <c r="AQ112" s="11">
        <f t="shared" si="165"/>
        <v>0.56000000000000005</v>
      </c>
      <c r="AR112" s="2" t="str">
        <f t="shared" si="166"/>
        <v>D</v>
      </c>
      <c r="AS112" s="26">
        <f t="shared" si="167"/>
        <v>0.56999999999999995</v>
      </c>
      <c r="AT112" s="15">
        <f>VLOOKUP($T112,'2020_CapacityTable'!$B$23:$F$45,2)</f>
        <v>0</v>
      </c>
      <c r="AU112" s="15">
        <f>VLOOKUP($T112,'2020_CapacityTable'!$B$23:$F$45,3)</f>
        <v>370</v>
      </c>
      <c r="AV112" s="15">
        <f>VLOOKUP($T112,'2020_CapacityTable'!$B$23:$F$45,4)</f>
        <v>750</v>
      </c>
      <c r="AW112" s="15">
        <f>VLOOKUP($T112,'2020_CapacityTable'!$B$23:$F$45,5)</f>
        <v>800</v>
      </c>
      <c r="AX112" s="15">
        <f t="shared" si="168"/>
        <v>0</v>
      </c>
      <c r="AY112" s="15">
        <f t="shared" si="169"/>
        <v>259</v>
      </c>
      <c r="AZ112" s="15">
        <f t="shared" si="170"/>
        <v>525</v>
      </c>
      <c r="BA112" s="15">
        <f t="shared" si="171"/>
        <v>560</v>
      </c>
      <c r="BB112" s="3">
        <f t="shared" si="213"/>
        <v>525</v>
      </c>
      <c r="BC112" s="138">
        <f>VLOOKUP($B112,'2022 counts'!$B$6:$AD$304,28,FALSE)</f>
        <v>220</v>
      </c>
      <c r="BD112" s="138">
        <f>VLOOKUP($B112,'2022 counts'!$B$6:$AD$304,29,FALSE)</f>
        <v>355</v>
      </c>
      <c r="BE112" s="11">
        <f t="shared" si="173"/>
        <v>0.68</v>
      </c>
      <c r="BF112" s="2" t="str">
        <f t="shared" si="174"/>
        <v>D</v>
      </c>
      <c r="BG112" s="135">
        <v>0.05</v>
      </c>
      <c r="BH112" s="135">
        <f>IF($AQ112="","",VLOOKUP($B112, '2022 counts'!$B$6:$T$304,19,FALSE))</f>
        <v>0.05</v>
      </c>
      <c r="BI112" s="38">
        <f t="shared" si="175"/>
        <v>0.05</v>
      </c>
      <c r="BJ112" s="39" t="str">
        <f t="shared" si="176"/>
        <v/>
      </c>
      <c r="BK112" s="15">
        <f>VLOOKUP($U112,'2020_CapacityTable'!$B$49:$F$71,2)</f>
        <v>0</v>
      </c>
      <c r="BL112" s="15">
        <f>VLOOKUP($U112,'2020_CapacityTable'!$B$49:$F$71,3)</f>
        <v>7300</v>
      </c>
      <c r="BM112" s="15">
        <f>VLOOKUP($T112,'2020_CapacityTable'!$B$49:$F$71,4)</f>
        <v>14800</v>
      </c>
      <c r="BN112" s="15">
        <f>VLOOKUP($T112,'2020_CapacityTable'!$B$49:$F$71,5)</f>
        <v>15600</v>
      </c>
      <c r="BO112" s="15">
        <f t="shared" si="177"/>
        <v>0</v>
      </c>
      <c r="BP112" s="15">
        <f t="shared" si="178"/>
        <v>5110</v>
      </c>
      <c r="BQ112" s="15">
        <f t="shared" si="179"/>
        <v>10360</v>
      </c>
      <c r="BR112" s="15">
        <f t="shared" si="180"/>
        <v>10920</v>
      </c>
      <c r="BS112" s="3">
        <f t="shared" si="214"/>
        <v>10360</v>
      </c>
      <c r="BT112" s="40">
        <f>'State of the System - Sumter Co'!AD112</f>
        <v>7443</v>
      </c>
      <c r="BU112" s="41">
        <f t="shared" si="182"/>
        <v>0.72</v>
      </c>
      <c r="BV112" s="2" t="str">
        <f t="shared" si="183"/>
        <v>D</v>
      </c>
      <c r="BW112" s="2">
        <f t="shared" si="184"/>
        <v>0.73</v>
      </c>
      <c r="BX112" s="15">
        <f>VLOOKUP($U112,'2020_CapacityTable'!$B$23:$F$45,2)</f>
        <v>0</v>
      </c>
      <c r="BY112" s="15">
        <f>VLOOKUP($U112,'2020_CapacityTable'!$B$23:$F$45,3)</f>
        <v>370</v>
      </c>
      <c r="BZ112" s="15">
        <f>VLOOKUP($U112,'2020_CapacityTable'!$B$23:$F$45,4)</f>
        <v>750</v>
      </c>
      <c r="CA112" s="15">
        <f>VLOOKUP($U112,'2020_CapacityTable'!$B$23:$F$45,5)</f>
        <v>800</v>
      </c>
      <c r="CB112" s="15">
        <f t="shared" si="185"/>
        <v>0</v>
      </c>
      <c r="CC112" s="15">
        <f t="shared" si="186"/>
        <v>259</v>
      </c>
      <c r="CD112" s="15">
        <f t="shared" si="187"/>
        <v>525</v>
      </c>
      <c r="CE112" s="15">
        <f t="shared" si="188"/>
        <v>560</v>
      </c>
      <c r="CF112" s="3">
        <f t="shared" si="215"/>
        <v>525</v>
      </c>
      <c r="CG112" s="2">
        <f>'State of the System - Sumter Co'!AH112</f>
        <v>281</v>
      </c>
      <c r="CH112" s="2">
        <f>'State of the System - Sumter Co'!AI112</f>
        <v>453</v>
      </c>
      <c r="CI112" s="11">
        <f t="shared" si="190"/>
        <v>0.86</v>
      </c>
      <c r="CJ112" s="2" t="str">
        <f t="shared" si="216"/>
        <v>D</v>
      </c>
      <c r="CK112" s="3">
        <f t="shared" si="192"/>
        <v>11794</v>
      </c>
      <c r="CL112" s="11">
        <f t="shared" si="193"/>
        <v>0.63</v>
      </c>
      <c r="CM112" s="11" t="str">
        <f t="shared" si="194"/>
        <v>NOT CONGESTED</v>
      </c>
      <c r="CN112" s="3">
        <f t="shared" si="195"/>
        <v>605</v>
      </c>
      <c r="CO112" s="11">
        <f t="shared" si="196"/>
        <v>0.75</v>
      </c>
      <c r="CP112" s="156" t="str">
        <f t="shared" si="217"/>
        <v>NOT CONGESTED</v>
      </c>
      <c r="CQ112" s="3"/>
      <c r="CR112" s="3"/>
      <c r="CS112" s="11" t="str">
        <f t="shared" si="198"/>
        <v/>
      </c>
      <c r="CT112" s="11" t="str">
        <f t="shared" si="218"/>
        <v/>
      </c>
      <c r="CU112" s="11" t="str">
        <f t="shared" si="200"/>
        <v/>
      </c>
      <c r="CV112" s="11" t="str">
        <f t="shared" si="201"/>
        <v/>
      </c>
      <c r="CW112" s="2"/>
      <c r="CX112" s="1"/>
      <c r="CY112" s="145" t="str">
        <f t="shared" si="202"/>
        <v/>
      </c>
      <c r="CZ112" s="32" t="str">
        <f t="shared" si="203"/>
        <v/>
      </c>
    </row>
    <row r="113" spans="1:104" ht="12.75" customHeight="1">
      <c r="A113" s="1">
        <v>3550100</v>
      </c>
      <c r="B113" s="1">
        <f t="shared" si="204"/>
        <v>43</v>
      </c>
      <c r="C113" s="1">
        <v>62</v>
      </c>
      <c r="D113" s="1">
        <f>VLOOKUP(C113,'2022 counts'!$A$6:$B$304,2,FALSE)</f>
        <v>43</v>
      </c>
      <c r="E113" s="1"/>
      <c r="F113" s="2" t="s">
        <v>6</v>
      </c>
      <c r="G113" s="156">
        <v>45</v>
      </c>
      <c r="H113" s="11">
        <v>2.8981631592900001</v>
      </c>
      <c r="I113" s="10" t="s">
        <v>733</v>
      </c>
      <c r="J113" s="10" t="s">
        <v>70</v>
      </c>
      <c r="K113" s="10" t="s">
        <v>71</v>
      </c>
      <c r="L113" s="157">
        <v>2</v>
      </c>
      <c r="M113" s="1">
        <f>'State of the System - Sumter Co'!K113</f>
        <v>2</v>
      </c>
      <c r="N113" s="1" t="str">
        <f>IF('State of the System - Sumter Co'!L113="URBAN","U","R")</f>
        <v>U</v>
      </c>
      <c r="O113" s="1" t="str">
        <f>IF('State of the System - Sumter Co'!M113="UNDIVIDED","U",IF('State of the System - Sumter Co'!M113="DIVIDED","D","F"))</f>
        <v>U</v>
      </c>
      <c r="P113" s="1" t="str">
        <f>'State of the System - Sumter Co'!N113</f>
        <v>UNINTERRUPTED</v>
      </c>
      <c r="Q113" s="1" t="str">
        <f t="shared" si="156"/>
        <v/>
      </c>
      <c r="R113" s="1" t="str">
        <f>'State of the System - Sumter Co'!O113</f>
        <v/>
      </c>
      <c r="S113" s="1" t="str">
        <f t="shared" si="221"/>
        <v>-x</v>
      </c>
      <c r="T113" s="1" t="str">
        <f t="shared" si="158"/>
        <v>U-2U-x</v>
      </c>
      <c r="U113" s="1" t="str">
        <f t="shared" si="211"/>
        <v>U-2U-x</v>
      </c>
      <c r="V113" s="1" t="s">
        <v>10</v>
      </c>
      <c r="W113" s="1" t="s">
        <v>11</v>
      </c>
      <c r="X113" s="1" t="s">
        <v>69</v>
      </c>
      <c r="Y113" s="1" t="str">
        <f>'State of the System - Sumter Co'!R113</f>
        <v>D</v>
      </c>
      <c r="Z113" s="157" t="str">
        <f t="shared" si="159"/>
        <v>Other CMP Network Roadways</v>
      </c>
      <c r="AA113" s="15">
        <f>VLOOKUP($T113,'2020_CapacityTable'!$B$49:$F$71,2)</f>
        <v>11700</v>
      </c>
      <c r="AB113" s="15">
        <f>VLOOKUP($T113,'2020_CapacityTable'!$B$49:$F$71,3)</f>
        <v>18000</v>
      </c>
      <c r="AC113" s="15">
        <f>VLOOKUP($T113,'2020_CapacityTable'!$B$49:$F$71,4)</f>
        <v>24200</v>
      </c>
      <c r="AD113" s="15">
        <f>VLOOKUP($T113,'2020_CapacityTable'!$B$49:$F$71,5)</f>
        <v>32600</v>
      </c>
      <c r="AE113" s="35"/>
      <c r="AF113" s="36" t="str">
        <f t="shared" si="160"/>
        <v/>
      </c>
      <c r="AG113" s="35" t="str">
        <f>IF(AND(L113=2,P113="interrupted",O113="U"),"LOOK","")</f>
        <v/>
      </c>
      <c r="AH113" s="35" t="str">
        <f t="shared" si="210"/>
        <v/>
      </c>
      <c r="AI113" s="35"/>
      <c r="AJ113" s="36"/>
      <c r="AK113" s="15">
        <f t="shared" si="161"/>
        <v>11700</v>
      </c>
      <c r="AL113" s="15">
        <f t="shared" si="162"/>
        <v>18000</v>
      </c>
      <c r="AM113" s="15">
        <f t="shared" si="163"/>
        <v>24200</v>
      </c>
      <c r="AN113" s="15">
        <f t="shared" si="164"/>
        <v>32600</v>
      </c>
      <c r="AO113" s="3">
        <f t="shared" si="212"/>
        <v>24200</v>
      </c>
      <c r="AP113" s="138">
        <f>VLOOKUP($B113,'2022 counts'!$B$6:$R$304,17,FALSE)</f>
        <v>6930</v>
      </c>
      <c r="AQ113" s="11">
        <f t="shared" si="165"/>
        <v>0.28999999999999998</v>
      </c>
      <c r="AR113" s="2" t="str">
        <f t="shared" si="166"/>
        <v>B</v>
      </c>
      <c r="AS113" s="26">
        <f t="shared" si="167"/>
        <v>7.33</v>
      </c>
      <c r="AT113" s="15">
        <f>VLOOKUP($T113,'2020_CapacityTable'!$B$23:$F$45,2)</f>
        <v>580</v>
      </c>
      <c r="AU113" s="15">
        <f>VLOOKUP($T113,'2020_CapacityTable'!$B$23:$F$45,3)</f>
        <v>890</v>
      </c>
      <c r="AV113" s="15">
        <f>VLOOKUP($T113,'2020_CapacityTable'!$B$23:$F$45,4)</f>
        <v>1200</v>
      </c>
      <c r="AW113" s="15">
        <f>VLOOKUP($T113,'2020_CapacityTable'!$B$23:$F$45,5)</f>
        <v>1610</v>
      </c>
      <c r="AX113" s="15">
        <f t="shared" si="168"/>
        <v>580</v>
      </c>
      <c r="AY113" s="15">
        <f t="shared" si="169"/>
        <v>890</v>
      </c>
      <c r="AZ113" s="15">
        <f t="shared" si="170"/>
        <v>1200</v>
      </c>
      <c r="BA113" s="15">
        <f t="shared" si="171"/>
        <v>1610</v>
      </c>
      <c r="BB113" s="3">
        <f t="shared" si="213"/>
        <v>1200</v>
      </c>
      <c r="BC113" s="138">
        <f>VLOOKUP($B113,'2022 counts'!$B$6:$AD$304,28,FALSE)</f>
        <v>405</v>
      </c>
      <c r="BD113" s="138">
        <f>VLOOKUP($B113,'2022 counts'!$B$6:$AD$304,29,FALSE)</f>
        <v>198</v>
      </c>
      <c r="BE113" s="11">
        <f t="shared" si="173"/>
        <v>0.34</v>
      </c>
      <c r="BF113" s="2" t="str">
        <f t="shared" si="174"/>
        <v>B</v>
      </c>
      <c r="BG113" s="135">
        <v>0</v>
      </c>
      <c r="BH113" s="135">
        <f>IF($AQ113="","",VLOOKUP($B113, '2022 counts'!$B$6:$T$304,19,FALSE))</f>
        <v>0</v>
      </c>
      <c r="BI113" s="38">
        <f t="shared" si="175"/>
        <v>0.01</v>
      </c>
      <c r="BJ113" s="39" t="str">
        <f t="shared" si="176"/>
        <v>minimum</v>
      </c>
      <c r="BK113" s="15">
        <f>VLOOKUP($U113,'2020_CapacityTable'!$B$49:$F$71,2)</f>
        <v>11700</v>
      </c>
      <c r="BL113" s="15">
        <f>VLOOKUP($U113,'2020_CapacityTable'!$B$49:$F$71,3)</f>
        <v>18000</v>
      </c>
      <c r="BM113" s="15">
        <f>VLOOKUP($T113,'2020_CapacityTable'!$B$49:$F$71,4)</f>
        <v>24200</v>
      </c>
      <c r="BN113" s="15">
        <f>VLOOKUP($T113,'2020_CapacityTable'!$B$49:$F$71,5)</f>
        <v>32600</v>
      </c>
      <c r="BO113" s="15">
        <f t="shared" si="177"/>
        <v>11700</v>
      </c>
      <c r="BP113" s="15">
        <f t="shared" si="178"/>
        <v>18000</v>
      </c>
      <c r="BQ113" s="15">
        <f t="shared" si="179"/>
        <v>24200</v>
      </c>
      <c r="BR113" s="15">
        <f t="shared" si="180"/>
        <v>32600</v>
      </c>
      <c r="BS113" s="3">
        <f t="shared" si="214"/>
        <v>24200</v>
      </c>
      <c r="BT113" s="40">
        <f>'State of the System - Sumter Co'!AD113</f>
        <v>7283</v>
      </c>
      <c r="BU113" s="41">
        <f t="shared" si="182"/>
        <v>0.3</v>
      </c>
      <c r="BV113" s="2" t="str">
        <f t="shared" si="183"/>
        <v>B</v>
      </c>
      <c r="BW113" s="2">
        <f t="shared" si="184"/>
        <v>7.7</v>
      </c>
      <c r="BX113" s="15">
        <f>VLOOKUP($U113,'2020_CapacityTable'!$B$23:$F$45,2)</f>
        <v>580</v>
      </c>
      <c r="BY113" s="15">
        <f>VLOOKUP($U113,'2020_CapacityTable'!$B$23:$F$45,3)</f>
        <v>890</v>
      </c>
      <c r="BZ113" s="15">
        <f>VLOOKUP($U113,'2020_CapacityTable'!$B$23:$F$45,4)</f>
        <v>1200</v>
      </c>
      <c r="CA113" s="15">
        <f>VLOOKUP($U113,'2020_CapacityTable'!$B$23:$F$45,5)</f>
        <v>1610</v>
      </c>
      <c r="CB113" s="15">
        <f t="shared" si="185"/>
        <v>580</v>
      </c>
      <c r="CC113" s="15">
        <f t="shared" si="186"/>
        <v>890</v>
      </c>
      <c r="CD113" s="15">
        <f t="shared" si="187"/>
        <v>1200</v>
      </c>
      <c r="CE113" s="15">
        <f t="shared" si="188"/>
        <v>1610</v>
      </c>
      <c r="CF113" s="3">
        <f t="shared" si="215"/>
        <v>1200</v>
      </c>
      <c r="CG113" s="2">
        <f>'State of the System - Sumter Co'!AH113</f>
        <v>426</v>
      </c>
      <c r="CH113" s="2">
        <f>'State of the System - Sumter Co'!AI113</f>
        <v>208</v>
      </c>
      <c r="CI113" s="11">
        <f t="shared" si="190"/>
        <v>0.36</v>
      </c>
      <c r="CJ113" s="2" t="str">
        <f t="shared" si="216"/>
        <v>B</v>
      </c>
      <c r="CK113" s="3">
        <f t="shared" si="192"/>
        <v>35208</v>
      </c>
      <c r="CL113" s="11">
        <f t="shared" si="193"/>
        <v>0.21</v>
      </c>
      <c r="CM113" s="11" t="str">
        <f t="shared" si="194"/>
        <v>NOT CONGESTED</v>
      </c>
      <c r="CN113" s="3">
        <f t="shared" si="195"/>
        <v>1739</v>
      </c>
      <c r="CO113" s="11">
        <f t="shared" si="196"/>
        <v>0.24</v>
      </c>
      <c r="CP113" s="156" t="str">
        <f t="shared" si="217"/>
        <v>NOT CONGESTED</v>
      </c>
      <c r="CQ113" s="3"/>
      <c r="CR113" s="3"/>
      <c r="CS113" s="11" t="str">
        <f t="shared" si="198"/>
        <v/>
      </c>
      <c r="CT113" s="11" t="str">
        <f t="shared" si="218"/>
        <v/>
      </c>
      <c r="CU113" s="11" t="str">
        <f t="shared" si="200"/>
        <v/>
      </c>
      <c r="CV113" s="11" t="str">
        <f t="shared" si="201"/>
        <v/>
      </c>
      <c r="CW113" s="2"/>
      <c r="CX113" s="1"/>
      <c r="CY113" s="145" t="str">
        <f t="shared" si="202"/>
        <v/>
      </c>
      <c r="CZ113" s="32" t="str">
        <f t="shared" si="203"/>
        <v/>
      </c>
    </row>
    <row r="114" spans="1:104" ht="12.75" customHeight="1">
      <c r="A114" s="1">
        <v>3550110</v>
      </c>
      <c r="B114" s="1">
        <f t="shared" si="204"/>
        <v>39</v>
      </c>
      <c r="C114" s="1">
        <v>55</v>
      </c>
      <c r="D114" s="1">
        <f>VLOOKUP(C114,'2022 counts'!$A$6:$B$304,2,FALSE)</f>
        <v>39</v>
      </c>
      <c r="E114" s="1"/>
      <c r="F114" s="3" t="s">
        <v>6</v>
      </c>
      <c r="G114" s="156">
        <v>55</v>
      </c>
      <c r="H114" s="11">
        <v>2.4800111077899998</v>
      </c>
      <c r="I114" s="10" t="s">
        <v>742</v>
      </c>
      <c r="J114" s="10" t="s">
        <v>66</v>
      </c>
      <c r="K114" s="10" t="s">
        <v>40</v>
      </c>
      <c r="L114" s="157">
        <v>2</v>
      </c>
      <c r="M114" s="1">
        <f>'State of the System - Sumter Co'!K114</f>
        <v>2</v>
      </c>
      <c r="N114" s="1" t="str">
        <f>IF('State of the System - Sumter Co'!L114="URBAN","U","R")</f>
        <v>U</v>
      </c>
      <c r="O114" s="1" t="str">
        <f>IF('State of the System - Sumter Co'!M114="UNDIVIDED","U",IF('State of the System - Sumter Co'!M114="DIVIDED","D","F"))</f>
        <v>U</v>
      </c>
      <c r="P114" s="1" t="str">
        <f>'State of the System - Sumter Co'!N114</f>
        <v>UNINTERRUPTED</v>
      </c>
      <c r="Q114" s="1" t="str">
        <f t="shared" si="156"/>
        <v/>
      </c>
      <c r="R114" s="1" t="str">
        <f>'State of the System - Sumter Co'!O114</f>
        <v/>
      </c>
      <c r="S114" s="1" t="str">
        <f t="shared" si="221"/>
        <v>-x</v>
      </c>
      <c r="T114" s="1" t="str">
        <f t="shared" si="158"/>
        <v>U-2U-x</v>
      </c>
      <c r="U114" s="1" t="str">
        <f t="shared" si="211"/>
        <v>U-2U-x</v>
      </c>
      <c r="V114" s="1" t="s">
        <v>10</v>
      </c>
      <c r="W114" s="1" t="s">
        <v>11</v>
      </c>
      <c r="X114" s="1" t="s">
        <v>12</v>
      </c>
      <c r="Y114" s="1" t="str">
        <f>'State of the System - Sumter Co'!R114</f>
        <v>D</v>
      </c>
      <c r="Z114" s="157" t="str">
        <f t="shared" si="159"/>
        <v>Other CMP Network Roadways</v>
      </c>
      <c r="AA114" s="15">
        <f>VLOOKUP($T114,'2020_CapacityTable'!$B$49:$F$71,2)</f>
        <v>11700</v>
      </c>
      <c r="AB114" s="15">
        <f>VLOOKUP($T114,'2020_CapacityTable'!$B$49:$F$71,3)</f>
        <v>18000</v>
      </c>
      <c r="AC114" s="15">
        <f>VLOOKUP($T114,'2020_CapacityTable'!$B$49:$F$71,4)</f>
        <v>24200</v>
      </c>
      <c r="AD114" s="15">
        <f>VLOOKUP($T114,'2020_CapacityTable'!$B$49:$F$71,5)</f>
        <v>32600</v>
      </c>
      <c r="AE114" s="35"/>
      <c r="AF114" s="36" t="str">
        <f t="shared" si="160"/>
        <v/>
      </c>
      <c r="AG114" s="35"/>
      <c r="AH114" s="35" t="str">
        <f t="shared" si="210"/>
        <v/>
      </c>
      <c r="AI114" s="35"/>
      <c r="AJ114" s="36"/>
      <c r="AK114" s="15">
        <f t="shared" si="161"/>
        <v>11700</v>
      </c>
      <c r="AL114" s="15">
        <f t="shared" si="162"/>
        <v>18000</v>
      </c>
      <c r="AM114" s="15">
        <f t="shared" si="163"/>
        <v>24200</v>
      </c>
      <c r="AN114" s="15">
        <f t="shared" si="164"/>
        <v>32600</v>
      </c>
      <c r="AO114" s="3">
        <f t="shared" si="212"/>
        <v>24200</v>
      </c>
      <c r="AP114" s="138">
        <f>VLOOKUP($B114,'2022 counts'!$B$6:$R$304,17,FALSE)</f>
        <v>17029</v>
      </c>
      <c r="AQ114" s="11">
        <f t="shared" si="165"/>
        <v>0.7</v>
      </c>
      <c r="AR114" s="2" t="str">
        <f t="shared" si="166"/>
        <v>C</v>
      </c>
      <c r="AS114" s="26">
        <f t="shared" si="167"/>
        <v>15.41</v>
      </c>
      <c r="AT114" s="15">
        <f>VLOOKUP($T114,'2020_CapacityTable'!$B$23:$F$45,2)</f>
        <v>580</v>
      </c>
      <c r="AU114" s="15">
        <f>VLOOKUP($T114,'2020_CapacityTable'!$B$23:$F$45,3)</f>
        <v>890</v>
      </c>
      <c r="AV114" s="15">
        <f>VLOOKUP($T114,'2020_CapacityTable'!$B$23:$F$45,4)</f>
        <v>1200</v>
      </c>
      <c r="AW114" s="15">
        <f>VLOOKUP($T114,'2020_CapacityTable'!$B$23:$F$45,5)</f>
        <v>1610</v>
      </c>
      <c r="AX114" s="15">
        <f t="shared" si="168"/>
        <v>580</v>
      </c>
      <c r="AY114" s="15">
        <f t="shared" si="169"/>
        <v>890</v>
      </c>
      <c r="AZ114" s="15">
        <f t="shared" si="170"/>
        <v>1200</v>
      </c>
      <c r="BA114" s="15">
        <f t="shared" si="171"/>
        <v>1610</v>
      </c>
      <c r="BB114" s="3">
        <f t="shared" si="213"/>
        <v>1200</v>
      </c>
      <c r="BC114" s="138">
        <f>VLOOKUP($B114,'2022 counts'!$B$6:$AD$304,28,FALSE)</f>
        <v>685</v>
      </c>
      <c r="BD114" s="138">
        <f>VLOOKUP($B114,'2022 counts'!$B$6:$AD$304,29,FALSE)</f>
        <v>685</v>
      </c>
      <c r="BE114" s="11">
        <f t="shared" si="173"/>
        <v>0.56999999999999995</v>
      </c>
      <c r="BF114" s="2" t="str">
        <f t="shared" si="174"/>
        <v>C</v>
      </c>
      <c r="BG114" s="135">
        <v>1.4999999999999999E-2</v>
      </c>
      <c r="BH114" s="135">
        <f>IF($AQ114="","",VLOOKUP($B114, '2022 counts'!$B$6:$T$304,19,FALSE))</f>
        <v>1.4999999999999999E-2</v>
      </c>
      <c r="BI114" s="38">
        <f t="shared" si="175"/>
        <v>1.4999999999999999E-2</v>
      </c>
      <c r="BJ114" s="39" t="str">
        <f t="shared" si="176"/>
        <v/>
      </c>
      <c r="BK114" s="15">
        <f>VLOOKUP($U114,'2020_CapacityTable'!$B$49:$F$71,2)</f>
        <v>11700</v>
      </c>
      <c r="BL114" s="15">
        <f>VLOOKUP($U114,'2020_CapacityTable'!$B$49:$F$71,3)</f>
        <v>18000</v>
      </c>
      <c r="BM114" s="15">
        <f>VLOOKUP($T114,'2020_CapacityTable'!$B$49:$F$71,4)</f>
        <v>24200</v>
      </c>
      <c r="BN114" s="15">
        <f>VLOOKUP($T114,'2020_CapacityTable'!$B$49:$F$71,5)</f>
        <v>32600</v>
      </c>
      <c r="BO114" s="15">
        <f t="shared" si="177"/>
        <v>11700</v>
      </c>
      <c r="BP114" s="15">
        <f t="shared" si="178"/>
        <v>18000</v>
      </c>
      <c r="BQ114" s="15">
        <f t="shared" si="179"/>
        <v>24200</v>
      </c>
      <c r="BR114" s="15">
        <f t="shared" si="180"/>
        <v>32600</v>
      </c>
      <c r="BS114" s="3">
        <f t="shared" si="214"/>
        <v>24200</v>
      </c>
      <c r="BT114" s="40">
        <f>'State of the System - Sumter Co'!AD114</f>
        <v>18345</v>
      </c>
      <c r="BU114" s="41">
        <f t="shared" si="182"/>
        <v>0.76</v>
      </c>
      <c r="BV114" s="2" t="str">
        <f t="shared" si="183"/>
        <v>D</v>
      </c>
      <c r="BW114" s="2">
        <f t="shared" si="184"/>
        <v>16.61</v>
      </c>
      <c r="BX114" s="15">
        <f>VLOOKUP($U114,'2020_CapacityTable'!$B$23:$F$45,2)</f>
        <v>580</v>
      </c>
      <c r="BY114" s="15">
        <f>VLOOKUP($U114,'2020_CapacityTable'!$B$23:$F$45,3)</f>
        <v>890</v>
      </c>
      <c r="BZ114" s="15">
        <f>VLOOKUP($U114,'2020_CapacityTable'!$B$23:$F$45,4)</f>
        <v>1200</v>
      </c>
      <c r="CA114" s="15">
        <f>VLOOKUP($U114,'2020_CapacityTable'!$B$23:$F$45,5)</f>
        <v>1610</v>
      </c>
      <c r="CB114" s="15">
        <f t="shared" si="185"/>
        <v>580</v>
      </c>
      <c r="CC114" s="15">
        <f t="shared" si="186"/>
        <v>890</v>
      </c>
      <c r="CD114" s="15">
        <f t="shared" si="187"/>
        <v>1200</v>
      </c>
      <c r="CE114" s="15">
        <f t="shared" si="188"/>
        <v>1610</v>
      </c>
      <c r="CF114" s="3">
        <f t="shared" si="215"/>
        <v>1200</v>
      </c>
      <c r="CG114" s="2">
        <f>'State of the System - Sumter Co'!AH114</f>
        <v>738</v>
      </c>
      <c r="CH114" s="2">
        <f>'State of the System - Sumter Co'!AI114</f>
        <v>738</v>
      </c>
      <c r="CI114" s="11">
        <f t="shared" si="190"/>
        <v>0.62</v>
      </c>
      <c r="CJ114" s="2" t="str">
        <f t="shared" si="216"/>
        <v>C</v>
      </c>
      <c r="CK114" s="3">
        <f t="shared" si="192"/>
        <v>35208</v>
      </c>
      <c r="CL114" s="11">
        <f t="shared" si="193"/>
        <v>0.52</v>
      </c>
      <c r="CM114" s="11" t="str">
        <f t="shared" si="194"/>
        <v>NOT CONGESTED</v>
      </c>
      <c r="CN114" s="3">
        <f t="shared" si="195"/>
        <v>1739</v>
      </c>
      <c r="CO114" s="11">
        <f t="shared" si="196"/>
        <v>0.42</v>
      </c>
      <c r="CP114" s="156" t="str">
        <f t="shared" si="217"/>
        <v>NOT CONGESTED</v>
      </c>
      <c r="CQ114" s="2"/>
      <c r="CR114" s="42"/>
      <c r="CS114" s="11" t="str">
        <f t="shared" si="198"/>
        <v/>
      </c>
      <c r="CT114" s="11" t="str">
        <f t="shared" si="218"/>
        <v/>
      </c>
      <c r="CU114" s="11" t="str">
        <f t="shared" si="200"/>
        <v/>
      </c>
      <c r="CV114" s="11" t="str">
        <f t="shared" si="201"/>
        <v/>
      </c>
      <c r="CW114" s="2"/>
      <c r="CX114" s="1" t="s">
        <v>585</v>
      </c>
      <c r="CY114" s="145" t="str">
        <f t="shared" si="202"/>
        <v/>
      </c>
      <c r="CZ114" s="32" t="str">
        <f t="shared" si="203"/>
        <v/>
      </c>
    </row>
    <row r="115" spans="1:104" ht="12.75" customHeight="1">
      <c r="A115" s="1">
        <v>3551100</v>
      </c>
      <c r="B115" s="1">
        <f t="shared" si="204"/>
        <v>180201</v>
      </c>
      <c r="C115" s="1">
        <v>1220</v>
      </c>
      <c r="D115" s="1" t="str">
        <f>VLOOKUP(C115,'2022 counts'!$A$6:$B$304,2,FALSE)</f>
        <v>STATE</v>
      </c>
      <c r="E115" s="1">
        <v>180201</v>
      </c>
      <c r="F115" s="2" t="s">
        <v>136</v>
      </c>
      <c r="G115" s="156">
        <v>45</v>
      </c>
      <c r="H115" s="11">
        <v>1.1500932189199999</v>
      </c>
      <c r="I115" s="10" t="s">
        <v>23</v>
      </c>
      <c r="J115" s="10" t="s">
        <v>40</v>
      </c>
      <c r="K115" s="10" t="s">
        <v>41</v>
      </c>
      <c r="L115" s="157">
        <v>4</v>
      </c>
      <c r="M115" s="1">
        <f>'State of the System - Sumter Co'!K115</f>
        <v>4</v>
      </c>
      <c r="N115" s="1" t="str">
        <f>IF('State of the System - Sumter Co'!L115="URBAN","U","R")</f>
        <v>U</v>
      </c>
      <c r="O115" s="1" t="str">
        <f>IF('State of the System - Sumter Co'!M115="UNDIVIDED","U",IF('State of the System - Sumter Co'!M115="DIVIDED","D","F"))</f>
        <v>D</v>
      </c>
      <c r="P115" s="1" t="str">
        <f>'State of the System - Sumter Co'!N115</f>
        <v>INTERRUPTED</v>
      </c>
      <c r="Q115" s="1" t="str">
        <f t="shared" si="156"/>
        <v/>
      </c>
      <c r="R115" s="1" t="str">
        <f>'State of the System - Sumter Co'!O115</f>
        <v/>
      </c>
      <c r="S115" s="1" t="str">
        <f t="shared" si="221"/>
        <v>-1</v>
      </c>
      <c r="T115" s="1" t="str">
        <f t="shared" si="158"/>
        <v>U-4D-1</v>
      </c>
      <c r="U115" s="1" t="str">
        <f t="shared" si="211"/>
        <v>U-4D-1</v>
      </c>
      <c r="V115" s="1" t="s">
        <v>137</v>
      </c>
      <c r="W115" s="1" t="s">
        <v>25</v>
      </c>
      <c r="X115" s="1" t="s">
        <v>50</v>
      </c>
      <c r="Y115" s="1" t="str">
        <f>'State of the System - Sumter Co'!R115</f>
        <v>D</v>
      </c>
      <c r="Z115" s="157" t="str">
        <f t="shared" si="159"/>
        <v>NHS Non-Interstate</v>
      </c>
      <c r="AA115" s="15">
        <f>VLOOKUP($T115,'2020_CapacityTable'!$B$49:$F$71,2)</f>
        <v>0</v>
      </c>
      <c r="AB115" s="15">
        <f>VLOOKUP($T115,'2020_CapacityTable'!$B$49:$F$71,3)</f>
        <v>37900</v>
      </c>
      <c r="AC115" s="15">
        <f>VLOOKUP($T115,'2020_CapacityTable'!$B$49:$F$71,4)</f>
        <v>39800</v>
      </c>
      <c r="AD115" s="15">
        <f>VLOOKUP($T115,'2020_CapacityTable'!$B$49:$F$71,5)</f>
        <v>39800</v>
      </c>
      <c r="AE115" s="35" t="str">
        <f t="shared" ref="AE115:AE120" si="222">IF(V115&lt;&gt;"STATE",-10%,"")</f>
        <v/>
      </c>
      <c r="AF115" s="36" t="str">
        <f t="shared" si="160"/>
        <v/>
      </c>
      <c r="AG115" s="35" t="str">
        <f t="shared" ref="AG115:AG121" si="223">IF(AND(L115=2,P115="interrupted",O115="U"),"LOOK","")</f>
        <v/>
      </c>
      <c r="AH115" s="35" t="str">
        <f t="shared" ref="AH115:AH146" si="224">IF($O115="U",IF($L115&gt;2,"LOOK",""),"")</f>
        <v/>
      </c>
      <c r="AI115" s="35"/>
      <c r="AJ115" s="36">
        <v>0.05</v>
      </c>
      <c r="AK115" s="15">
        <f t="shared" si="161"/>
        <v>0</v>
      </c>
      <c r="AL115" s="15">
        <f t="shared" si="162"/>
        <v>39795</v>
      </c>
      <c r="AM115" s="15">
        <f t="shared" si="163"/>
        <v>41790</v>
      </c>
      <c r="AN115" s="15">
        <f t="shared" si="164"/>
        <v>41790</v>
      </c>
      <c r="AO115" s="3">
        <f t="shared" si="212"/>
        <v>41790</v>
      </c>
      <c r="AP115" s="138">
        <f>VLOOKUP($B115,'2022 counts'!$B$6:$R$304,17,FALSE)</f>
        <v>17810</v>
      </c>
      <c r="AQ115" s="11">
        <f t="shared" si="165"/>
        <v>0.43</v>
      </c>
      <c r="AR115" s="2" t="str">
        <f t="shared" si="166"/>
        <v>C</v>
      </c>
      <c r="AS115" s="26">
        <f t="shared" si="167"/>
        <v>7.48</v>
      </c>
      <c r="AT115" s="15">
        <f>VLOOKUP($T115,'2020_CapacityTable'!$B$23:$F$45,2)</f>
        <v>0</v>
      </c>
      <c r="AU115" s="15">
        <f>VLOOKUP($T115,'2020_CapacityTable'!$B$23:$F$45,3)</f>
        <v>1910</v>
      </c>
      <c r="AV115" s="15">
        <f>VLOOKUP($T115,'2020_CapacityTable'!$B$23:$F$45,4)</f>
        <v>2000</v>
      </c>
      <c r="AW115" s="15">
        <f>VLOOKUP($T115,'2020_CapacityTable'!$B$23:$F$45,5)</f>
        <v>2000</v>
      </c>
      <c r="AX115" s="15">
        <f t="shared" si="168"/>
        <v>0</v>
      </c>
      <c r="AY115" s="15">
        <f t="shared" si="169"/>
        <v>2006</v>
      </c>
      <c r="AZ115" s="15">
        <f t="shared" si="170"/>
        <v>2100</v>
      </c>
      <c r="BA115" s="15">
        <f t="shared" si="171"/>
        <v>2100</v>
      </c>
      <c r="BB115" s="3">
        <f t="shared" si="213"/>
        <v>2100</v>
      </c>
      <c r="BC115" s="138">
        <f>VLOOKUP($B115,'2022 counts'!$B$6:$AD$304,28,FALSE)</f>
        <v>692</v>
      </c>
      <c r="BD115" s="138">
        <f>VLOOKUP($B115,'2022 counts'!$B$6:$AD$304,29,FALSE)</f>
        <v>941</v>
      </c>
      <c r="BE115" s="11">
        <f t="shared" si="173"/>
        <v>0.45</v>
      </c>
      <c r="BF115" s="2" t="str">
        <f t="shared" si="174"/>
        <v>C</v>
      </c>
      <c r="BG115" s="135">
        <v>5.0000000000000001E-3</v>
      </c>
      <c r="BH115" s="135">
        <f>IF($AQ115="","",VLOOKUP($B115, '2022 counts'!$B$6:$T$304,19,FALSE))</f>
        <v>5.0000000000000001E-3</v>
      </c>
      <c r="BI115" s="38">
        <f t="shared" si="175"/>
        <v>0.01</v>
      </c>
      <c r="BJ115" s="39" t="str">
        <f t="shared" si="176"/>
        <v>minimum</v>
      </c>
      <c r="BK115" s="15">
        <f>VLOOKUP($U115,'2020_CapacityTable'!$B$49:$F$71,2)</f>
        <v>0</v>
      </c>
      <c r="BL115" s="15">
        <f>VLOOKUP($U115,'2020_CapacityTable'!$B$49:$F$71,3)</f>
        <v>37900</v>
      </c>
      <c r="BM115" s="15">
        <f>VLOOKUP($T115,'2020_CapacityTable'!$B$49:$F$71,4)</f>
        <v>39800</v>
      </c>
      <c r="BN115" s="15">
        <f>VLOOKUP($T115,'2020_CapacityTable'!$B$49:$F$71,5)</f>
        <v>39800</v>
      </c>
      <c r="BO115" s="15">
        <f t="shared" si="177"/>
        <v>0</v>
      </c>
      <c r="BP115" s="15">
        <f t="shared" si="178"/>
        <v>39795</v>
      </c>
      <c r="BQ115" s="15">
        <f t="shared" si="179"/>
        <v>41790</v>
      </c>
      <c r="BR115" s="15">
        <f t="shared" si="180"/>
        <v>41790</v>
      </c>
      <c r="BS115" s="3">
        <f t="shared" si="214"/>
        <v>41790</v>
      </c>
      <c r="BT115" s="40">
        <f>'State of the System - Sumter Co'!AD115</f>
        <v>18718</v>
      </c>
      <c r="BU115" s="41">
        <f t="shared" si="182"/>
        <v>0.45</v>
      </c>
      <c r="BV115" s="2" t="str">
        <f t="shared" si="183"/>
        <v>C</v>
      </c>
      <c r="BW115" s="2">
        <f t="shared" si="184"/>
        <v>7.86</v>
      </c>
      <c r="BX115" s="15">
        <f>VLOOKUP($U115,'2020_CapacityTable'!$B$23:$F$45,2)</f>
        <v>0</v>
      </c>
      <c r="BY115" s="15">
        <f>VLOOKUP($U115,'2020_CapacityTable'!$B$23:$F$45,3)</f>
        <v>1910</v>
      </c>
      <c r="BZ115" s="15">
        <f>VLOOKUP($U115,'2020_CapacityTable'!$B$23:$F$45,4)</f>
        <v>2000</v>
      </c>
      <c r="CA115" s="15">
        <f>VLOOKUP($U115,'2020_CapacityTable'!$B$23:$F$45,5)</f>
        <v>2000</v>
      </c>
      <c r="CB115" s="15">
        <f t="shared" si="185"/>
        <v>0</v>
      </c>
      <c r="CC115" s="15">
        <f t="shared" si="186"/>
        <v>2006</v>
      </c>
      <c r="CD115" s="15">
        <f t="shared" si="187"/>
        <v>2100</v>
      </c>
      <c r="CE115" s="15">
        <f t="shared" si="188"/>
        <v>2100</v>
      </c>
      <c r="CF115" s="3">
        <f t="shared" si="215"/>
        <v>2100</v>
      </c>
      <c r="CG115" s="2">
        <f>'State of the System - Sumter Co'!AH115</f>
        <v>727</v>
      </c>
      <c r="CH115" s="2">
        <f>'State of the System - Sumter Co'!AI115</f>
        <v>989</v>
      </c>
      <c r="CI115" s="11">
        <f t="shared" si="190"/>
        <v>0.47</v>
      </c>
      <c r="CJ115" s="2" t="str">
        <f t="shared" si="216"/>
        <v>C</v>
      </c>
      <c r="CK115" s="3">
        <f t="shared" si="192"/>
        <v>45133</v>
      </c>
      <c r="CL115" s="11">
        <f t="shared" si="193"/>
        <v>0.41</v>
      </c>
      <c r="CM115" s="11" t="str">
        <f t="shared" si="194"/>
        <v>NOT CONGESTED</v>
      </c>
      <c r="CN115" s="3">
        <f t="shared" si="195"/>
        <v>2268</v>
      </c>
      <c r="CO115" s="11">
        <f t="shared" si="196"/>
        <v>0.44</v>
      </c>
      <c r="CP115" s="156" t="str">
        <f t="shared" si="217"/>
        <v>NOT CONGESTED</v>
      </c>
      <c r="CQ115" s="2"/>
      <c r="CR115" s="42"/>
      <c r="CS115" s="11" t="str">
        <f t="shared" si="198"/>
        <v/>
      </c>
      <c r="CT115" s="11" t="str">
        <f t="shared" si="218"/>
        <v/>
      </c>
      <c r="CU115" s="11" t="str">
        <f t="shared" si="200"/>
        <v/>
      </c>
      <c r="CV115" s="11" t="str">
        <f t="shared" si="201"/>
        <v/>
      </c>
      <c r="CW115" s="2" t="s">
        <v>586</v>
      </c>
      <c r="CX115" s="1"/>
      <c r="CY115" s="145" t="str">
        <f t="shared" si="202"/>
        <v/>
      </c>
      <c r="CZ115" s="32" t="str">
        <f t="shared" si="203"/>
        <v/>
      </c>
    </row>
    <row r="116" spans="1:104" ht="12.75" customHeight="1">
      <c r="A116" s="1">
        <v>3551130</v>
      </c>
      <c r="B116" s="1">
        <f t="shared" si="204"/>
        <v>180102</v>
      </c>
      <c r="C116" s="1">
        <v>1200</v>
      </c>
      <c r="D116" s="1" t="str">
        <f>VLOOKUP(C116,'2022 counts'!$A$6:$B$304,2,FALSE)</f>
        <v>STATE</v>
      </c>
      <c r="E116" s="1">
        <v>180102</v>
      </c>
      <c r="F116" s="2" t="s">
        <v>136</v>
      </c>
      <c r="G116" s="156">
        <v>45</v>
      </c>
      <c r="H116" s="11">
        <v>2.5874260945900001</v>
      </c>
      <c r="I116" s="10" t="s">
        <v>23</v>
      </c>
      <c r="J116" s="10" t="s">
        <v>712</v>
      </c>
      <c r="K116" s="10" t="s">
        <v>40</v>
      </c>
      <c r="L116" s="157">
        <v>4</v>
      </c>
      <c r="M116" s="1">
        <f>'State of the System - Sumter Co'!K116</f>
        <v>4</v>
      </c>
      <c r="N116" s="1" t="str">
        <f>IF('State of the System - Sumter Co'!L116="URBAN","U","R")</f>
        <v>U</v>
      </c>
      <c r="O116" s="1" t="str">
        <f>IF('State of the System - Sumter Co'!M116="UNDIVIDED","U",IF('State of the System - Sumter Co'!M116="DIVIDED","D","F"))</f>
        <v>D</v>
      </c>
      <c r="P116" s="1" t="str">
        <f>'State of the System - Sumter Co'!N116</f>
        <v>INTERRUPTED</v>
      </c>
      <c r="Q116" s="1" t="str">
        <f t="shared" si="156"/>
        <v/>
      </c>
      <c r="R116" s="1" t="str">
        <f>'State of the System - Sumter Co'!O116</f>
        <v/>
      </c>
      <c r="S116" s="1" t="str">
        <f t="shared" si="221"/>
        <v>-1</v>
      </c>
      <c r="T116" s="1" t="str">
        <f t="shared" si="158"/>
        <v>U-4D-1</v>
      </c>
      <c r="U116" s="1" t="str">
        <f t="shared" si="211"/>
        <v>U-4D-1</v>
      </c>
      <c r="V116" s="1" t="s">
        <v>137</v>
      </c>
      <c r="W116" s="1" t="s">
        <v>11</v>
      </c>
      <c r="X116" s="1" t="s">
        <v>138</v>
      </c>
      <c r="Y116" s="1" t="str">
        <f>'State of the System - Sumter Co'!R116</f>
        <v>D</v>
      </c>
      <c r="Z116" s="157" t="str">
        <f t="shared" si="159"/>
        <v>NHS Non-Interstate</v>
      </c>
      <c r="AA116" s="15">
        <f>VLOOKUP($T116,'2020_CapacityTable'!$B$49:$F$71,2)</f>
        <v>0</v>
      </c>
      <c r="AB116" s="15">
        <f>VLOOKUP($T116,'2020_CapacityTable'!$B$49:$F$71,3)</f>
        <v>37900</v>
      </c>
      <c r="AC116" s="15">
        <f>VLOOKUP($T116,'2020_CapacityTable'!$B$49:$F$71,4)</f>
        <v>39800</v>
      </c>
      <c r="AD116" s="15">
        <f>VLOOKUP($T116,'2020_CapacityTable'!$B$49:$F$71,5)</f>
        <v>39800</v>
      </c>
      <c r="AE116" s="35" t="str">
        <f t="shared" si="222"/>
        <v/>
      </c>
      <c r="AF116" s="36" t="str">
        <f t="shared" si="160"/>
        <v/>
      </c>
      <c r="AG116" s="35" t="str">
        <f t="shared" si="223"/>
        <v/>
      </c>
      <c r="AH116" s="35" t="str">
        <f t="shared" si="224"/>
        <v/>
      </c>
      <c r="AI116" s="35"/>
      <c r="AJ116" s="36">
        <v>0.05</v>
      </c>
      <c r="AK116" s="15">
        <f t="shared" si="161"/>
        <v>0</v>
      </c>
      <c r="AL116" s="15">
        <f t="shared" si="162"/>
        <v>39795</v>
      </c>
      <c r="AM116" s="15">
        <f t="shared" si="163"/>
        <v>41790</v>
      </c>
      <c r="AN116" s="15">
        <f t="shared" si="164"/>
        <v>41790</v>
      </c>
      <c r="AO116" s="3">
        <f t="shared" si="212"/>
        <v>41790</v>
      </c>
      <c r="AP116" s="138">
        <f>VLOOKUP($B116,'2022 counts'!$B$6:$R$304,17,FALSE)</f>
        <v>18510</v>
      </c>
      <c r="AQ116" s="11">
        <f t="shared" si="165"/>
        <v>0.44</v>
      </c>
      <c r="AR116" s="2" t="str">
        <f t="shared" si="166"/>
        <v>C</v>
      </c>
      <c r="AS116" s="26">
        <f t="shared" si="167"/>
        <v>17.48</v>
      </c>
      <c r="AT116" s="15">
        <f>VLOOKUP($T116,'2020_CapacityTable'!$B$23:$F$45,2)</f>
        <v>0</v>
      </c>
      <c r="AU116" s="15">
        <f>VLOOKUP($T116,'2020_CapacityTable'!$B$23:$F$45,3)</f>
        <v>1910</v>
      </c>
      <c r="AV116" s="15">
        <f>VLOOKUP($T116,'2020_CapacityTable'!$B$23:$F$45,4)</f>
        <v>2000</v>
      </c>
      <c r="AW116" s="15">
        <f>VLOOKUP($T116,'2020_CapacityTable'!$B$23:$F$45,5)</f>
        <v>2000</v>
      </c>
      <c r="AX116" s="15">
        <f t="shared" si="168"/>
        <v>0</v>
      </c>
      <c r="AY116" s="15">
        <f t="shared" si="169"/>
        <v>2006</v>
      </c>
      <c r="AZ116" s="15">
        <f t="shared" si="170"/>
        <v>2100</v>
      </c>
      <c r="BA116" s="15">
        <f t="shared" si="171"/>
        <v>2100</v>
      </c>
      <c r="BB116" s="3">
        <f t="shared" si="213"/>
        <v>2100</v>
      </c>
      <c r="BC116" s="138">
        <f>VLOOKUP($B116,'2022 counts'!$B$6:$AD$304,28,FALSE)</f>
        <v>662</v>
      </c>
      <c r="BD116" s="138">
        <f>VLOOKUP($B116,'2022 counts'!$B$6:$AD$304,29,FALSE)</f>
        <v>988</v>
      </c>
      <c r="BE116" s="11">
        <f t="shared" si="173"/>
        <v>0.47</v>
      </c>
      <c r="BF116" s="2" t="str">
        <f t="shared" si="174"/>
        <v>C</v>
      </c>
      <c r="BG116" s="135">
        <v>0</v>
      </c>
      <c r="BH116" s="135">
        <f>IF($AQ116="","",VLOOKUP($B116, '2022 counts'!$B$6:$T$304,19,FALSE))</f>
        <v>0</v>
      </c>
      <c r="BI116" s="38">
        <f t="shared" si="175"/>
        <v>0.01</v>
      </c>
      <c r="BJ116" s="39" t="str">
        <f t="shared" si="176"/>
        <v>minimum</v>
      </c>
      <c r="BK116" s="15">
        <f>VLOOKUP($U116,'2020_CapacityTable'!$B$49:$F$71,2)</f>
        <v>0</v>
      </c>
      <c r="BL116" s="15">
        <f>VLOOKUP($U116,'2020_CapacityTable'!$B$49:$F$71,3)</f>
        <v>37900</v>
      </c>
      <c r="BM116" s="15">
        <f>VLOOKUP($T116,'2020_CapacityTable'!$B$49:$F$71,4)</f>
        <v>39800</v>
      </c>
      <c r="BN116" s="15">
        <f>VLOOKUP($T116,'2020_CapacityTable'!$B$49:$F$71,5)</f>
        <v>39800</v>
      </c>
      <c r="BO116" s="15">
        <f t="shared" si="177"/>
        <v>0</v>
      </c>
      <c r="BP116" s="15">
        <f t="shared" si="178"/>
        <v>39795</v>
      </c>
      <c r="BQ116" s="15">
        <f t="shared" si="179"/>
        <v>41790</v>
      </c>
      <c r="BR116" s="15">
        <f t="shared" si="180"/>
        <v>41790</v>
      </c>
      <c r="BS116" s="3">
        <f t="shared" si="214"/>
        <v>41790</v>
      </c>
      <c r="BT116" s="40">
        <f>'State of the System - Sumter Co'!AD116</f>
        <v>19454</v>
      </c>
      <c r="BU116" s="41">
        <f t="shared" si="182"/>
        <v>0.47</v>
      </c>
      <c r="BV116" s="2" t="str">
        <f t="shared" si="183"/>
        <v>C</v>
      </c>
      <c r="BW116" s="2">
        <f t="shared" si="184"/>
        <v>18.37</v>
      </c>
      <c r="BX116" s="15">
        <f>VLOOKUP($U116,'2020_CapacityTable'!$B$23:$F$45,2)</f>
        <v>0</v>
      </c>
      <c r="BY116" s="15">
        <f>VLOOKUP($U116,'2020_CapacityTable'!$B$23:$F$45,3)</f>
        <v>1910</v>
      </c>
      <c r="BZ116" s="15">
        <f>VLOOKUP($U116,'2020_CapacityTable'!$B$23:$F$45,4)</f>
        <v>2000</v>
      </c>
      <c r="CA116" s="15">
        <f>VLOOKUP($U116,'2020_CapacityTable'!$B$23:$F$45,5)</f>
        <v>2000</v>
      </c>
      <c r="CB116" s="15">
        <f t="shared" si="185"/>
        <v>0</v>
      </c>
      <c r="CC116" s="15">
        <f t="shared" si="186"/>
        <v>2006</v>
      </c>
      <c r="CD116" s="15">
        <f t="shared" si="187"/>
        <v>2100</v>
      </c>
      <c r="CE116" s="15">
        <f t="shared" si="188"/>
        <v>2100</v>
      </c>
      <c r="CF116" s="3">
        <f t="shared" si="215"/>
        <v>2100</v>
      </c>
      <c r="CG116" s="2">
        <f>'State of the System - Sumter Co'!AH116</f>
        <v>696</v>
      </c>
      <c r="CH116" s="2">
        <f>'State of the System - Sumter Co'!AI116</f>
        <v>1038</v>
      </c>
      <c r="CI116" s="11">
        <f t="shared" si="190"/>
        <v>0.49</v>
      </c>
      <c r="CJ116" s="2" t="str">
        <f t="shared" si="216"/>
        <v>C</v>
      </c>
      <c r="CK116" s="3">
        <f t="shared" si="192"/>
        <v>45133</v>
      </c>
      <c r="CL116" s="11">
        <f t="shared" si="193"/>
        <v>0.43</v>
      </c>
      <c r="CM116" s="11" t="str">
        <f t="shared" si="194"/>
        <v>NOT CONGESTED</v>
      </c>
      <c r="CN116" s="3">
        <f t="shared" si="195"/>
        <v>2268</v>
      </c>
      <c r="CO116" s="11">
        <f t="shared" si="196"/>
        <v>0.46</v>
      </c>
      <c r="CP116" s="156" t="str">
        <f t="shared" si="217"/>
        <v>NOT CONGESTED</v>
      </c>
      <c r="CQ116" s="2"/>
      <c r="CR116" s="42"/>
      <c r="CS116" s="11" t="str">
        <f t="shared" si="198"/>
        <v/>
      </c>
      <c r="CT116" s="11" t="str">
        <f t="shared" si="218"/>
        <v/>
      </c>
      <c r="CU116" s="11" t="str">
        <f t="shared" si="200"/>
        <v/>
      </c>
      <c r="CV116" s="11" t="str">
        <f t="shared" si="201"/>
        <v/>
      </c>
      <c r="CW116" s="2"/>
      <c r="CX116" s="1"/>
      <c r="CY116" s="145" t="str">
        <f t="shared" si="202"/>
        <v/>
      </c>
      <c r="CZ116" s="32" t="str">
        <f t="shared" si="203"/>
        <v/>
      </c>
    </row>
    <row r="117" spans="1:104" ht="12.75" customHeight="1">
      <c r="A117" s="1">
        <v>3552100</v>
      </c>
      <c r="B117" s="1">
        <f t="shared" si="204"/>
        <v>180203</v>
      </c>
      <c r="C117" s="1">
        <v>180203</v>
      </c>
      <c r="D117" s="1">
        <f>VLOOKUP(C117,'2022 counts'!$A$6:$B$304,2,FALSE)</f>
        <v>180203</v>
      </c>
      <c r="E117" s="1">
        <v>180203</v>
      </c>
      <c r="F117" s="2" t="s">
        <v>136</v>
      </c>
      <c r="G117" s="156">
        <v>60</v>
      </c>
      <c r="H117" s="11">
        <v>2.9241860259500001</v>
      </c>
      <c r="I117" s="10" t="s">
        <v>23</v>
      </c>
      <c r="J117" s="10" t="s">
        <v>97</v>
      </c>
      <c r="K117" s="10" t="s">
        <v>733</v>
      </c>
      <c r="L117" s="157">
        <v>4</v>
      </c>
      <c r="M117" s="1">
        <f>'State of the System - Sumter Co'!K117</f>
        <v>4</v>
      </c>
      <c r="N117" s="1" t="str">
        <f>IF('State of the System - Sumter Co'!L117="URBAN","U","R")</f>
        <v>R</v>
      </c>
      <c r="O117" s="1" t="str">
        <f>IF('State of the System - Sumter Co'!M117="UNDIVIDED","U",IF('State of the System - Sumter Co'!M117="DIVIDED","D","F"))</f>
        <v>D</v>
      </c>
      <c r="P117" s="1" t="str">
        <f>'State of the System - Sumter Co'!N117</f>
        <v>UNINTERRUPTED</v>
      </c>
      <c r="Q117" s="1" t="str">
        <f t="shared" si="156"/>
        <v>z</v>
      </c>
      <c r="R117" s="1" t="str">
        <f>'State of the System - Sumter Co'!O117</f>
        <v>UNDEVELOPED</v>
      </c>
      <c r="S117" s="1" t="str">
        <f t="shared" si="221"/>
        <v/>
      </c>
      <c r="T117" s="1" t="str">
        <f t="shared" si="158"/>
        <v>R-4Dz</v>
      </c>
      <c r="U117" s="1" t="str">
        <f t="shared" si="211"/>
        <v>R-4Dz</v>
      </c>
      <c r="V117" s="1" t="s">
        <v>137</v>
      </c>
      <c r="W117" s="1" t="s">
        <v>11</v>
      </c>
      <c r="X117" s="1" t="s">
        <v>138</v>
      </c>
      <c r="Y117" s="1" t="str">
        <f>'State of the System - Sumter Co'!R117</f>
        <v>C</v>
      </c>
      <c r="Z117" s="157" t="str">
        <f t="shared" si="159"/>
        <v>NHS Non-Interstate</v>
      </c>
      <c r="AA117" s="15">
        <f>VLOOKUP($T117,'2020_CapacityTable'!$B$49:$F$71,2)</f>
        <v>31200</v>
      </c>
      <c r="AB117" s="15">
        <f>VLOOKUP($T117,'2020_CapacityTable'!$B$49:$F$71,3)</f>
        <v>44900</v>
      </c>
      <c r="AC117" s="15">
        <f>VLOOKUP($T117,'2020_CapacityTable'!$B$49:$F$71,4)</f>
        <v>55700</v>
      </c>
      <c r="AD117" s="15">
        <f>VLOOKUP($T117,'2020_CapacityTable'!$B$49:$F$71,5)</f>
        <v>62700</v>
      </c>
      <c r="AE117" s="35" t="str">
        <f t="shared" si="222"/>
        <v/>
      </c>
      <c r="AF117" s="36" t="str">
        <f t="shared" si="160"/>
        <v/>
      </c>
      <c r="AG117" s="35" t="str">
        <f t="shared" si="223"/>
        <v/>
      </c>
      <c r="AH117" s="35" t="str">
        <f t="shared" si="224"/>
        <v/>
      </c>
      <c r="AI117" s="35"/>
      <c r="AJ117" s="36"/>
      <c r="AK117" s="15">
        <f t="shared" si="161"/>
        <v>31200</v>
      </c>
      <c r="AL117" s="15">
        <f t="shared" si="162"/>
        <v>44900</v>
      </c>
      <c r="AM117" s="15">
        <f t="shared" si="163"/>
        <v>55700</v>
      </c>
      <c r="AN117" s="15">
        <f t="shared" si="164"/>
        <v>62700</v>
      </c>
      <c r="AO117" s="3">
        <f t="shared" si="212"/>
        <v>44900</v>
      </c>
      <c r="AP117" s="138">
        <f>VLOOKUP($B117,'2022 counts'!$B$6:$R$304,17,FALSE)</f>
        <v>12640</v>
      </c>
      <c r="AQ117" s="11">
        <f t="shared" si="165"/>
        <v>0.28000000000000003</v>
      </c>
      <c r="AR117" s="2" t="str">
        <f t="shared" si="166"/>
        <v>B</v>
      </c>
      <c r="AS117" s="26">
        <f t="shared" si="167"/>
        <v>13.49</v>
      </c>
      <c r="AT117" s="15">
        <f>VLOOKUP($T117,'2020_CapacityTable'!$B$23:$F$45,2)</f>
        <v>1630</v>
      </c>
      <c r="AU117" s="15">
        <f>VLOOKUP($T117,'2020_CapacityTable'!$B$23:$F$45,3)</f>
        <v>2350</v>
      </c>
      <c r="AV117" s="15">
        <f>VLOOKUP($T117,'2020_CapacityTable'!$B$23:$F$45,4)</f>
        <v>2910</v>
      </c>
      <c r="AW117" s="15">
        <f>VLOOKUP($T117,'2020_CapacityTable'!$B$23:$F$45,5)</f>
        <v>3280</v>
      </c>
      <c r="AX117" s="15">
        <f t="shared" si="168"/>
        <v>1630</v>
      </c>
      <c r="AY117" s="15">
        <f t="shared" si="169"/>
        <v>2350</v>
      </c>
      <c r="AZ117" s="15">
        <f t="shared" si="170"/>
        <v>2910</v>
      </c>
      <c r="BA117" s="15">
        <f t="shared" si="171"/>
        <v>3280</v>
      </c>
      <c r="BB117" s="3">
        <f t="shared" si="213"/>
        <v>2350</v>
      </c>
      <c r="BC117" s="138">
        <f>VLOOKUP($B117,'2022 counts'!$B$6:$AD$304,28,FALSE)</f>
        <v>636</v>
      </c>
      <c r="BD117" s="138">
        <f>VLOOKUP($B117,'2022 counts'!$B$6:$AD$304,29,FALSE)</f>
        <v>564</v>
      </c>
      <c r="BE117" s="11">
        <f t="shared" si="173"/>
        <v>0.27</v>
      </c>
      <c r="BF117" s="2" t="str">
        <f t="shared" si="174"/>
        <v>B</v>
      </c>
      <c r="BG117" s="135">
        <v>0</v>
      </c>
      <c r="BH117" s="135">
        <f>IF($AQ117="","",VLOOKUP($B117, '2022 counts'!$B$6:$T$304,19,FALSE))</f>
        <v>0</v>
      </c>
      <c r="BI117" s="38">
        <f t="shared" si="175"/>
        <v>0.01</v>
      </c>
      <c r="BJ117" s="39" t="str">
        <f t="shared" si="176"/>
        <v>minimum</v>
      </c>
      <c r="BK117" s="15">
        <f>VLOOKUP($U117,'2020_CapacityTable'!$B$49:$F$71,2)</f>
        <v>31200</v>
      </c>
      <c r="BL117" s="15">
        <f>VLOOKUP($U117,'2020_CapacityTable'!$B$49:$F$71,3)</f>
        <v>44900</v>
      </c>
      <c r="BM117" s="15">
        <f>VLOOKUP($T117,'2020_CapacityTable'!$B$49:$F$71,4)</f>
        <v>55700</v>
      </c>
      <c r="BN117" s="15">
        <f>VLOOKUP($T117,'2020_CapacityTable'!$B$49:$F$71,5)</f>
        <v>62700</v>
      </c>
      <c r="BO117" s="15">
        <f t="shared" si="177"/>
        <v>31200</v>
      </c>
      <c r="BP117" s="15">
        <f t="shared" si="178"/>
        <v>44900</v>
      </c>
      <c r="BQ117" s="15">
        <f t="shared" si="179"/>
        <v>55700</v>
      </c>
      <c r="BR117" s="15">
        <f t="shared" si="180"/>
        <v>62700</v>
      </c>
      <c r="BS117" s="3">
        <f t="shared" si="214"/>
        <v>44900</v>
      </c>
      <c r="BT117" s="40">
        <f>'State of the System - Sumter Co'!AD117</f>
        <v>13285</v>
      </c>
      <c r="BU117" s="41">
        <f t="shared" si="182"/>
        <v>0.3</v>
      </c>
      <c r="BV117" s="2" t="str">
        <f t="shared" si="183"/>
        <v>B</v>
      </c>
      <c r="BW117" s="2">
        <f t="shared" si="184"/>
        <v>14.18</v>
      </c>
      <c r="BX117" s="15">
        <f>VLOOKUP($U117,'2020_CapacityTable'!$B$23:$F$45,2)</f>
        <v>1630</v>
      </c>
      <c r="BY117" s="15">
        <f>VLOOKUP($U117,'2020_CapacityTable'!$B$23:$F$45,3)</f>
        <v>2350</v>
      </c>
      <c r="BZ117" s="15">
        <f>VLOOKUP($U117,'2020_CapacityTable'!$B$23:$F$45,4)</f>
        <v>2910</v>
      </c>
      <c r="CA117" s="15">
        <f>VLOOKUP($U117,'2020_CapacityTable'!$B$23:$F$45,5)</f>
        <v>3280</v>
      </c>
      <c r="CB117" s="15">
        <f t="shared" si="185"/>
        <v>1630</v>
      </c>
      <c r="CC117" s="15">
        <f t="shared" si="186"/>
        <v>2350</v>
      </c>
      <c r="CD117" s="15">
        <f t="shared" si="187"/>
        <v>2910</v>
      </c>
      <c r="CE117" s="15">
        <f t="shared" si="188"/>
        <v>3280</v>
      </c>
      <c r="CF117" s="3">
        <f t="shared" si="215"/>
        <v>2350</v>
      </c>
      <c r="CG117" s="2">
        <f>'State of the System - Sumter Co'!AH117</f>
        <v>668</v>
      </c>
      <c r="CH117" s="2">
        <f>'State of the System - Sumter Co'!AI117</f>
        <v>593</v>
      </c>
      <c r="CI117" s="11">
        <f t="shared" si="190"/>
        <v>0.28000000000000003</v>
      </c>
      <c r="CJ117" s="2" t="str">
        <f t="shared" si="216"/>
        <v>B</v>
      </c>
      <c r="CK117" s="3">
        <f t="shared" si="192"/>
        <v>67716</v>
      </c>
      <c r="CL117" s="11">
        <f t="shared" si="193"/>
        <v>0.2</v>
      </c>
      <c r="CM117" s="11" t="str">
        <f t="shared" si="194"/>
        <v>NOT CONGESTED</v>
      </c>
      <c r="CN117" s="3">
        <f t="shared" si="195"/>
        <v>3542</v>
      </c>
      <c r="CO117" s="11">
        <f t="shared" si="196"/>
        <v>0.19</v>
      </c>
      <c r="CP117" s="156" t="str">
        <f t="shared" si="217"/>
        <v>NOT CONGESTED</v>
      </c>
      <c r="CQ117" s="3"/>
      <c r="CR117" s="3"/>
      <c r="CS117" s="11" t="str">
        <f t="shared" si="198"/>
        <v/>
      </c>
      <c r="CT117" s="11" t="str">
        <f t="shared" si="218"/>
        <v/>
      </c>
      <c r="CU117" s="11" t="str">
        <f t="shared" si="200"/>
        <v/>
      </c>
      <c r="CV117" s="11" t="str">
        <f t="shared" si="201"/>
        <v/>
      </c>
      <c r="CW117" s="2"/>
      <c r="CX117" s="1" t="s">
        <v>585</v>
      </c>
      <c r="CY117" s="145" t="str">
        <f t="shared" si="202"/>
        <v/>
      </c>
      <c r="CZ117" s="32" t="str">
        <f t="shared" si="203"/>
        <v/>
      </c>
    </row>
    <row r="118" spans="1:104" ht="12.75" customHeight="1">
      <c r="A118" s="1">
        <v>3552110</v>
      </c>
      <c r="B118" s="1" t="str">
        <f t="shared" si="204"/>
        <v>180203: 180202</v>
      </c>
      <c r="C118" s="157">
        <v>392</v>
      </c>
      <c r="D118" s="1" t="str">
        <f>VLOOKUP(C118,'2022 counts'!$A$6:$B$304,2,FALSE)</f>
        <v>STATE</v>
      </c>
      <c r="E118" s="157" t="s">
        <v>140</v>
      </c>
      <c r="F118" s="2" t="s">
        <v>136</v>
      </c>
      <c r="G118" s="156">
        <v>60</v>
      </c>
      <c r="H118" s="11">
        <v>3.67285487939</v>
      </c>
      <c r="I118" s="10" t="s">
        <v>23</v>
      </c>
      <c r="J118" s="10" t="s">
        <v>733</v>
      </c>
      <c r="K118" s="10" t="s">
        <v>746</v>
      </c>
      <c r="L118" s="157">
        <v>4</v>
      </c>
      <c r="M118" s="1">
        <f>'State of the System - Sumter Co'!K118</f>
        <v>4</v>
      </c>
      <c r="N118" s="1" t="str">
        <f>IF('State of the System - Sumter Co'!L118="URBAN","U","R")</f>
        <v>R</v>
      </c>
      <c r="O118" s="1" t="str">
        <f>IF('State of the System - Sumter Co'!M118="UNDIVIDED","U",IF('State of the System - Sumter Co'!M118="DIVIDED","D","F"))</f>
        <v>D</v>
      </c>
      <c r="P118" s="1" t="str">
        <f>'State of the System - Sumter Co'!N118</f>
        <v>UNINTERRUPTED</v>
      </c>
      <c r="Q118" s="1" t="str">
        <f t="shared" si="156"/>
        <v>z</v>
      </c>
      <c r="R118" s="1" t="str">
        <f>'State of the System - Sumter Co'!O118</f>
        <v>UNDEVELOPED</v>
      </c>
      <c r="S118" s="1" t="str">
        <f t="shared" si="221"/>
        <v/>
      </c>
      <c r="T118" s="1" t="str">
        <f t="shared" si="158"/>
        <v>R-4Dz</v>
      </c>
      <c r="U118" s="1" t="str">
        <f t="shared" ref="U118:U150" si="225">CONCATENATE(N118,"-",L118,O118,S118,Q118)</f>
        <v>R-4Dz</v>
      </c>
      <c r="V118" s="1" t="s">
        <v>137</v>
      </c>
      <c r="W118" s="1" t="s">
        <v>11</v>
      </c>
      <c r="X118" s="1" t="s">
        <v>138</v>
      </c>
      <c r="Y118" s="1" t="str">
        <f>'State of the System - Sumter Co'!R118</f>
        <v>C</v>
      </c>
      <c r="Z118" s="157" t="str">
        <f t="shared" si="159"/>
        <v>NHS Non-Interstate</v>
      </c>
      <c r="AA118" s="15">
        <f>VLOOKUP($T118,'2020_CapacityTable'!$B$49:$F$71,2)</f>
        <v>31200</v>
      </c>
      <c r="AB118" s="15">
        <f>VLOOKUP($T118,'2020_CapacityTable'!$B$49:$F$71,3)</f>
        <v>44900</v>
      </c>
      <c r="AC118" s="15">
        <f>VLOOKUP($T118,'2020_CapacityTable'!$B$49:$F$71,4)</f>
        <v>55700</v>
      </c>
      <c r="AD118" s="15">
        <f>VLOOKUP($T118,'2020_CapacityTable'!$B$49:$F$71,5)</f>
        <v>62700</v>
      </c>
      <c r="AE118" s="35" t="str">
        <f t="shared" si="222"/>
        <v/>
      </c>
      <c r="AF118" s="36" t="str">
        <f t="shared" si="160"/>
        <v/>
      </c>
      <c r="AG118" s="35" t="str">
        <f t="shared" si="223"/>
        <v/>
      </c>
      <c r="AH118" s="35" t="str">
        <f t="shared" si="224"/>
        <v/>
      </c>
      <c r="AI118" s="35"/>
      <c r="AJ118" s="36"/>
      <c r="AK118" s="15">
        <f t="shared" si="161"/>
        <v>31200</v>
      </c>
      <c r="AL118" s="15">
        <f t="shared" si="162"/>
        <v>44900</v>
      </c>
      <c r="AM118" s="15">
        <f t="shared" si="163"/>
        <v>55700</v>
      </c>
      <c r="AN118" s="15">
        <f t="shared" si="164"/>
        <v>62700</v>
      </c>
      <c r="AO118" s="3">
        <f t="shared" si="212"/>
        <v>44900</v>
      </c>
      <c r="AP118" s="138">
        <f>VLOOKUP($B118,'2022 counts'!$B$6:$R$304,17,FALSE)</f>
        <v>11690</v>
      </c>
      <c r="AQ118" s="11">
        <f t="shared" si="165"/>
        <v>0.26</v>
      </c>
      <c r="AR118" s="2" t="str">
        <f t="shared" si="166"/>
        <v>B</v>
      </c>
      <c r="AS118" s="26">
        <f t="shared" si="167"/>
        <v>15.67</v>
      </c>
      <c r="AT118" s="15">
        <f>VLOOKUP($T118,'2020_CapacityTable'!$B$23:$F$45,2)</f>
        <v>1630</v>
      </c>
      <c r="AU118" s="15">
        <f>VLOOKUP($T118,'2020_CapacityTable'!$B$23:$F$45,3)</f>
        <v>2350</v>
      </c>
      <c r="AV118" s="15">
        <f>VLOOKUP($T118,'2020_CapacityTable'!$B$23:$F$45,4)</f>
        <v>2910</v>
      </c>
      <c r="AW118" s="15">
        <f>VLOOKUP($T118,'2020_CapacityTable'!$B$23:$F$45,5)</f>
        <v>3280</v>
      </c>
      <c r="AX118" s="15">
        <f t="shared" si="168"/>
        <v>1630</v>
      </c>
      <c r="AY118" s="15">
        <f t="shared" si="169"/>
        <v>2350</v>
      </c>
      <c r="AZ118" s="15">
        <f t="shared" si="170"/>
        <v>2910</v>
      </c>
      <c r="BA118" s="15">
        <f t="shared" si="171"/>
        <v>3280</v>
      </c>
      <c r="BB118" s="3">
        <f t="shared" si="213"/>
        <v>2350</v>
      </c>
      <c r="BC118" s="138">
        <f>VLOOKUP($B118,'2022 counts'!$B$6:$AD$304,28,FALSE)</f>
        <v>588.5</v>
      </c>
      <c r="BD118" s="138">
        <f>VLOOKUP($B118,'2022 counts'!$B$6:$AD$304,29,FALSE)</f>
        <v>522</v>
      </c>
      <c r="BE118" s="11">
        <f t="shared" si="173"/>
        <v>0.25</v>
      </c>
      <c r="BF118" s="2" t="str">
        <f t="shared" si="174"/>
        <v>B</v>
      </c>
      <c r="BG118" s="135">
        <v>0</v>
      </c>
      <c r="BH118" s="135">
        <f>IF($AQ118="","",VLOOKUP($B118, '2022 counts'!$B$6:$T$304,19,FALSE))</f>
        <v>0</v>
      </c>
      <c r="BI118" s="38">
        <f t="shared" si="175"/>
        <v>0.01</v>
      </c>
      <c r="BJ118" s="39" t="str">
        <f t="shared" si="176"/>
        <v>minimum</v>
      </c>
      <c r="BK118" s="15">
        <f>VLOOKUP($U118,'2020_CapacityTable'!$B$49:$F$71,2)</f>
        <v>31200</v>
      </c>
      <c r="BL118" s="15">
        <f>VLOOKUP($U118,'2020_CapacityTable'!$B$49:$F$71,3)</f>
        <v>44900</v>
      </c>
      <c r="BM118" s="15">
        <f>VLOOKUP($T118,'2020_CapacityTable'!$B$49:$F$71,4)</f>
        <v>55700</v>
      </c>
      <c r="BN118" s="15">
        <f>VLOOKUP($T118,'2020_CapacityTable'!$B$49:$F$71,5)</f>
        <v>62700</v>
      </c>
      <c r="BO118" s="15">
        <f t="shared" si="177"/>
        <v>31200</v>
      </c>
      <c r="BP118" s="15">
        <f t="shared" si="178"/>
        <v>44900</v>
      </c>
      <c r="BQ118" s="15">
        <f t="shared" si="179"/>
        <v>55700</v>
      </c>
      <c r="BR118" s="15">
        <f t="shared" si="180"/>
        <v>62700</v>
      </c>
      <c r="BS118" s="3">
        <f t="shared" si="214"/>
        <v>44900</v>
      </c>
      <c r="BT118" s="40">
        <f>'State of the System - Sumter Co'!AD118</f>
        <v>12286</v>
      </c>
      <c r="BU118" s="41">
        <f t="shared" si="182"/>
        <v>0.27</v>
      </c>
      <c r="BV118" s="2" t="str">
        <f t="shared" si="183"/>
        <v>B</v>
      </c>
      <c r="BW118" s="2">
        <f t="shared" si="184"/>
        <v>16.47</v>
      </c>
      <c r="BX118" s="15">
        <f>VLOOKUP($U118,'2020_CapacityTable'!$B$23:$F$45,2)</f>
        <v>1630</v>
      </c>
      <c r="BY118" s="15">
        <f>VLOOKUP($U118,'2020_CapacityTable'!$B$23:$F$45,3)</f>
        <v>2350</v>
      </c>
      <c r="BZ118" s="15">
        <f>VLOOKUP($U118,'2020_CapacityTable'!$B$23:$F$45,4)</f>
        <v>2910</v>
      </c>
      <c r="CA118" s="15">
        <f>VLOOKUP($U118,'2020_CapacityTable'!$B$23:$F$45,5)</f>
        <v>3280</v>
      </c>
      <c r="CB118" s="15">
        <f t="shared" si="185"/>
        <v>1630</v>
      </c>
      <c r="CC118" s="15">
        <f t="shared" si="186"/>
        <v>2350</v>
      </c>
      <c r="CD118" s="15">
        <f t="shared" si="187"/>
        <v>2910</v>
      </c>
      <c r="CE118" s="15">
        <f t="shared" si="188"/>
        <v>3280</v>
      </c>
      <c r="CF118" s="3">
        <f t="shared" si="215"/>
        <v>2350</v>
      </c>
      <c r="CG118" s="2">
        <f>'State of the System - Sumter Co'!AH118</f>
        <v>619</v>
      </c>
      <c r="CH118" s="2">
        <f>'State of the System - Sumter Co'!AI118</f>
        <v>549</v>
      </c>
      <c r="CI118" s="11">
        <f t="shared" si="190"/>
        <v>0.26</v>
      </c>
      <c r="CJ118" s="2" t="str">
        <f t="shared" si="216"/>
        <v>B</v>
      </c>
      <c r="CK118" s="3">
        <f t="shared" si="192"/>
        <v>67716</v>
      </c>
      <c r="CL118" s="11">
        <f t="shared" si="193"/>
        <v>0.18</v>
      </c>
      <c r="CM118" s="11" t="str">
        <f t="shared" si="194"/>
        <v>NOT CONGESTED</v>
      </c>
      <c r="CN118" s="3">
        <f t="shared" si="195"/>
        <v>3542</v>
      </c>
      <c r="CO118" s="11">
        <f t="shared" si="196"/>
        <v>0.17</v>
      </c>
      <c r="CP118" s="156" t="str">
        <f t="shared" si="217"/>
        <v>NOT CONGESTED</v>
      </c>
      <c r="CQ118" s="2"/>
      <c r="CR118" s="42"/>
      <c r="CS118" s="11" t="str">
        <f t="shared" si="198"/>
        <v/>
      </c>
      <c r="CT118" s="11" t="str">
        <f t="shared" si="218"/>
        <v/>
      </c>
      <c r="CU118" s="11" t="str">
        <f t="shared" si="200"/>
        <v/>
      </c>
      <c r="CV118" s="11" t="str">
        <f t="shared" si="201"/>
        <v/>
      </c>
      <c r="CW118" s="2"/>
      <c r="CX118" s="1" t="s">
        <v>585</v>
      </c>
      <c r="CY118" s="145" t="str">
        <f t="shared" si="202"/>
        <v/>
      </c>
      <c r="CZ118" s="32" t="str">
        <f t="shared" si="203"/>
        <v/>
      </c>
    </row>
    <row r="119" spans="1:104" ht="12.75" customHeight="1">
      <c r="A119" s="1">
        <v>3552120</v>
      </c>
      <c r="B119" s="1">
        <f t="shared" si="204"/>
        <v>180202</v>
      </c>
      <c r="C119" s="1">
        <v>394</v>
      </c>
      <c r="D119" s="1" t="str">
        <f>VLOOKUP(C119,'2022 counts'!$A$6:$B$304,2,FALSE)</f>
        <v>STATE</v>
      </c>
      <c r="E119" s="1">
        <v>180202</v>
      </c>
      <c r="F119" s="2" t="s">
        <v>136</v>
      </c>
      <c r="G119" s="156">
        <v>60</v>
      </c>
      <c r="H119" s="11">
        <v>1.73012210538</v>
      </c>
      <c r="I119" s="10" t="s">
        <v>23</v>
      </c>
      <c r="J119" s="10" t="s">
        <v>746</v>
      </c>
      <c r="K119" s="10" t="s">
        <v>141</v>
      </c>
      <c r="L119" s="157">
        <v>4</v>
      </c>
      <c r="M119" s="1">
        <f>'State of the System - Sumter Co'!K119</f>
        <v>4</v>
      </c>
      <c r="N119" s="1" t="str">
        <f>IF('State of the System - Sumter Co'!L119="URBAN","U","R")</f>
        <v>R</v>
      </c>
      <c r="O119" s="1" t="str">
        <f>IF('State of the System - Sumter Co'!M119="UNDIVIDED","U",IF('State of the System - Sumter Co'!M119="DIVIDED","D","F"))</f>
        <v>D</v>
      </c>
      <c r="P119" s="1" t="str">
        <f>'State of the System - Sumter Co'!N119</f>
        <v>UNINTERRUPTED</v>
      </c>
      <c r="Q119" s="1" t="str">
        <f t="shared" si="156"/>
        <v>z</v>
      </c>
      <c r="R119" s="1" t="str">
        <f>'State of the System - Sumter Co'!O119</f>
        <v>UNDEVELOPED</v>
      </c>
      <c r="S119" s="1" t="str">
        <f t="shared" si="221"/>
        <v/>
      </c>
      <c r="T119" s="1" t="str">
        <f t="shared" si="158"/>
        <v>R-4Dz</v>
      </c>
      <c r="U119" s="1" t="str">
        <f t="shared" si="225"/>
        <v>R-4Dz</v>
      </c>
      <c r="V119" s="1" t="s">
        <v>137</v>
      </c>
      <c r="W119" s="1" t="s">
        <v>11</v>
      </c>
      <c r="X119" s="1" t="s">
        <v>138</v>
      </c>
      <c r="Y119" s="1" t="str">
        <f>'State of the System - Sumter Co'!R119</f>
        <v>C</v>
      </c>
      <c r="Z119" s="157" t="str">
        <f t="shared" si="159"/>
        <v>NHS Non-Interstate</v>
      </c>
      <c r="AA119" s="15">
        <f>VLOOKUP($T119,'2020_CapacityTable'!$B$49:$F$71,2)</f>
        <v>31200</v>
      </c>
      <c r="AB119" s="15">
        <f>VLOOKUP($T119,'2020_CapacityTable'!$B$49:$F$71,3)</f>
        <v>44900</v>
      </c>
      <c r="AC119" s="15">
        <f>VLOOKUP($T119,'2020_CapacityTable'!$B$49:$F$71,4)</f>
        <v>55700</v>
      </c>
      <c r="AD119" s="15">
        <f>VLOOKUP($T119,'2020_CapacityTable'!$B$49:$F$71,5)</f>
        <v>62700</v>
      </c>
      <c r="AE119" s="35" t="str">
        <f t="shared" si="222"/>
        <v/>
      </c>
      <c r="AF119" s="36" t="str">
        <f t="shared" si="160"/>
        <v/>
      </c>
      <c r="AG119" s="35" t="str">
        <f t="shared" si="223"/>
        <v/>
      </c>
      <c r="AH119" s="35" t="str">
        <f t="shared" si="224"/>
        <v/>
      </c>
      <c r="AI119" s="35"/>
      <c r="AJ119" s="36"/>
      <c r="AK119" s="15">
        <f t="shared" si="161"/>
        <v>31200</v>
      </c>
      <c r="AL119" s="15">
        <f t="shared" si="162"/>
        <v>44900</v>
      </c>
      <c r="AM119" s="15">
        <f t="shared" si="163"/>
        <v>55700</v>
      </c>
      <c r="AN119" s="15">
        <f t="shared" si="164"/>
        <v>62700</v>
      </c>
      <c r="AO119" s="3">
        <f t="shared" si="212"/>
        <v>44900</v>
      </c>
      <c r="AP119" s="138">
        <f>VLOOKUP($B119,'2022 counts'!$B$6:$R$304,17,FALSE)</f>
        <v>10740</v>
      </c>
      <c r="AQ119" s="11">
        <f t="shared" si="165"/>
        <v>0.24</v>
      </c>
      <c r="AR119" s="2" t="str">
        <f t="shared" si="166"/>
        <v>B</v>
      </c>
      <c r="AS119" s="26">
        <f t="shared" si="167"/>
        <v>6.78</v>
      </c>
      <c r="AT119" s="15">
        <f>VLOOKUP($T119,'2020_CapacityTable'!$B$23:$F$45,2)</f>
        <v>1630</v>
      </c>
      <c r="AU119" s="15">
        <f>VLOOKUP($T119,'2020_CapacityTable'!$B$23:$F$45,3)</f>
        <v>2350</v>
      </c>
      <c r="AV119" s="15">
        <f>VLOOKUP($T119,'2020_CapacityTable'!$B$23:$F$45,4)</f>
        <v>2910</v>
      </c>
      <c r="AW119" s="15">
        <f>VLOOKUP($T119,'2020_CapacityTable'!$B$23:$F$45,5)</f>
        <v>3280</v>
      </c>
      <c r="AX119" s="15">
        <f t="shared" si="168"/>
        <v>1630</v>
      </c>
      <c r="AY119" s="15">
        <f t="shared" si="169"/>
        <v>2350</v>
      </c>
      <c r="AZ119" s="15">
        <f t="shared" si="170"/>
        <v>2910</v>
      </c>
      <c r="BA119" s="15">
        <f t="shared" si="171"/>
        <v>3280</v>
      </c>
      <c r="BB119" s="3">
        <f t="shared" si="213"/>
        <v>2350</v>
      </c>
      <c r="BC119" s="138">
        <f>VLOOKUP($B119,'2022 counts'!$B$6:$AD$304,28,FALSE)</f>
        <v>541</v>
      </c>
      <c r="BD119" s="138">
        <f>VLOOKUP($B119,'2022 counts'!$B$6:$AD$304,29,FALSE)</f>
        <v>480</v>
      </c>
      <c r="BE119" s="11">
        <f t="shared" si="173"/>
        <v>0.23</v>
      </c>
      <c r="BF119" s="2" t="str">
        <f t="shared" si="174"/>
        <v>B</v>
      </c>
      <c r="BG119" s="135">
        <v>0</v>
      </c>
      <c r="BH119" s="135">
        <f>IF($AQ119="","",VLOOKUP($B119, '2022 counts'!$B$6:$T$304,19,FALSE))</f>
        <v>0</v>
      </c>
      <c r="BI119" s="38">
        <f t="shared" si="175"/>
        <v>0.01</v>
      </c>
      <c r="BJ119" s="39" t="str">
        <f t="shared" si="176"/>
        <v>minimum</v>
      </c>
      <c r="BK119" s="15">
        <f>VLOOKUP($U119,'2020_CapacityTable'!$B$49:$F$71,2)</f>
        <v>31200</v>
      </c>
      <c r="BL119" s="15">
        <f>VLOOKUP($U119,'2020_CapacityTable'!$B$49:$F$71,3)</f>
        <v>44900</v>
      </c>
      <c r="BM119" s="15">
        <f>VLOOKUP($T119,'2020_CapacityTable'!$B$49:$F$71,4)</f>
        <v>55700</v>
      </c>
      <c r="BN119" s="15">
        <f>VLOOKUP($T119,'2020_CapacityTable'!$B$49:$F$71,5)</f>
        <v>62700</v>
      </c>
      <c r="BO119" s="15">
        <f t="shared" si="177"/>
        <v>31200</v>
      </c>
      <c r="BP119" s="15">
        <f t="shared" si="178"/>
        <v>44900</v>
      </c>
      <c r="BQ119" s="15">
        <f t="shared" si="179"/>
        <v>55700</v>
      </c>
      <c r="BR119" s="15">
        <f t="shared" si="180"/>
        <v>62700</v>
      </c>
      <c r="BS119" s="3">
        <f t="shared" si="214"/>
        <v>44900</v>
      </c>
      <c r="BT119" s="40">
        <f>'State of the System - Sumter Co'!AD119</f>
        <v>11288</v>
      </c>
      <c r="BU119" s="41">
        <f t="shared" si="182"/>
        <v>0.25</v>
      </c>
      <c r="BV119" s="2" t="str">
        <f t="shared" si="183"/>
        <v>B</v>
      </c>
      <c r="BW119" s="2">
        <f t="shared" si="184"/>
        <v>7.13</v>
      </c>
      <c r="BX119" s="15">
        <f>VLOOKUP($U119,'2020_CapacityTable'!$B$23:$F$45,2)</f>
        <v>1630</v>
      </c>
      <c r="BY119" s="15">
        <f>VLOOKUP($U119,'2020_CapacityTable'!$B$23:$F$45,3)</f>
        <v>2350</v>
      </c>
      <c r="BZ119" s="15">
        <f>VLOOKUP($U119,'2020_CapacityTable'!$B$23:$F$45,4)</f>
        <v>2910</v>
      </c>
      <c r="CA119" s="15">
        <f>VLOOKUP($U119,'2020_CapacityTable'!$B$23:$F$45,5)</f>
        <v>3280</v>
      </c>
      <c r="CB119" s="15">
        <f t="shared" si="185"/>
        <v>1630</v>
      </c>
      <c r="CC119" s="15">
        <f t="shared" si="186"/>
        <v>2350</v>
      </c>
      <c r="CD119" s="15">
        <f t="shared" si="187"/>
        <v>2910</v>
      </c>
      <c r="CE119" s="15">
        <f t="shared" si="188"/>
        <v>3280</v>
      </c>
      <c r="CF119" s="3">
        <f t="shared" si="215"/>
        <v>2350</v>
      </c>
      <c r="CG119" s="2">
        <f>'State of the System - Sumter Co'!AH119</f>
        <v>569</v>
      </c>
      <c r="CH119" s="2">
        <f>'State of the System - Sumter Co'!AI119</f>
        <v>504</v>
      </c>
      <c r="CI119" s="11">
        <f t="shared" si="190"/>
        <v>0.24</v>
      </c>
      <c r="CJ119" s="2" t="str">
        <f t="shared" si="216"/>
        <v>B</v>
      </c>
      <c r="CK119" s="3">
        <f t="shared" si="192"/>
        <v>67716</v>
      </c>
      <c r="CL119" s="11">
        <f t="shared" si="193"/>
        <v>0.17</v>
      </c>
      <c r="CM119" s="11" t="str">
        <f t="shared" si="194"/>
        <v>NOT CONGESTED</v>
      </c>
      <c r="CN119" s="3">
        <f t="shared" si="195"/>
        <v>3542</v>
      </c>
      <c r="CO119" s="11">
        <f t="shared" si="196"/>
        <v>0.16</v>
      </c>
      <c r="CP119" s="156" t="str">
        <f t="shared" si="217"/>
        <v>NOT CONGESTED</v>
      </c>
      <c r="CQ119" s="2"/>
      <c r="CR119" s="42"/>
      <c r="CS119" s="11" t="str">
        <f t="shared" si="198"/>
        <v/>
      </c>
      <c r="CT119" s="11" t="str">
        <f t="shared" si="218"/>
        <v/>
      </c>
      <c r="CU119" s="11" t="str">
        <f t="shared" si="200"/>
        <v/>
      </c>
      <c r="CV119" s="11" t="str">
        <f t="shared" si="201"/>
        <v/>
      </c>
      <c r="CW119" s="2"/>
      <c r="CX119" s="1" t="s">
        <v>585</v>
      </c>
      <c r="CY119" s="145" t="str">
        <f t="shared" si="202"/>
        <v/>
      </c>
      <c r="CZ119" s="32" t="str">
        <f t="shared" si="203"/>
        <v/>
      </c>
    </row>
    <row r="120" spans="1:104" ht="12.75" customHeight="1">
      <c r="A120" s="1">
        <v>3552130</v>
      </c>
      <c r="B120" s="1">
        <f t="shared" si="204"/>
        <v>180102</v>
      </c>
      <c r="C120" s="1">
        <v>396</v>
      </c>
      <c r="D120" s="1" t="str">
        <f>VLOOKUP(C120,'2022 counts'!$A$6:$B$304,2,FALSE)</f>
        <v>STATE</v>
      </c>
      <c r="E120" s="1">
        <v>180102</v>
      </c>
      <c r="F120" s="2" t="s">
        <v>136</v>
      </c>
      <c r="G120" s="156">
        <v>45</v>
      </c>
      <c r="H120" s="11">
        <v>0.99765795231800003</v>
      </c>
      <c r="I120" s="10" t="s">
        <v>23</v>
      </c>
      <c r="J120" s="10" t="s">
        <v>66</v>
      </c>
      <c r="K120" s="10" t="s">
        <v>712</v>
      </c>
      <c r="L120" s="157">
        <v>4</v>
      </c>
      <c r="M120" s="1">
        <f>'State of the System - Sumter Co'!K120</f>
        <v>4</v>
      </c>
      <c r="N120" s="1" t="str">
        <f>IF('State of the System - Sumter Co'!L120="URBAN","U","R")</f>
        <v>U</v>
      </c>
      <c r="O120" s="1" t="str">
        <f>IF('State of the System - Sumter Co'!M120="UNDIVIDED","U",IF('State of the System - Sumter Co'!M120="DIVIDED","D","F"))</f>
        <v>D</v>
      </c>
      <c r="P120" s="1" t="str">
        <f>'State of the System - Sumter Co'!N120</f>
        <v>UNINTERRUPTED</v>
      </c>
      <c r="Q120" s="1" t="str">
        <f t="shared" si="156"/>
        <v/>
      </c>
      <c r="R120" s="1" t="str">
        <f>'State of the System - Sumter Co'!O120</f>
        <v/>
      </c>
      <c r="S120" s="1" t="str">
        <f t="shared" si="221"/>
        <v>-x</v>
      </c>
      <c r="T120" s="1" t="str">
        <f t="shared" si="158"/>
        <v>U-4D-x</v>
      </c>
      <c r="U120" s="1" t="str">
        <f t="shared" si="225"/>
        <v>U-4D-x</v>
      </c>
      <c r="V120" s="1" t="s">
        <v>137</v>
      </c>
      <c r="W120" s="1" t="s">
        <v>11</v>
      </c>
      <c r="X120" s="1" t="s">
        <v>138</v>
      </c>
      <c r="Y120" s="1" t="str">
        <f>'State of the System - Sumter Co'!R120</f>
        <v>D</v>
      </c>
      <c r="Z120" s="157" t="str">
        <f t="shared" si="159"/>
        <v>NHS Non-Interstate</v>
      </c>
      <c r="AA120" s="15">
        <f>VLOOKUP($T120,'2020_CapacityTable'!$B$49:$F$71,2)</f>
        <v>36300</v>
      </c>
      <c r="AB120" s="15">
        <f>VLOOKUP($T120,'2020_CapacityTable'!$B$49:$F$71,3)</f>
        <v>52600</v>
      </c>
      <c r="AC120" s="15">
        <f>VLOOKUP($T120,'2020_CapacityTable'!$B$49:$F$71,4)</f>
        <v>66200</v>
      </c>
      <c r="AD120" s="15">
        <f>VLOOKUP($T120,'2020_CapacityTable'!$B$49:$F$71,5)</f>
        <v>75300</v>
      </c>
      <c r="AE120" s="35" t="str">
        <f t="shared" si="222"/>
        <v/>
      </c>
      <c r="AF120" s="36" t="str">
        <f t="shared" si="160"/>
        <v/>
      </c>
      <c r="AG120" s="35" t="str">
        <f t="shared" si="223"/>
        <v/>
      </c>
      <c r="AH120" s="35" t="str">
        <f t="shared" si="224"/>
        <v/>
      </c>
      <c r="AI120" s="35"/>
      <c r="AJ120" s="36"/>
      <c r="AK120" s="15">
        <f t="shared" si="161"/>
        <v>36300</v>
      </c>
      <c r="AL120" s="15">
        <f t="shared" si="162"/>
        <v>52600</v>
      </c>
      <c r="AM120" s="15">
        <f t="shared" si="163"/>
        <v>66200</v>
      </c>
      <c r="AN120" s="15">
        <f t="shared" si="164"/>
        <v>75300</v>
      </c>
      <c r="AO120" s="3">
        <f t="shared" si="212"/>
        <v>66200</v>
      </c>
      <c r="AP120" s="138">
        <f>VLOOKUP($B120,'2022 counts'!$B$6:$R$304,17,FALSE)</f>
        <v>18510</v>
      </c>
      <c r="AQ120" s="11">
        <f t="shared" si="165"/>
        <v>0.28000000000000003</v>
      </c>
      <c r="AR120" s="2" t="str">
        <f t="shared" si="166"/>
        <v>B</v>
      </c>
      <c r="AS120" s="26">
        <f t="shared" si="167"/>
        <v>6.74</v>
      </c>
      <c r="AT120" s="15">
        <f>VLOOKUP($T120,'2020_CapacityTable'!$B$23:$F$45,2)</f>
        <v>1800</v>
      </c>
      <c r="AU120" s="15">
        <f>VLOOKUP($T120,'2020_CapacityTable'!$B$23:$F$45,3)</f>
        <v>2600</v>
      </c>
      <c r="AV120" s="15">
        <f>VLOOKUP($T120,'2020_CapacityTable'!$B$23:$F$45,4)</f>
        <v>3280</v>
      </c>
      <c r="AW120" s="15">
        <f>VLOOKUP($T120,'2020_CapacityTable'!$B$23:$F$45,5)</f>
        <v>3730</v>
      </c>
      <c r="AX120" s="15">
        <f t="shared" si="168"/>
        <v>1800</v>
      </c>
      <c r="AY120" s="15">
        <f t="shared" si="169"/>
        <v>2600</v>
      </c>
      <c r="AZ120" s="15">
        <f t="shared" si="170"/>
        <v>3280</v>
      </c>
      <c r="BA120" s="15">
        <f t="shared" si="171"/>
        <v>3730</v>
      </c>
      <c r="BB120" s="3">
        <f t="shared" si="213"/>
        <v>3280</v>
      </c>
      <c r="BC120" s="138">
        <f>VLOOKUP($B120,'2022 counts'!$B$6:$AD$304,28,FALSE)</f>
        <v>662</v>
      </c>
      <c r="BD120" s="138">
        <f>VLOOKUP($B120,'2022 counts'!$B$6:$AD$304,29,FALSE)</f>
        <v>988</v>
      </c>
      <c r="BE120" s="11">
        <f t="shared" si="173"/>
        <v>0.3</v>
      </c>
      <c r="BF120" s="2" t="str">
        <f t="shared" si="174"/>
        <v>B</v>
      </c>
      <c r="BG120" s="135">
        <v>0</v>
      </c>
      <c r="BH120" s="135">
        <f>IF($AQ120="","",VLOOKUP($B120, '2022 counts'!$B$6:$T$304,19,FALSE))</f>
        <v>0</v>
      </c>
      <c r="BI120" s="38">
        <f t="shared" si="175"/>
        <v>0.01</v>
      </c>
      <c r="BJ120" s="39" t="str">
        <f t="shared" si="176"/>
        <v>minimum</v>
      </c>
      <c r="BK120" s="15">
        <f>VLOOKUP($U120,'2020_CapacityTable'!$B$49:$F$71,2)</f>
        <v>36300</v>
      </c>
      <c r="BL120" s="15">
        <f>VLOOKUP($U120,'2020_CapacityTable'!$B$49:$F$71,3)</f>
        <v>52600</v>
      </c>
      <c r="BM120" s="15">
        <f>VLOOKUP($T120,'2020_CapacityTable'!$B$49:$F$71,4)</f>
        <v>66200</v>
      </c>
      <c r="BN120" s="15">
        <f>VLOOKUP($T120,'2020_CapacityTable'!$B$49:$F$71,5)</f>
        <v>75300</v>
      </c>
      <c r="BO120" s="15">
        <f t="shared" si="177"/>
        <v>36300</v>
      </c>
      <c r="BP120" s="15">
        <f t="shared" si="178"/>
        <v>52600</v>
      </c>
      <c r="BQ120" s="15">
        <f t="shared" si="179"/>
        <v>66200</v>
      </c>
      <c r="BR120" s="15">
        <f t="shared" si="180"/>
        <v>75300</v>
      </c>
      <c r="BS120" s="3">
        <f t="shared" si="214"/>
        <v>66200</v>
      </c>
      <c r="BT120" s="40">
        <f>'State of the System - Sumter Co'!AD120</f>
        <v>19454</v>
      </c>
      <c r="BU120" s="41">
        <f t="shared" si="182"/>
        <v>0.28999999999999998</v>
      </c>
      <c r="BV120" s="2" t="str">
        <f t="shared" si="183"/>
        <v>B</v>
      </c>
      <c r="BW120" s="2">
        <f t="shared" si="184"/>
        <v>7.08</v>
      </c>
      <c r="BX120" s="15">
        <f>VLOOKUP($U120,'2020_CapacityTable'!$B$23:$F$45,2)</f>
        <v>1800</v>
      </c>
      <c r="BY120" s="15">
        <f>VLOOKUP($U120,'2020_CapacityTable'!$B$23:$F$45,3)</f>
        <v>2600</v>
      </c>
      <c r="BZ120" s="15">
        <f>VLOOKUP($U120,'2020_CapacityTable'!$B$23:$F$45,4)</f>
        <v>3280</v>
      </c>
      <c r="CA120" s="15">
        <f>VLOOKUP($U120,'2020_CapacityTable'!$B$23:$F$45,5)</f>
        <v>3730</v>
      </c>
      <c r="CB120" s="15">
        <f t="shared" si="185"/>
        <v>1800</v>
      </c>
      <c r="CC120" s="15">
        <f t="shared" si="186"/>
        <v>2600</v>
      </c>
      <c r="CD120" s="15">
        <f t="shared" si="187"/>
        <v>3280</v>
      </c>
      <c r="CE120" s="15">
        <f t="shared" si="188"/>
        <v>3730</v>
      </c>
      <c r="CF120" s="3">
        <f t="shared" si="215"/>
        <v>3280</v>
      </c>
      <c r="CG120" s="2">
        <f>'State of the System - Sumter Co'!AH120</f>
        <v>696</v>
      </c>
      <c r="CH120" s="2">
        <f>'State of the System - Sumter Co'!AI120</f>
        <v>1038</v>
      </c>
      <c r="CI120" s="11">
        <f t="shared" si="190"/>
        <v>0.32</v>
      </c>
      <c r="CJ120" s="2" t="str">
        <f t="shared" si="216"/>
        <v>B</v>
      </c>
      <c r="CK120" s="3">
        <f t="shared" si="192"/>
        <v>81324</v>
      </c>
      <c r="CL120" s="11">
        <f t="shared" si="193"/>
        <v>0.24</v>
      </c>
      <c r="CM120" s="11" t="str">
        <f t="shared" si="194"/>
        <v>NOT CONGESTED</v>
      </c>
      <c r="CN120" s="3">
        <f t="shared" si="195"/>
        <v>4028</v>
      </c>
      <c r="CO120" s="11">
        <f t="shared" si="196"/>
        <v>0.26</v>
      </c>
      <c r="CP120" s="156" t="str">
        <f t="shared" si="217"/>
        <v>NOT CONGESTED</v>
      </c>
      <c r="CQ120" s="2"/>
      <c r="CR120" s="42"/>
      <c r="CS120" s="11" t="str">
        <f t="shared" si="198"/>
        <v/>
      </c>
      <c r="CT120" s="11" t="str">
        <f t="shared" si="218"/>
        <v/>
      </c>
      <c r="CU120" s="11" t="str">
        <f t="shared" si="200"/>
        <v/>
      </c>
      <c r="CV120" s="11" t="str">
        <f t="shared" si="201"/>
        <v/>
      </c>
      <c r="CW120" s="2"/>
      <c r="CX120" s="1"/>
      <c r="CY120" s="145" t="str">
        <f t="shared" si="202"/>
        <v/>
      </c>
      <c r="CZ120" s="32" t="str">
        <f t="shared" si="203"/>
        <v/>
      </c>
    </row>
    <row r="121" spans="1:104" ht="12.75" customHeight="1">
      <c r="A121" s="1">
        <v>3553100</v>
      </c>
      <c r="B121" s="1" t="str">
        <f t="shared" si="204"/>
        <v>2020-378</v>
      </c>
      <c r="C121" s="1">
        <v>378</v>
      </c>
      <c r="D121" s="1" t="str">
        <f>VLOOKUP(C121,'2022 counts'!$A$6:$B$304,2,FALSE)</f>
        <v>2020-378</v>
      </c>
      <c r="E121" s="1"/>
      <c r="F121" s="2" t="s">
        <v>6</v>
      </c>
      <c r="G121" s="156">
        <v>35</v>
      </c>
      <c r="H121" s="11">
        <v>0.27450201707400002</v>
      </c>
      <c r="I121" s="10" t="s">
        <v>743</v>
      </c>
      <c r="J121" s="10" t="s">
        <v>748</v>
      </c>
      <c r="K121" s="10" t="s">
        <v>715</v>
      </c>
      <c r="L121" s="157">
        <v>2</v>
      </c>
      <c r="M121" s="1">
        <f>'State of the System - Sumter Co'!K121</f>
        <v>2</v>
      </c>
      <c r="N121" s="1" t="str">
        <f>IF('State of the System - Sumter Co'!L121="URBAN","U","R")</f>
        <v>R</v>
      </c>
      <c r="O121" s="1" t="str">
        <f>IF('State of the System - Sumter Co'!M121="UNDIVIDED","U",IF('State of the System - Sumter Co'!M121="DIVIDED","D","F"))</f>
        <v>U</v>
      </c>
      <c r="P121" s="1" t="str">
        <f>'State of the System - Sumter Co'!N121</f>
        <v>UNINTERRUPTED</v>
      </c>
      <c r="Q121" s="1" t="str">
        <f t="shared" si="156"/>
        <v>y</v>
      </c>
      <c r="R121" s="1" t="str">
        <f>'State of the System - Sumter Co'!O121</f>
        <v>DEVELOPED</v>
      </c>
      <c r="S121" s="1" t="str">
        <f t="shared" si="221"/>
        <v/>
      </c>
      <c r="T121" s="1" t="str">
        <f t="shared" si="158"/>
        <v>R-2Uy</v>
      </c>
      <c r="U121" s="1" t="str">
        <f t="shared" si="225"/>
        <v>R-2Uy</v>
      </c>
      <c r="V121" s="1" t="s">
        <v>10</v>
      </c>
      <c r="W121" s="1" t="s">
        <v>65</v>
      </c>
      <c r="X121" s="1" t="s">
        <v>12</v>
      </c>
      <c r="Y121" s="1" t="str">
        <f>'State of the System - Sumter Co'!R121</f>
        <v>D</v>
      </c>
      <c r="Z121" s="157" t="str">
        <f t="shared" si="159"/>
        <v>Other CMP Network Roadways</v>
      </c>
      <c r="AA121" s="15">
        <f>VLOOKUP($T121,'2020_CapacityTable'!$B$49:$F$71,2)</f>
        <v>10300</v>
      </c>
      <c r="AB121" s="15">
        <f>VLOOKUP($T121,'2020_CapacityTable'!$B$49:$F$71,3)</f>
        <v>15700</v>
      </c>
      <c r="AC121" s="15">
        <f>VLOOKUP($T121,'2020_CapacityTable'!$B$49:$F$71,4)</f>
        <v>21300</v>
      </c>
      <c r="AD121" s="15">
        <f>VLOOKUP($T121,'2020_CapacityTable'!$B$49:$F$71,5)</f>
        <v>28500</v>
      </c>
      <c r="AE121" s="35"/>
      <c r="AF121" s="36" t="str">
        <f t="shared" si="160"/>
        <v/>
      </c>
      <c r="AG121" s="35" t="str">
        <f t="shared" si="223"/>
        <v/>
      </c>
      <c r="AH121" s="35" t="str">
        <f t="shared" si="224"/>
        <v/>
      </c>
      <c r="AI121" s="35"/>
      <c r="AJ121" s="36"/>
      <c r="AK121" s="15">
        <f t="shared" si="161"/>
        <v>10300</v>
      </c>
      <c r="AL121" s="15">
        <f t="shared" si="162"/>
        <v>15700</v>
      </c>
      <c r="AM121" s="15">
        <f t="shared" si="163"/>
        <v>21300</v>
      </c>
      <c r="AN121" s="15">
        <f t="shared" si="164"/>
        <v>28500</v>
      </c>
      <c r="AO121" s="3">
        <f t="shared" si="212"/>
        <v>21300</v>
      </c>
      <c r="AP121" s="138">
        <f>VLOOKUP($B121,'2022 counts'!$B$6:$R$304,17,FALSE)</f>
        <v>6975.3800000000047</v>
      </c>
      <c r="AQ121" s="11">
        <f t="shared" si="165"/>
        <v>0.33</v>
      </c>
      <c r="AR121" s="2" t="str">
        <f t="shared" si="166"/>
        <v>B</v>
      </c>
      <c r="AS121" s="26">
        <f t="shared" si="167"/>
        <v>0.7</v>
      </c>
      <c r="AT121" s="15">
        <f>VLOOKUP($T121,'2020_CapacityTable'!$B$23:$F$45,2)</f>
        <v>540</v>
      </c>
      <c r="AU121" s="15">
        <f>VLOOKUP($T121,'2020_CapacityTable'!$B$23:$F$45,3)</f>
        <v>820</v>
      </c>
      <c r="AV121" s="15">
        <f>VLOOKUP($T121,'2020_CapacityTable'!$B$23:$F$45,4)</f>
        <v>1110</v>
      </c>
      <c r="AW121" s="15">
        <f>VLOOKUP($T121,'2020_CapacityTable'!$B$23:$F$45,5)</f>
        <v>1490</v>
      </c>
      <c r="AX121" s="15">
        <f t="shared" si="168"/>
        <v>540</v>
      </c>
      <c r="AY121" s="15">
        <f t="shared" si="169"/>
        <v>820</v>
      </c>
      <c r="AZ121" s="15">
        <f t="shared" si="170"/>
        <v>1110</v>
      </c>
      <c r="BA121" s="15">
        <f t="shared" si="171"/>
        <v>1490</v>
      </c>
      <c r="BB121" s="3">
        <f t="shared" si="213"/>
        <v>1110</v>
      </c>
      <c r="BC121" s="138">
        <f>VLOOKUP($B121,'2022 counts'!$B$6:$AD$304,28,FALSE)</f>
        <v>188</v>
      </c>
      <c r="BD121" s="138">
        <f>VLOOKUP($B121,'2022 counts'!$B$6:$AD$304,29,FALSE)</f>
        <v>333</v>
      </c>
      <c r="BE121" s="11">
        <f t="shared" si="173"/>
        <v>0.3</v>
      </c>
      <c r="BF121" s="2" t="str">
        <f t="shared" si="174"/>
        <v>B</v>
      </c>
      <c r="BG121" s="135">
        <v>0.02</v>
      </c>
      <c r="BH121" s="135">
        <f>IF($AQ121="","",VLOOKUP($B121, '2022 counts'!$B$6:$T$304,19,FALSE))</f>
        <v>0.02</v>
      </c>
      <c r="BI121" s="38">
        <f t="shared" si="175"/>
        <v>0.02</v>
      </c>
      <c r="BJ121" s="39" t="str">
        <f t="shared" si="176"/>
        <v/>
      </c>
      <c r="BK121" s="15">
        <f>VLOOKUP($U121,'2020_CapacityTable'!$B$49:$F$71,2)</f>
        <v>10300</v>
      </c>
      <c r="BL121" s="15">
        <f>VLOOKUP($U121,'2020_CapacityTable'!$B$49:$F$71,3)</f>
        <v>15700</v>
      </c>
      <c r="BM121" s="15">
        <f>VLOOKUP($T121,'2020_CapacityTable'!$B$49:$F$71,4)</f>
        <v>21300</v>
      </c>
      <c r="BN121" s="15">
        <f>VLOOKUP($T121,'2020_CapacityTable'!$B$49:$F$71,5)</f>
        <v>28500</v>
      </c>
      <c r="BO121" s="15">
        <f t="shared" si="177"/>
        <v>10300</v>
      </c>
      <c r="BP121" s="15">
        <f t="shared" si="178"/>
        <v>15700</v>
      </c>
      <c r="BQ121" s="15">
        <f t="shared" si="179"/>
        <v>21300</v>
      </c>
      <c r="BR121" s="15">
        <f t="shared" si="180"/>
        <v>28500</v>
      </c>
      <c r="BS121" s="3">
        <f t="shared" si="214"/>
        <v>21300</v>
      </c>
      <c r="BT121" s="40">
        <f>'State of the System - Sumter Co'!AD121</f>
        <v>7701</v>
      </c>
      <c r="BU121" s="41">
        <f t="shared" si="182"/>
        <v>0.36</v>
      </c>
      <c r="BV121" s="2" t="str">
        <f t="shared" si="183"/>
        <v>B</v>
      </c>
      <c r="BW121" s="2">
        <f t="shared" si="184"/>
        <v>0.77</v>
      </c>
      <c r="BX121" s="15">
        <f>VLOOKUP($U121,'2020_CapacityTable'!$B$23:$F$45,2)</f>
        <v>540</v>
      </c>
      <c r="BY121" s="15">
        <f>VLOOKUP($U121,'2020_CapacityTable'!$B$23:$F$45,3)</f>
        <v>820</v>
      </c>
      <c r="BZ121" s="15">
        <f>VLOOKUP($U121,'2020_CapacityTable'!$B$23:$F$45,4)</f>
        <v>1110</v>
      </c>
      <c r="CA121" s="15">
        <f>VLOOKUP($U121,'2020_CapacityTable'!$B$23:$F$45,5)</f>
        <v>1490</v>
      </c>
      <c r="CB121" s="15">
        <f t="shared" si="185"/>
        <v>540</v>
      </c>
      <c r="CC121" s="15">
        <f t="shared" si="186"/>
        <v>820</v>
      </c>
      <c r="CD121" s="15">
        <f t="shared" si="187"/>
        <v>1110</v>
      </c>
      <c r="CE121" s="15">
        <f t="shared" si="188"/>
        <v>1490</v>
      </c>
      <c r="CF121" s="3">
        <f t="shared" si="215"/>
        <v>1110</v>
      </c>
      <c r="CG121" s="2">
        <f>'State of the System - Sumter Co'!AH121</f>
        <v>208</v>
      </c>
      <c r="CH121" s="2">
        <f>'State of the System - Sumter Co'!AI121</f>
        <v>368</v>
      </c>
      <c r="CI121" s="11">
        <f t="shared" si="190"/>
        <v>0.33</v>
      </c>
      <c r="CJ121" s="2" t="str">
        <f t="shared" si="216"/>
        <v>B</v>
      </c>
      <c r="CK121" s="3">
        <f t="shared" si="192"/>
        <v>30780</v>
      </c>
      <c r="CL121" s="11">
        <f t="shared" si="193"/>
        <v>0.25</v>
      </c>
      <c r="CM121" s="11" t="str">
        <f t="shared" si="194"/>
        <v>NOT CONGESTED</v>
      </c>
      <c r="CN121" s="3">
        <f t="shared" si="195"/>
        <v>1609</v>
      </c>
      <c r="CO121" s="11">
        <f t="shared" si="196"/>
        <v>0.23</v>
      </c>
      <c r="CP121" s="156" t="str">
        <f t="shared" si="217"/>
        <v>NOT CONGESTED</v>
      </c>
      <c r="CQ121" s="2"/>
      <c r="CR121" s="42"/>
      <c r="CS121" s="11" t="str">
        <f t="shared" si="198"/>
        <v/>
      </c>
      <c r="CT121" s="11" t="str">
        <f t="shared" si="218"/>
        <v/>
      </c>
      <c r="CU121" s="11" t="str">
        <f t="shared" si="200"/>
        <v/>
      </c>
      <c r="CV121" s="11" t="str">
        <f t="shared" si="201"/>
        <v/>
      </c>
      <c r="CW121" s="2"/>
      <c r="CX121" s="1"/>
      <c r="CY121" s="145" t="str">
        <f t="shared" si="202"/>
        <v/>
      </c>
      <c r="CZ121" s="32" t="str">
        <f t="shared" si="203"/>
        <v/>
      </c>
    </row>
    <row r="122" spans="1:104" ht="12.75" customHeight="1">
      <c r="A122" s="1">
        <v>3553130</v>
      </c>
      <c r="B122" s="1">
        <f t="shared" si="204"/>
        <v>71</v>
      </c>
      <c r="C122" s="1">
        <v>368</v>
      </c>
      <c r="D122" s="1">
        <f>VLOOKUP(C122,'2022 counts'!$A$6:$B$304,2,FALSE)</f>
        <v>71</v>
      </c>
      <c r="E122" s="1"/>
      <c r="F122" s="2" t="s">
        <v>6</v>
      </c>
      <c r="G122" s="156">
        <v>30</v>
      </c>
      <c r="H122" s="11">
        <v>0.50680815061600004</v>
      </c>
      <c r="I122" s="10" t="s">
        <v>717</v>
      </c>
      <c r="J122" s="10" t="s">
        <v>692</v>
      </c>
      <c r="K122" s="10" t="s">
        <v>741</v>
      </c>
      <c r="L122" s="157">
        <v>2</v>
      </c>
      <c r="M122" s="1">
        <f>'State of the System - Sumter Co'!K122</f>
        <v>2</v>
      </c>
      <c r="N122" s="1" t="str">
        <f>IF('State of the System - Sumter Co'!L122="URBAN","U","R")</f>
        <v>U</v>
      </c>
      <c r="O122" s="1" t="str">
        <f>IF('State of the System - Sumter Co'!M122="UNDIVIDED","U",IF('State of the System - Sumter Co'!M122="DIVIDED","D","F"))</f>
        <v>U</v>
      </c>
      <c r="P122" s="1" t="str">
        <f>'State of the System - Sumter Co'!N122</f>
        <v>INTERRUPTED</v>
      </c>
      <c r="Q122" s="1" t="str">
        <f t="shared" si="156"/>
        <v/>
      </c>
      <c r="R122" s="1" t="str">
        <f>'State of the System - Sumter Co'!O122</f>
        <v/>
      </c>
      <c r="S122" s="1" t="str">
        <f t="shared" si="221"/>
        <v>-2</v>
      </c>
      <c r="T122" s="1" t="str">
        <f t="shared" si="158"/>
        <v>U-2U-2</v>
      </c>
      <c r="U122" s="1" t="str">
        <f t="shared" si="225"/>
        <v>U-2U-2</v>
      </c>
      <c r="V122" s="1" t="s">
        <v>76</v>
      </c>
      <c r="W122" s="1" t="s">
        <v>76</v>
      </c>
      <c r="X122" s="1" t="s">
        <v>12</v>
      </c>
      <c r="Y122" s="1" t="str">
        <f>'State of the System - Sumter Co'!R122</f>
        <v>D</v>
      </c>
      <c r="Z122" s="157" t="str">
        <f t="shared" si="159"/>
        <v>Other CMP Network Roadways</v>
      </c>
      <c r="AA122" s="15">
        <f>VLOOKUP($T122,'2020_CapacityTable'!$B$49:$F$71,2)</f>
        <v>0</v>
      </c>
      <c r="AB122" s="15">
        <f>VLOOKUP($T122,'2020_CapacityTable'!$B$49:$F$71,3)</f>
        <v>7300</v>
      </c>
      <c r="AC122" s="15">
        <f>VLOOKUP($T122,'2020_CapacityTable'!$B$49:$F$71,4)</f>
        <v>14800</v>
      </c>
      <c r="AD122" s="15">
        <f>VLOOKUP($T122,'2020_CapacityTable'!$B$49:$F$71,5)</f>
        <v>15600</v>
      </c>
      <c r="AE122" s="35">
        <f>IF(V122&lt;&gt;"STATE",-10%,"")</f>
        <v>-0.1</v>
      </c>
      <c r="AF122" s="36" t="str">
        <f t="shared" si="160"/>
        <v/>
      </c>
      <c r="AG122" s="35">
        <v>-0.2</v>
      </c>
      <c r="AH122" s="35" t="str">
        <f t="shared" si="224"/>
        <v/>
      </c>
      <c r="AI122" s="35"/>
      <c r="AJ122" s="36"/>
      <c r="AK122" s="15">
        <f t="shared" si="161"/>
        <v>0</v>
      </c>
      <c r="AL122" s="15">
        <f t="shared" si="162"/>
        <v>5110</v>
      </c>
      <c r="AM122" s="15">
        <f t="shared" si="163"/>
        <v>10360</v>
      </c>
      <c r="AN122" s="15">
        <f t="shared" si="164"/>
        <v>10920</v>
      </c>
      <c r="AO122" s="3">
        <f t="shared" si="212"/>
        <v>10360</v>
      </c>
      <c r="AP122" s="138">
        <f>VLOOKUP($B122,'2022 counts'!$B$6:$R$304,17,FALSE)</f>
        <v>3626</v>
      </c>
      <c r="AQ122" s="11">
        <f t="shared" si="165"/>
        <v>0.35</v>
      </c>
      <c r="AR122" s="2" t="str">
        <f t="shared" si="166"/>
        <v>C</v>
      </c>
      <c r="AS122" s="26">
        <f t="shared" si="167"/>
        <v>0.67</v>
      </c>
      <c r="AT122" s="15">
        <f>VLOOKUP($T122,'2020_CapacityTable'!$B$23:$F$45,2)</f>
        <v>0</v>
      </c>
      <c r="AU122" s="15">
        <f>VLOOKUP($T122,'2020_CapacityTable'!$B$23:$F$45,3)</f>
        <v>370</v>
      </c>
      <c r="AV122" s="15">
        <f>VLOOKUP($T122,'2020_CapacityTable'!$B$23:$F$45,4)</f>
        <v>750</v>
      </c>
      <c r="AW122" s="15">
        <f>VLOOKUP($T122,'2020_CapacityTable'!$B$23:$F$45,5)</f>
        <v>800</v>
      </c>
      <c r="AX122" s="15">
        <f t="shared" si="168"/>
        <v>0</v>
      </c>
      <c r="AY122" s="15">
        <f t="shared" si="169"/>
        <v>259</v>
      </c>
      <c r="AZ122" s="15">
        <f t="shared" si="170"/>
        <v>525</v>
      </c>
      <c r="BA122" s="15">
        <f t="shared" si="171"/>
        <v>560</v>
      </c>
      <c r="BB122" s="3">
        <f t="shared" si="213"/>
        <v>525</v>
      </c>
      <c r="BC122" s="138">
        <f>VLOOKUP($B122,'2022 counts'!$B$6:$AD$304,28,FALSE)</f>
        <v>164</v>
      </c>
      <c r="BD122" s="138">
        <f>VLOOKUP($B122,'2022 counts'!$B$6:$AD$304,29,FALSE)</f>
        <v>219</v>
      </c>
      <c r="BE122" s="11">
        <f t="shared" si="173"/>
        <v>0.42</v>
      </c>
      <c r="BF122" s="2" t="str">
        <f t="shared" si="174"/>
        <v>C</v>
      </c>
      <c r="BG122" s="135">
        <v>1.2500000000000001E-2</v>
      </c>
      <c r="BH122" s="135">
        <f>IF($AQ122="","",VLOOKUP($B122, '2022 counts'!$B$6:$T$304,19,FALSE))</f>
        <v>1.2500000000000001E-2</v>
      </c>
      <c r="BI122" s="38">
        <f t="shared" si="175"/>
        <v>1.2500000000000001E-2</v>
      </c>
      <c r="BJ122" s="39" t="str">
        <f t="shared" si="176"/>
        <v/>
      </c>
      <c r="BK122" s="15">
        <f>VLOOKUP($U122,'2020_CapacityTable'!$B$49:$F$71,2)</f>
        <v>0</v>
      </c>
      <c r="BL122" s="15">
        <f>VLOOKUP($U122,'2020_CapacityTable'!$B$49:$F$71,3)</f>
        <v>7300</v>
      </c>
      <c r="BM122" s="15">
        <f>VLOOKUP($T122,'2020_CapacityTable'!$B$49:$F$71,4)</f>
        <v>14800</v>
      </c>
      <c r="BN122" s="15">
        <f>VLOOKUP($T122,'2020_CapacityTable'!$B$49:$F$71,5)</f>
        <v>15600</v>
      </c>
      <c r="BO122" s="15">
        <f t="shared" si="177"/>
        <v>0</v>
      </c>
      <c r="BP122" s="15">
        <f t="shared" si="178"/>
        <v>5110</v>
      </c>
      <c r="BQ122" s="15">
        <f t="shared" si="179"/>
        <v>10360</v>
      </c>
      <c r="BR122" s="15">
        <f t="shared" si="180"/>
        <v>10920</v>
      </c>
      <c r="BS122" s="3">
        <f t="shared" si="214"/>
        <v>10360</v>
      </c>
      <c r="BT122" s="40">
        <f>'State of the System - Sumter Co'!AD122</f>
        <v>3858</v>
      </c>
      <c r="BU122" s="41">
        <f t="shared" si="182"/>
        <v>0.37</v>
      </c>
      <c r="BV122" s="2" t="str">
        <f t="shared" si="183"/>
        <v>C</v>
      </c>
      <c r="BW122" s="2">
        <f t="shared" si="184"/>
        <v>0.71</v>
      </c>
      <c r="BX122" s="15">
        <f>VLOOKUP($U122,'2020_CapacityTable'!$B$23:$F$45,2)</f>
        <v>0</v>
      </c>
      <c r="BY122" s="15">
        <f>VLOOKUP($U122,'2020_CapacityTable'!$B$23:$F$45,3)</f>
        <v>370</v>
      </c>
      <c r="BZ122" s="15">
        <f>VLOOKUP($U122,'2020_CapacityTable'!$B$23:$F$45,4)</f>
        <v>750</v>
      </c>
      <c r="CA122" s="15">
        <f>VLOOKUP($U122,'2020_CapacityTable'!$B$23:$F$45,5)</f>
        <v>800</v>
      </c>
      <c r="CB122" s="15">
        <f t="shared" si="185"/>
        <v>0</v>
      </c>
      <c r="CC122" s="15">
        <f t="shared" si="186"/>
        <v>259</v>
      </c>
      <c r="CD122" s="15">
        <f t="shared" si="187"/>
        <v>525</v>
      </c>
      <c r="CE122" s="15">
        <f t="shared" si="188"/>
        <v>560</v>
      </c>
      <c r="CF122" s="3">
        <f t="shared" si="215"/>
        <v>525</v>
      </c>
      <c r="CG122" s="2">
        <f>'State of the System - Sumter Co'!AH122</f>
        <v>175</v>
      </c>
      <c r="CH122" s="2">
        <f>'State of the System - Sumter Co'!AI122</f>
        <v>233</v>
      </c>
      <c r="CI122" s="11">
        <f t="shared" si="190"/>
        <v>0.44</v>
      </c>
      <c r="CJ122" s="2" t="str">
        <f t="shared" si="216"/>
        <v>C</v>
      </c>
      <c r="CK122" s="3">
        <f t="shared" si="192"/>
        <v>11794</v>
      </c>
      <c r="CL122" s="11">
        <f t="shared" si="193"/>
        <v>0.33</v>
      </c>
      <c r="CM122" s="11" t="str">
        <f t="shared" si="194"/>
        <v>NOT CONGESTED</v>
      </c>
      <c r="CN122" s="3">
        <f t="shared" si="195"/>
        <v>605</v>
      </c>
      <c r="CO122" s="11">
        <f t="shared" si="196"/>
        <v>0.39</v>
      </c>
      <c r="CP122" s="156" t="str">
        <f t="shared" si="217"/>
        <v>NOT CONGESTED</v>
      </c>
      <c r="CQ122" s="2"/>
      <c r="CR122" s="42"/>
      <c r="CS122" s="11" t="str">
        <f t="shared" si="198"/>
        <v/>
      </c>
      <c r="CT122" s="11" t="str">
        <f t="shared" si="218"/>
        <v/>
      </c>
      <c r="CU122" s="11" t="str">
        <f t="shared" si="200"/>
        <v/>
      </c>
      <c r="CV122" s="11" t="str">
        <f t="shared" si="201"/>
        <v/>
      </c>
      <c r="CW122" s="2"/>
      <c r="CX122" s="1"/>
      <c r="CY122" s="145" t="str">
        <f t="shared" si="202"/>
        <v/>
      </c>
      <c r="CZ122" s="32" t="str">
        <f t="shared" si="203"/>
        <v/>
      </c>
    </row>
    <row r="123" spans="1:104" ht="12.75" customHeight="1">
      <c r="A123" s="1">
        <v>3553140</v>
      </c>
      <c r="B123" s="1">
        <f t="shared" si="204"/>
        <v>37</v>
      </c>
      <c r="C123" s="1">
        <v>54</v>
      </c>
      <c r="D123" s="1">
        <f>VLOOKUP(C123,'2022 counts'!$A$6:$B$304,2,FALSE)</f>
        <v>37</v>
      </c>
      <c r="E123" s="1"/>
      <c r="F123" s="2" t="s">
        <v>6</v>
      </c>
      <c r="G123" s="156">
        <v>55</v>
      </c>
      <c r="H123" s="11">
        <v>2.7464259038700001</v>
      </c>
      <c r="I123" s="10" t="s">
        <v>715</v>
      </c>
      <c r="J123" s="10" t="s">
        <v>63</v>
      </c>
      <c r="K123" s="10" t="s">
        <v>751</v>
      </c>
      <c r="L123" s="157">
        <v>2</v>
      </c>
      <c r="M123" s="1">
        <f>'State of the System - Sumter Co'!K123</f>
        <v>2</v>
      </c>
      <c r="N123" s="1" t="str">
        <f>IF('State of the System - Sumter Co'!L123="URBAN","U","R")</f>
        <v>R</v>
      </c>
      <c r="O123" s="1" t="str">
        <f>IF('State of the System - Sumter Co'!M123="UNDIVIDED","U",IF('State of the System - Sumter Co'!M123="DIVIDED","D","F"))</f>
        <v>U</v>
      </c>
      <c r="P123" s="1" t="str">
        <f>'State of the System - Sumter Co'!N123</f>
        <v>INTERRUPTED</v>
      </c>
      <c r="Q123" s="1" t="str">
        <f t="shared" si="156"/>
        <v>x</v>
      </c>
      <c r="R123" s="1" t="str">
        <f>'State of the System - Sumter Co'!O123</f>
        <v/>
      </c>
      <c r="S123" s="1" t="str">
        <f t="shared" si="221"/>
        <v/>
      </c>
      <c r="T123" s="1" t="str">
        <f t="shared" si="158"/>
        <v>R-2Ux</v>
      </c>
      <c r="U123" s="1" t="str">
        <f t="shared" si="225"/>
        <v>R-2Ux</v>
      </c>
      <c r="V123" s="1" t="s">
        <v>10</v>
      </c>
      <c r="W123" s="1" t="s">
        <v>65</v>
      </c>
      <c r="X123" s="1" t="s">
        <v>21</v>
      </c>
      <c r="Y123" s="1" t="str">
        <f>'State of the System - Sumter Co'!R123</f>
        <v>D</v>
      </c>
      <c r="Z123" s="157" t="str">
        <f t="shared" si="159"/>
        <v>Other CMP Network Roadways</v>
      </c>
      <c r="AA123" s="15">
        <f>VLOOKUP($T123,'2020_CapacityTable'!$B$49:$F$71,2)</f>
        <v>0</v>
      </c>
      <c r="AB123" s="15">
        <f>VLOOKUP($T123,'2020_CapacityTable'!$B$49:$F$71,3)</f>
        <v>12900</v>
      </c>
      <c r="AC123" s="15">
        <f>VLOOKUP($T123,'2020_CapacityTable'!$B$49:$F$71,4)</f>
        <v>14200</v>
      </c>
      <c r="AD123" s="15">
        <f>VLOOKUP($T123,'2020_CapacityTable'!$B$49:$F$71,5)</f>
        <v>14200</v>
      </c>
      <c r="AE123" s="35">
        <f>IF(V123&lt;&gt;"STATE",-10%,"")</f>
        <v>-0.1</v>
      </c>
      <c r="AF123" s="36" t="str">
        <f t="shared" si="160"/>
        <v/>
      </c>
      <c r="AG123" s="35">
        <v>-0.2</v>
      </c>
      <c r="AH123" s="35" t="str">
        <f t="shared" si="224"/>
        <v/>
      </c>
      <c r="AI123" s="35"/>
      <c r="AJ123" s="36"/>
      <c r="AK123" s="15">
        <f t="shared" si="161"/>
        <v>0</v>
      </c>
      <c r="AL123" s="15">
        <f t="shared" si="162"/>
        <v>9030</v>
      </c>
      <c r="AM123" s="15">
        <f t="shared" si="163"/>
        <v>9940</v>
      </c>
      <c r="AN123" s="15">
        <f t="shared" si="164"/>
        <v>9940</v>
      </c>
      <c r="AO123" s="3">
        <f t="shared" si="212"/>
        <v>9940</v>
      </c>
      <c r="AP123" s="138">
        <f>VLOOKUP($B123,'2022 counts'!$B$6:$R$304,17,FALSE)</f>
        <v>4863</v>
      </c>
      <c r="AQ123" s="11">
        <f t="shared" si="165"/>
        <v>0.49</v>
      </c>
      <c r="AR123" s="2" t="str">
        <f t="shared" si="166"/>
        <v>C</v>
      </c>
      <c r="AS123" s="26">
        <f t="shared" si="167"/>
        <v>4.87</v>
      </c>
      <c r="AT123" s="15">
        <f>VLOOKUP($T123,'2020_CapacityTable'!$B$23:$F$45,2)</f>
        <v>0</v>
      </c>
      <c r="AU123" s="15">
        <f>VLOOKUP($T123,'2020_CapacityTable'!$B$23:$F$45,3)</f>
        <v>670</v>
      </c>
      <c r="AV123" s="15">
        <f>VLOOKUP($T123,'2020_CapacityTable'!$B$23:$F$45,4)</f>
        <v>740</v>
      </c>
      <c r="AW123" s="15">
        <f>VLOOKUP($T123,'2020_CapacityTable'!$B$23:$F$45,5)</f>
        <v>740</v>
      </c>
      <c r="AX123" s="15">
        <f t="shared" si="168"/>
        <v>0</v>
      </c>
      <c r="AY123" s="15">
        <f t="shared" si="169"/>
        <v>469</v>
      </c>
      <c r="AZ123" s="15">
        <f t="shared" si="170"/>
        <v>518</v>
      </c>
      <c r="BA123" s="15">
        <f t="shared" si="171"/>
        <v>518</v>
      </c>
      <c r="BB123" s="3">
        <f t="shared" si="213"/>
        <v>518</v>
      </c>
      <c r="BC123" s="138">
        <f>VLOOKUP($B123,'2022 counts'!$B$6:$AD$304,28,FALSE)</f>
        <v>193</v>
      </c>
      <c r="BD123" s="138">
        <f>VLOOKUP($B123,'2022 counts'!$B$6:$AD$304,29,FALSE)</f>
        <v>166</v>
      </c>
      <c r="BE123" s="11">
        <f t="shared" si="173"/>
        <v>0.37</v>
      </c>
      <c r="BF123" s="2" t="str">
        <f t="shared" si="174"/>
        <v>C</v>
      </c>
      <c r="BG123" s="135">
        <v>4.4999999999999998E-2</v>
      </c>
      <c r="BH123" s="135">
        <f>IF($AQ123="","",VLOOKUP($B123, '2022 counts'!$B$6:$T$304,19,FALSE))</f>
        <v>4.4999999999999998E-2</v>
      </c>
      <c r="BI123" s="38">
        <f t="shared" si="175"/>
        <v>4.4999999999999998E-2</v>
      </c>
      <c r="BJ123" s="39" t="str">
        <f t="shared" si="176"/>
        <v/>
      </c>
      <c r="BK123" s="15">
        <f>VLOOKUP($U123,'2020_CapacityTable'!$B$49:$F$71,2)</f>
        <v>0</v>
      </c>
      <c r="BL123" s="15">
        <f>VLOOKUP($U123,'2020_CapacityTable'!$B$49:$F$71,3)</f>
        <v>12900</v>
      </c>
      <c r="BM123" s="15">
        <f>VLOOKUP($T123,'2020_CapacityTable'!$B$49:$F$71,4)</f>
        <v>14200</v>
      </c>
      <c r="BN123" s="15">
        <f>VLOOKUP($T123,'2020_CapacityTable'!$B$49:$F$71,5)</f>
        <v>14200</v>
      </c>
      <c r="BO123" s="15">
        <f t="shared" si="177"/>
        <v>0</v>
      </c>
      <c r="BP123" s="15">
        <f t="shared" si="178"/>
        <v>9030</v>
      </c>
      <c r="BQ123" s="15">
        <f t="shared" si="179"/>
        <v>9940</v>
      </c>
      <c r="BR123" s="15">
        <f t="shared" si="180"/>
        <v>9940</v>
      </c>
      <c r="BS123" s="3">
        <f t="shared" si="214"/>
        <v>9940</v>
      </c>
      <c r="BT123" s="40">
        <f>'State of the System - Sumter Co'!AD123</f>
        <v>6060</v>
      </c>
      <c r="BU123" s="41">
        <f t="shared" si="182"/>
        <v>0.61</v>
      </c>
      <c r="BV123" s="2" t="str">
        <f t="shared" si="183"/>
        <v>C</v>
      </c>
      <c r="BW123" s="2">
        <f t="shared" si="184"/>
        <v>6.07</v>
      </c>
      <c r="BX123" s="15">
        <f>VLOOKUP($U123,'2020_CapacityTable'!$B$23:$F$45,2)</f>
        <v>0</v>
      </c>
      <c r="BY123" s="15">
        <f>VLOOKUP($U123,'2020_CapacityTable'!$B$23:$F$45,3)</f>
        <v>670</v>
      </c>
      <c r="BZ123" s="15">
        <f>VLOOKUP($U123,'2020_CapacityTable'!$B$23:$F$45,4)</f>
        <v>740</v>
      </c>
      <c r="CA123" s="15">
        <f>VLOOKUP($U123,'2020_CapacityTable'!$B$23:$F$45,5)</f>
        <v>740</v>
      </c>
      <c r="CB123" s="15">
        <f t="shared" si="185"/>
        <v>0</v>
      </c>
      <c r="CC123" s="15">
        <f t="shared" si="186"/>
        <v>469</v>
      </c>
      <c r="CD123" s="15">
        <f t="shared" si="187"/>
        <v>518</v>
      </c>
      <c r="CE123" s="15">
        <f t="shared" si="188"/>
        <v>518</v>
      </c>
      <c r="CF123" s="3">
        <f t="shared" si="215"/>
        <v>518</v>
      </c>
      <c r="CG123" s="2">
        <f>'State of the System - Sumter Co'!AH123</f>
        <v>241</v>
      </c>
      <c r="CH123" s="2">
        <f>'State of the System - Sumter Co'!AI123</f>
        <v>207</v>
      </c>
      <c r="CI123" s="11">
        <f t="shared" si="190"/>
        <v>0.47</v>
      </c>
      <c r="CJ123" s="2" t="str">
        <f t="shared" si="216"/>
        <v>C</v>
      </c>
      <c r="CK123" s="3">
        <f t="shared" si="192"/>
        <v>10735</v>
      </c>
      <c r="CL123" s="11">
        <f t="shared" si="193"/>
        <v>0.56000000000000005</v>
      </c>
      <c r="CM123" s="11" t="str">
        <f t="shared" si="194"/>
        <v>NOT CONGESTED</v>
      </c>
      <c r="CN123" s="3">
        <f t="shared" si="195"/>
        <v>559</v>
      </c>
      <c r="CO123" s="11">
        <f t="shared" si="196"/>
        <v>0.43</v>
      </c>
      <c r="CP123" s="156" t="str">
        <f t="shared" si="217"/>
        <v>NOT CONGESTED</v>
      </c>
      <c r="CQ123" s="2"/>
      <c r="CR123" s="42"/>
      <c r="CS123" s="11" t="str">
        <f t="shared" si="198"/>
        <v/>
      </c>
      <c r="CT123" s="11" t="str">
        <f t="shared" si="218"/>
        <v/>
      </c>
      <c r="CU123" s="11" t="str">
        <f t="shared" si="200"/>
        <v/>
      </c>
      <c r="CV123" s="11" t="str">
        <f t="shared" si="201"/>
        <v/>
      </c>
      <c r="CW123" s="2"/>
      <c r="CX123" s="1"/>
      <c r="CY123" s="145" t="str">
        <f t="shared" si="202"/>
        <v/>
      </c>
      <c r="CZ123" s="32" t="str">
        <f t="shared" si="203"/>
        <v/>
      </c>
    </row>
    <row r="124" spans="1:104" ht="12.75" customHeight="1">
      <c r="A124" s="1">
        <v>3553150</v>
      </c>
      <c r="B124" s="1">
        <f t="shared" si="204"/>
        <v>38</v>
      </c>
      <c r="C124" s="1">
        <v>452</v>
      </c>
      <c r="D124" s="1">
        <f>VLOOKUP(C124,'2022 counts'!$A$6:$B$304,2,FALSE)</f>
        <v>38</v>
      </c>
      <c r="E124" s="1"/>
      <c r="F124" s="2" t="s">
        <v>6</v>
      </c>
      <c r="G124" s="156">
        <v>55</v>
      </c>
      <c r="H124" s="11">
        <v>2.9003490492799999</v>
      </c>
      <c r="I124" s="10" t="s">
        <v>715</v>
      </c>
      <c r="J124" s="10" t="s">
        <v>62</v>
      </c>
      <c r="K124" s="10" t="s">
        <v>63</v>
      </c>
      <c r="L124" s="157">
        <v>2</v>
      </c>
      <c r="M124" s="1">
        <f>'State of the System - Sumter Co'!K124</f>
        <v>2</v>
      </c>
      <c r="N124" s="1" t="str">
        <f>IF('State of the System - Sumter Co'!L124="URBAN","U","R")</f>
        <v>U</v>
      </c>
      <c r="O124" s="1" t="str">
        <f>IF('State of the System - Sumter Co'!M124="UNDIVIDED","U",IF('State of the System - Sumter Co'!M124="DIVIDED","D","F"))</f>
        <v>U</v>
      </c>
      <c r="P124" s="1" t="str">
        <f>'State of the System - Sumter Co'!N124</f>
        <v>INTERRUPTED</v>
      </c>
      <c r="Q124" s="1" t="str">
        <f t="shared" si="156"/>
        <v/>
      </c>
      <c r="R124" s="1" t="str">
        <f>'State of the System - Sumter Co'!O124</f>
        <v/>
      </c>
      <c r="S124" s="1" t="str">
        <f t="shared" si="221"/>
        <v>-1</v>
      </c>
      <c r="T124" s="1" t="str">
        <f t="shared" si="158"/>
        <v>U-2U-1</v>
      </c>
      <c r="U124" s="1" t="str">
        <f t="shared" si="225"/>
        <v>U-2U-1</v>
      </c>
      <c r="V124" s="1" t="s">
        <v>10</v>
      </c>
      <c r="W124" s="1" t="s">
        <v>11</v>
      </c>
      <c r="X124" s="1" t="s">
        <v>21</v>
      </c>
      <c r="Y124" s="1" t="str">
        <f>'State of the System - Sumter Co'!R124</f>
        <v>D</v>
      </c>
      <c r="Z124" s="157" t="str">
        <f t="shared" si="159"/>
        <v>Other CMP Network Roadways</v>
      </c>
      <c r="AA124" s="15">
        <f>VLOOKUP($T124,'2020_CapacityTable'!$B$49:$F$71,2)</f>
        <v>0</v>
      </c>
      <c r="AB124" s="15">
        <f>VLOOKUP($T124,'2020_CapacityTable'!$B$49:$F$71,3)</f>
        <v>16800</v>
      </c>
      <c r="AC124" s="15">
        <f>VLOOKUP($T124,'2020_CapacityTable'!$B$49:$F$71,4)</f>
        <v>17700</v>
      </c>
      <c r="AD124" s="15">
        <f>VLOOKUP($T124,'2020_CapacityTable'!$B$49:$F$71,5)</f>
        <v>17700</v>
      </c>
      <c r="AE124" s="35">
        <f>IF(V124&lt;&gt;"STATE",-10%,"")</f>
        <v>-0.1</v>
      </c>
      <c r="AF124" s="36" t="str">
        <f t="shared" si="160"/>
        <v/>
      </c>
      <c r="AG124" s="35">
        <v>-0.2</v>
      </c>
      <c r="AH124" s="35" t="str">
        <f t="shared" si="224"/>
        <v/>
      </c>
      <c r="AI124" s="35"/>
      <c r="AJ124" s="36"/>
      <c r="AK124" s="15">
        <f t="shared" si="161"/>
        <v>0</v>
      </c>
      <c r="AL124" s="15">
        <f t="shared" si="162"/>
        <v>11760</v>
      </c>
      <c r="AM124" s="15">
        <f t="shared" si="163"/>
        <v>12390</v>
      </c>
      <c r="AN124" s="15">
        <f t="shared" si="164"/>
        <v>12390</v>
      </c>
      <c r="AO124" s="3">
        <f t="shared" ref="AO124:AO155" si="226">IF(Y124="","",IF(Y124="B",AK124,IF(Y124="C",AL124,IF(Y124="D",AM124,AN124))))</f>
        <v>12390</v>
      </c>
      <c r="AP124" s="138">
        <f>VLOOKUP($B124,'2022 counts'!$B$6:$R$304,17,FALSE)</f>
        <v>4567</v>
      </c>
      <c r="AQ124" s="11">
        <f t="shared" si="165"/>
        <v>0.37</v>
      </c>
      <c r="AR124" s="2" t="str">
        <f t="shared" si="166"/>
        <v>C</v>
      </c>
      <c r="AS124" s="26">
        <f t="shared" si="167"/>
        <v>4.83</v>
      </c>
      <c r="AT124" s="15">
        <f>VLOOKUP($T124,'2020_CapacityTable'!$B$23:$F$45,2)</f>
        <v>0</v>
      </c>
      <c r="AU124" s="15">
        <f>VLOOKUP($T124,'2020_CapacityTable'!$B$23:$F$45,3)</f>
        <v>830</v>
      </c>
      <c r="AV124" s="15">
        <f>VLOOKUP($T124,'2020_CapacityTable'!$B$23:$F$45,4)</f>
        <v>880</v>
      </c>
      <c r="AW124" s="15">
        <f>VLOOKUP($T124,'2020_CapacityTable'!$B$23:$F$45,5)</f>
        <v>880</v>
      </c>
      <c r="AX124" s="15">
        <f t="shared" si="168"/>
        <v>0</v>
      </c>
      <c r="AY124" s="15">
        <f t="shared" si="169"/>
        <v>581</v>
      </c>
      <c r="AZ124" s="15">
        <f t="shared" si="170"/>
        <v>616</v>
      </c>
      <c r="BA124" s="15">
        <f t="shared" si="171"/>
        <v>616</v>
      </c>
      <c r="BB124" s="3">
        <f t="shared" ref="BB124:BB155" si="227">IF(Y124="","",IF(Y124="B",AX124,IF(Y124="C",AY124,IF(Y124="D",AZ124,BA124))))</f>
        <v>616</v>
      </c>
      <c r="BC124" s="138">
        <f>VLOOKUP($B124,'2022 counts'!$B$6:$AD$304,28,FALSE)</f>
        <v>192</v>
      </c>
      <c r="BD124" s="138">
        <f>VLOOKUP($B124,'2022 counts'!$B$6:$AD$304,29,FALSE)</f>
        <v>160</v>
      </c>
      <c r="BE124" s="11">
        <f t="shared" si="173"/>
        <v>0.31</v>
      </c>
      <c r="BF124" s="2" t="str">
        <f t="shared" si="174"/>
        <v>C</v>
      </c>
      <c r="BG124" s="135">
        <v>0.05</v>
      </c>
      <c r="BH124" s="135">
        <f>IF($AQ124="","",VLOOKUP($B124, '2022 counts'!$B$6:$T$304,19,FALSE))</f>
        <v>0.05</v>
      </c>
      <c r="BI124" s="38">
        <f t="shared" si="175"/>
        <v>0.05</v>
      </c>
      <c r="BJ124" s="39" t="str">
        <f t="shared" si="176"/>
        <v/>
      </c>
      <c r="BK124" s="15">
        <f>VLOOKUP($U124,'2020_CapacityTable'!$B$49:$F$71,2)</f>
        <v>0</v>
      </c>
      <c r="BL124" s="15">
        <f>VLOOKUP($U124,'2020_CapacityTable'!$B$49:$F$71,3)</f>
        <v>16800</v>
      </c>
      <c r="BM124" s="15">
        <f>VLOOKUP($T124,'2020_CapacityTable'!$B$49:$F$71,4)</f>
        <v>17700</v>
      </c>
      <c r="BN124" s="15">
        <f>VLOOKUP($T124,'2020_CapacityTable'!$B$49:$F$71,5)</f>
        <v>17700</v>
      </c>
      <c r="BO124" s="15">
        <f t="shared" si="177"/>
        <v>0</v>
      </c>
      <c r="BP124" s="15">
        <f t="shared" si="178"/>
        <v>11760</v>
      </c>
      <c r="BQ124" s="15">
        <f t="shared" si="179"/>
        <v>12390</v>
      </c>
      <c r="BR124" s="15">
        <f t="shared" si="180"/>
        <v>12390</v>
      </c>
      <c r="BS124" s="3">
        <f t="shared" ref="BS124:BS155" si="228">IF($Y124="","",IF($Y124="B",BO124,IF($Y124="C",BP124,IF($Y124="D",BQ124,BR124))))</f>
        <v>12390</v>
      </c>
      <c r="BT124" s="40">
        <f>'State of the System - Sumter Co'!AD124</f>
        <v>5829</v>
      </c>
      <c r="BU124" s="41">
        <f t="shared" si="182"/>
        <v>0.47</v>
      </c>
      <c r="BV124" s="2" t="str">
        <f t="shared" si="183"/>
        <v>C</v>
      </c>
      <c r="BW124" s="2">
        <f t="shared" si="184"/>
        <v>6.17</v>
      </c>
      <c r="BX124" s="15">
        <f>VLOOKUP($U124,'2020_CapacityTable'!$B$23:$F$45,2)</f>
        <v>0</v>
      </c>
      <c r="BY124" s="15">
        <f>VLOOKUP($U124,'2020_CapacityTable'!$B$23:$F$45,3)</f>
        <v>830</v>
      </c>
      <c r="BZ124" s="15">
        <f>VLOOKUP($U124,'2020_CapacityTable'!$B$23:$F$45,4)</f>
        <v>880</v>
      </c>
      <c r="CA124" s="15">
        <f>VLOOKUP($U124,'2020_CapacityTable'!$B$23:$F$45,5)</f>
        <v>880</v>
      </c>
      <c r="CB124" s="15">
        <f t="shared" si="185"/>
        <v>0</v>
      </c>
      <c r="CC124" s="15">
        <f t="shared" si="186"/>
        <v>581</v>
      </c>
      <c r="CD124" s="15">
        <f t="shared" si="187"/>
        <v>616</v>
      </c>
      <c r="CE124" s="15">
        <f t="shared" si="188"/>
        <v>616</v>
      </c>
      <c r="CF124" s="3">
        <f t="shared" ref="CF124:CF155" si="229">IF($Y124="","",IF($Y124="B",CB124,IF($Y124="C",CC124,IF($Y124="D",CD124,CE124))))</f>
        <v>616</v>
      </c>
      <c r="CG124" s="2">
        <f>'State of the System - Sumter Co'!AH124</f>
        <v>245</v>
      </c>
      <c r="CH124" s="2">
        <f>'State of the System - Sumter Co'!AI124</f>
        <v>204</v>
      </c>
      <c r="CI124" s="11">
        <f t="shared" si="190"/>
        <v>0.4</v>
      </c>
      <c r="CJ124" s="2" t="str">
        <f t="shared" ref="CJ124:CJ150" si="230">IF(OR(CI124="",CI124="-",CI124=0),"",IF(MAX(CG124,CH124)&lt;=$AX124,"B",IF(MAX(CG124,CH124)&lt;=$AY124,"C",IF(MAX(CG124,CH124)&lt;=$AZ124,"D",IF(MAX(CG124,CH124)&lt;=$BA124,"E","F")))))</f>
        <v>C</v>
      </c>
      <c r="CK124" s="3">
        <f t="shared" si="192"/>
        <v>13381</v>
      </c>
      <c r="CL124" s="11">
        <f t="shared" si="193"/>
        <v>0.44</v>
      </c>
      <c r="CM124" s="11" t="str">
        <f t="shared" si="194"/>
        <v>NOT CONGESTED</v>
      </c>
      <c r="CN124" s="3">
        <f t="shared" si="195"/>
        <v>665</v>
      </c>
      <c r="CO124" s="11">
        <f t="shared" si="196"/>
        <v>0.37</v>
      </c>
      <c r="CP124" s="156" t="str">
        <f t="shared" ref="CP124:CP155" si="231">IF(OR(CO124="",CO124=0),"",IF(OR(BC124&gt;CN124,BD124&gt;CN124),"EXTREMELY (2020)",IF(CO124&gt;1,"EXTREMELY (2025)",IF(BE124&gt;1,"CONGESTED (2020)",IF(CI124&gt;1,"CONGESTED (2025)",IF(OR(BE124&gt;=0.9,CI124&gt;=0.9),"APPROACHING CONGESTION","NOT CONGESTED"))))))</f>
        <v>NOT CONGESTED</v>
      </c>
      <c r="CQ124" s="2"/>
      <c r="CR124" s="42"/>
      <c r="CS124" s="11" t="str">
        <f t="shared" si="198"/>
        <v/>
      </c>
      <c r="CT124" s="11" t="str">
        <f t="shared" ref="CT124:CT155" si="232">IF(OR(BT124="",BV124="",BU124&lt;1),"",ROUND(H124,2))</f>
        <v/>
      </c>
      <c r="CU124" s="11" t="str">
        <f t="shared" si="200"/>
        <v/>
      </c>
      <c r="CV124" s="11" t="str">
        <f t="shared" si="201"/>
        <v/>
      </c>
      <c r="CW124" s="2"/>
      <c r="CX124" s="1"/>
      <c r="CY124" s="145" t="str">
        <f t="shared" si="202"/>
        <v/>
      </c>
      <c r="CZ124" s="32" t="str">
        <f t="shared" si="203"/>
        <v/>
      </c>
    </row>
    <row r="125" spans="1:104" ht="12.75" customHeight="1">
      <c r="A125" s="1">
        <v>3553160</v>
      </c>
      <c r="B125" s="1">
        <f t="shared" si="204"/>
        <v>72</v>
      </c>
      <c r="C125" s="1">
        <v>370</v>
      </c>
      <c r="D125" s="1">
        <f>VLOOKUP(C125,'2022 counts'!$A$6:$B$304,2,FALSE)</f>
        <v>72</v>
      </c>
      <c r="E125" s="1"/>
      <c r="F125" s="3" t="s">
        <v>6</v>
      </c>
      <c r="G125" s="156">
        <v>35</v>
      </c>
      <c r="H125" s="11">
        <v>0.58792173687399996</v>
      </c>
      <c r="I125" s="10" t="s">
        <v>728</v>
      </c>
      <c r="J125" s="10" t="s">
        <v>741</v>
      </c>
      <c r="K125" s="10" t="s">
        <v>93</v>
      </c>
      <c r="L125" s="157">
        <v>2</v>
      </c>
      <c r="M125" s="1">
        <f>'State of the System - Sumter Co'!K125</f>
        <v>2</v>
      </c>
      <c r="N125" s="1" t="str">
        <f>IF('State of the System - Sumter Co'!L125="URBAN","U","R")</f>
        <v>R</v>
      </c>
      <c r="O125" s="1" t="str">
        <f>IF('State of the System - Sumter Co'!M125="UNDIVIDED","U",IF('State of the System - Sumter Co'!M125="DIVIDED","D","F"))</f>
        <v>U</v>
      </c>
      <c r="P125" s="1" t="str">
        <f>'State of the System - Sumter Co'!N125</f>
        <v>UNINTERRUPTED</v>
      </c>
      <c r="Q125" s="1" t="str">
        <f t="shared" si="156"/>
        <v>y</v>
      </c>
      <c r="R125" s="1" t="str">
        <f>'State of the System - Sumter Co'!O125</f>
        <v>DEVELOPED</v>
      </c>
      <c r="S125" s="1" t="str">
        <f t="shared" si="221"/>
        <v/>
      </c>
      <c r="T125" s="1" t="str">
        <f t="shared" si="158"/>
        <v>R-2Uy</v>
      </c>
      <c r="U125" s="1" t="str">
        <f t="shared" si="225"/>
        <v>R-2Uy</v>
      </c>
      <c r="V125" s="1" t="s">
        <v>10</v>
      </c>
      <c r="W125" s="1" t="s">
        <v>76</v>
      </c>
      <c r="X125" s="1" t="s">
        <v>21</v>
      </c>
      <c r="Y125" s="1" t="str">
        <f>'State of the System - Sumter Co'!R125</f>
        <v>D</v>
      </c>
      <c r="Z125" s="157" t="str">
        <f t="shared" si="159"/>
        <v>Other CMP Network Roadways</v>
      </c>
      <c r="AA125" s="15">
        <f>VLOOKUP($T125,'2020_CapacityTable'!$B$49:$F$71,2)</f>
        <v>10300</v>
      </c>
      <c r="AB125" s="15">
        <f>VLOOKUP($T125,'2020_CapacityTable'!$B$49:$F$71,3)</f>
        <v>15700</v>
      </c>
      <c r="AC125" s="15">
        <f>VLOOKUP($T125,'2020_CapacityTable'!$B$49:$F$71,4)</f>
        <v>21300</v>
      </c>
      <c r="AD125" s="15">
        <f>VLOOKUP($T125,'2020_CapacityTable'!$B$49:$F$71,5)</f>
        <v>28500</v>
      </c>
      <c r="AE125" s="35"/>
      <c r="AF125" s="36" t="str">
        <f t="shared" si="160"/>
        <v/>
      </c>
      <c r="AG125" s="35" t="str">
        <f t="shared" ref="AG125:AG156" si="233">IF(AND(L125=2,P125="interrupted",O125="U"),"LOOK","")</f>
        <v/>
      </c>
      <c r="AH125" s="35" t="str">
        <f t="shared" si="224"/>
        <v/>
      </c>
      <c r="AI125" s="35"/>
      <c r="AJ125" s="36"/>
      <c r="AK125" s="15">
        <f t="shared" si="161"/>
        <v>10300</v>
      </c>
      <c r="AL125" s="15">
        <f t="shared" si="162"/>
        <v>15700</v>
      </c>
      <c r="AM125" s="15">
        <f t="shared" si="163"/>
        <v>21300</v>
      </c>
      <c r="AN125" s="15">
        <f t="shared" si="164"/>
        <v>28500</v>
      </c>
      <c r="AO125" s="3">
        <f t="shared" si="226"/>
        <v>21300</v>
      </c>
      <c r="AP125" s="138">
        <f>VLOOKUP($B125,'2022 counts'!$B$6:$R$304,17,FALSE)</f>
        <v>8713</v>
      </c>
      <c r="AQ125" s="11">
        <f t="shared" si="165"/>
        <v>0.41</v>
      </c>
      <c r="AR125" s="2" t="str">
        <f t="shared" si="166"/>
        <v>B</v>
      </c>
      <c r="AS125" s="26">
        <f t="shared" si="167"/>
        <v>1.87</v>
      </c>
      <c r="AT125" s="15">
        <f>VLOOKUP($T125,'2020_CapacityTable'!$B$23:$F$45,2)</f>
        <v>540</v>
      </c>
      <c r="AU125" s="15">
        <f>VLOOKUP($T125,'2020_CapacityTable'!$B$23:$F$45,3)</f>
        <v>820</v>
      </c>
      <c r="AV125" s="15">
        <f>VLOOKUP($T125,'2020_CapacityTable'!$B$23:$F$45,4)</f>
        <v>1110</v>
      </c>
      <c r="AW125" s="15">
        <f>VLOOKUP($T125,'2020_CapacityTable'!$B$23:$F$45,5)</f>
        <v>1490</v>
      </c>
      <c r="AX125" s="15">
        <f t="shared" si="168"/>
        <v>540</v>
      </c>
      <c r="AY125" s="15">
        <f t="shared" si="169"/>
        <v>820</v>
      </c>
      <c r="AZ125" s="15">
        <f t="shared" si="170"/>
        <v>1110</v>
      </c>
      <c r="BA125" s="15">
        <f t="shared" si="171"/>
        <v>1490</v>
      </c>
      <c r="BB125" s="3">
        <f t="shared" si="227"/>
        <v>1110</v>
      </c>
      <c r="BC125" s="138">
        <f>VLOOKUP($B125,'2022 counts'!$B$6:$AD$304,28,FALSE)</f>
        <v>388</v>
      </c>
      <c r="BD125" s="138">
        <f>VLOOKUP($B125,'2022 counts'!$B$6:$AD$304,29,FALSE)</f>
        <v>460</v>
      </c>
      <c r="BE125" s="11">
        <f t="shared" si="173"/>
        <v>0.41</v>
      </c>
      <c r="BF125" s="2" t="str">
        <f t="shared" si="174"/>
        <v>B</v>
      </c>
      <c r="BG125" s="135">
        <v>4.4999999999999998E-2</v>
      </c>
      <c r="BH125" s="135">
        <f>IF($AQ125="","",VLOOKUP($B125, '2022 counts'!$B$6:$T$304,19,FALSE))</f>
        <v>4.4999999999999998E-2</v>
      </c>
      <c r="BI125" s="38">
        <f t="shared" si="175"/>
        <v>4.4999999999999998E-2</v>
      </c>
      <c r="BJ125" s="39" t="str">
        <f t="shared" si="176"/>
        <v/>
      </c>
      <c r="BK125" s="15">
        <f>VLOOKUP($U125,'2020_CapacityTable'!$B$49:$F$71,2)</f>
        <v>10300</v>
      </c>
      <c r="BL125" s="15">
        <f>VLOOKUP($U125,'2020_CapacityTable'!$B$49:$F$71,3)</f>
        <v>15700</v>
      </c>
      <c r="BM125" s="15">
        <f>VLOOKUP($T125,'2020_CapacityTable'!$B$49:$F$71,4)</f>
        <v>21300</v>
      </c>
      <c r="BN125" s="15">
        <f>VLOOKUP($T125,'2020_CapacityTable'!$B$49:$F$71,5)</f>
        <v>28500</v>
      </c>
      <c r="BO125" s="15">
        <f t="shared" si="177"/>
        <v>10300</v>
      </c>
      <c r="BP125" s="15">
        <f t="shared" si="178"/>
        <v>15700</v>
      </c>
      <c r="BQ125" s="15">
        <f t="shared" si="179"/>
        <v>21300</v>
      </c>
      <c r="BR125" s="15">
        <f t="shared" si="180"/>
        <v>28500</v>
      </c>
      <c r="BS125" s="3">
        <f t="shared" si="228"/>
        <v>21300</v>
      </c>
      <c r="BT125" s="40">
        <f>'State of the System - Sumter Co'!AD125</f>
        <v>10858</v>
      </c>
      <c r="BU125" s="41">
        <f t="shared" si="182"/>
        <v>0.51</v>
      </c>
      <c r="BV125" s="2" t="str">
        <f t="shared" si="183"/>
        <v>C</v>
      </c>
      <c r="BW125" s="2">
        <f t="shared" si="184"/>
        <v>2.33</v>
      </c>
      <c r="BX125" s="15">
        <f>VLOOKUP($U125,'2020_CapacityTable'!$B$23:$F$45,2)</f>
        <v>540</v>
      </c>
      <c r="BY125" s="15">
        <f>VLOOKUP($U125,'2020_CapacityTable'!$B$23:$F$45,3)</f>
        <v>820</v>
      </c>
      <c r="BZ125" s="15">
        <f>VLOOKUP($U125,'2020_CapacityTable'!$B$23:$F$45,4)</f>
        <v>1110</v>
      </c>
      <c r="CA125" s="15">
        <f>VLOOKUP($U125,'2020_CapacityTable'!$B$23:$F$45,5)</f>
        <v>1490</v>
      </c>
      <c r="CB125" s="15">
        <f t="shared" si="185"/>
        <v>540</v>
      </c>
      <c r="CC125" s="15">
        <f t="shared" si="186"/>
        <v>820</v>
      </c>
      <c r="CD125" s="15">
        <f t="shared" si="187"/>
        <v>1110</v>
      </c>
      <c r="CE125" s="15">
        <f t="shared" si="188"/>
        <v>1490</v>
      </c>
      <c r="CF125" s="3">
        <f t="shared" si="229"/>
        <v>1110</v>
      </c>
      <c r="CG125" s="2">
        <f>'State of the System - Sumter Co'!AH125</f>
        <v>484</v>
      </c>
      <c r="CH125" s="2">
        <f>'State of the System - Sumter Co'!AI125</f>
        <v>573</v>
      </c>
      <c r="CI125" s="11">
        <f t="shared" si="190"/>
        <v>0.52</v>
      </c>
      <c r="CJ125" s="2" t="str">
        <f t="shared" si="230"/>
        <v>C</v>
      </c>
      <c r="CK125" s="3">
        <f t="shared" si="192"/>
        <v>30780</v>
      </c>
      <c r="CL125" s="11">
        <f t="shared" si="193"/>
        <v>0.35</v>
      </c>
      <c r="CM125" s="11" t="str">
        <f t="shared" si="194"/>
        <v>NOT CONGESTED</v>
      </c>
      <c r="CN125" s="3">
        <f t="shared" si="195"/>
        <v>1609</v>
      </c>
      <c r="CO125" s="11">
        <f t="shared" si="196"/>
        <v>0.36</v>
      </c>
      <c r="CP125" s="156" t="str">
        <f t="shared" si="231"/>
        <v>NOT CONGESTED</v>
      </c>
      <c r="CQ125" s="3"/>
      <c r="CR125" s="3"/>
      <c r="CS125" s="11" t="str">
        <f t="shared" si="198"/>
        <v/>
      </c>
      <c r="CT125" s="11" t="str">
        <f t="shared" si="232"/>
        <v/>
      </c>
      <c r="CU125" s="11" t="str">
        <f t="shared" si="200"/>
        <v/>
      </c>
      <c r="CV125" s="11" t="str">
        <f t="shared" si="201"/>
        <v/>
      </c>
      <c r="CW125" s="2"/>
      <c r="CX125" s="1"/>
      <c r="CY125" s="145" t="str">
        <f t="shared" si="202"/>
        <v/>
      </c>
      <c r="CZ125" s="32" t="str">
        <f t="shared" si="203"/>
        <v/>
      </c>
    </row>
    <row r="126" spans="1:104" ht="12.75" customHeight="1">
      <c r="A126" s="1">
        <v>3553170</v>
      </c>
      <c r="B126" s="1">
        <f t="shared" si="204"/>
        <v>75</v>
      </c>
      <c r="C126" s="1">
        <v>97</v>
      </c>
      <c r="D126" s="1">
        <f>VLOOKUP(C126,'2022 counts'!$A$6:$B$304,2,FALSE)</f>
        <v>75</v>
      </c>
      <c r="E126" s="1" t="s">
        <v>94</v>
      </c>
      <c r="F126" s="3" t="s">
        <v>6</v>
      </c>
      <c r="G126" s="156">
        <v>55</v>
      </c>
      <c r="H126" s="11">
        <v>1.74615451292</v>
      </c>
      <c r="I126" s="10" t="s">
        <v>728</v>
      </c>
      <c r="J126" s="10" t="s">
        <v>93</v>
      </c>
      <c r="K126" s="10" t="s">
        <v>89</v>
      </c>
      <c r="L126" s="157">
        <v>2</v>
      </c>
      <c r="M126" s="1">
        <f>'State of the System - Sumter Co'!K126</f>
        <v>2</v>
      </c>
      <c r="N126" s="1" t="str">
        <f>IF('State of the System - Sumter Co'!L126="URBAN","U","R")</f>
        <v>R</v>
      </c>
      <c r="O126" s="1" t="str">
        <f>IF('State of the System - Sumter Co'!M126="UNDIVIDED","U",IF('State of the System - Sumter Co'!M126="DIVIDED","D","F"))</f>
        <v>U</v>
      </c>
      <c r="P126" s="1" t="str">
        <f>'State of the System - Sumter Co'!N126</f>
        <v>UNINTERRUPTED</v>
      </c>
      <c r="Q126" s="1" t="str">
        <f t="shared" si="156"/>
        <v>y</v>
      </c>
      <c r="R126" s="1" t="str">
        <f>'State of the System - Sumter Co'!O126</f>
        <v>DEVELOPED</v>
      </c>
      <c r="S126" s="1" t="str">
        <f t="shared" si="221"/>
        <v/>
      </c>
      <c r="T126" s="1" t="str">
        <f t="shared" si="158"/>
        <v>R-2Uy</v>
      </c>
      <c r="U126" s="1" t="str">
        <f t="shared" si="225"/>
        <v>R-2Uy</v>
      </c>
      <c r="V126" s="1" t="s">
        <v>10</v>
      </c>
      <c r="W126" s="1" t="s">
        <v>76</v>
      </c>
      <c r="X126" s="1" t="s">
        <v>21</v>
      </c>
      <c r="Y126" s="1" t="str">
        <f>'State of the System - Sumter Co'!R126</f>
        <v>D</v>
      </c>
      <c r="Z126" s="157" t="str">
        <f t="shared" si="159"/>
        <v>Other CMP Network Roadways</v>
      </c>
      <c r="AA126" s="15">
        <f>VLOOKUP($T126,'2020_CapacityTable'!$B$49:$F$71,2)</f>
        <v>10300</v>
      </c>
      <c r="AB126" s="15">
        <f>VLOOKUP($T126,'2020_CapacityTable'!$B$49:$F$71,3)</f>
        <v>15700</v>
      </c>
      <c r="AC126" s="15">
        <f>VLOOKUP($T126,'2020_CapacityTable'!$B$49:$F$71,4)</f>
        <v>21300</v>
      </c>
      <c r="AD126" s="15">
        <f>VLOOKUP($T126,'2020_CapacityTable'!$B$49:$F$71,5)</f>
        <v>28500</v>
      </c>
      <c r="AE126" s="35"/>
      <c r="AF126" s="36" t="str">
        <f t="shared" si="160"/>
        <v/>
      </c>
      <c r="AG126" s="35" t="str">
        <f t="shared" si="233"/>
        <v/>
      </c>
      <c r="AH126" s="35" t="str">
        <f t="shared" si="224"/>
        <v/>
      </c>
      <c r="AI126" s="35"/>
      <c r="AJ126" s="36"/>
      <c r="AK126" s="15">
        <f t="shared" si="161"/>
        <v>10300</v>
      </c>
      <c r="AL126" s="15">
        <f t="shared" si="162"/>
        <v>15700</v>
      </c>
      <c r="AM126" s="15">
        <f t="shared" si="163"/>
        <v>21300</v>
      </c>
      <c r="AN126" s="15">
        <f t="shared" si="164"/>
        <v>28500</v>
      </c>
      <c r="AO126" s="3">
        <f t="shared" si="226"/>
        <v>21300</v>
      </c>
      <c r="AP126" s="138">
        <f>VLOOKUP($B126,'2022 counts'!$B$6:$R$304,17,FALSE)</f>
        <v>8341</v>
      </c>
      <c r="AQ126" s="11">
        <f t="shared" si="165"/>
        <v>0.39</v>
      </c>
      <c r="AR126" s="2" t="str">
        <f t="shared" si="166"/>
        <v>B</v>
      </c>
      <c r="AS126" s="26">
        <f t="shared" si="167"/>
        <v>5.32</v>
      </c>
      <c r="AT126" s="15">
        <f>VLOOKUP($T126,'2020_CapacityTable'!$B$23:$F$45,2)</f>
        <v>540</v>
      </c>
      <c r="AU126" s="15">
        <f>VLOOKUP($T126,'2020_CapacityTable'!$B$23:$F$45,3)</f>
        <v>820</v>
      </c>
      <c r="AV126" s="15">
        <f>VLOOKUP($T126,'2020_CapacityTable'!$B$23:$F$45,4)</f>
        <v>1110</v>
      </c>
      <c r="AW126" s="15">
        <f>VLOOKUP($T126,'2020_CapacityTable'!$B$23:$F$45,5)</f>
        <v>1490</v>
      </c>
      <c r="AX126" s="15">
        <f t="shared" si="168"/>
        <v>540</v>
      </c>
      <c r="AY126" s="15">
        <f t="shared" si="169"/>
        <v>820</v>
      </c>
      <c r="AZ126" s="15">
        <f t="shared" si="170"/>
        <v>1110</v>
      </c>
      <c r="BA126" s="15">
        <f t="shared" si="171"/>
        <v>1490</v>
      </c>
      <c r="BB126" s="3">
        <f t="shared" si="227"/>
        <v>1110</v>
      </c>
      <c r="BC126" s="138">
        <f>VLOOKUP($B126,'2022 counts'!$B$6:$AD$304,28,FALSE)</f>
        <v>339</v>
      </c>
      <c r="BD126" s="138">
        <f>VLOOKUP($B126,'2022 counts'!$B$6:$AD$304,29,FALSE)</f>
        <v>452</v>
      </c>
      <c r="BE126" s="11">
        <f t="shared" si="173"/>
        <v>0.41</v>
      </c>
      <c r="BF126" s="2" t="str">
        <f t="shared" si="174"/>
        <v>B</v>
      </c>
      <c r="BG126" s="135">
        <v>0.04</v>
      </c>
      <c r="BH126" s="135">
        <f>IF($AQ126="","",VLOOKUP($B126, '2022 counts'!$B$6:$T$304,19,FALSE))</f>
        <v>0.04</v>
      </c>
      <c r="BI126" s="38">
        <f t="shared" si="175"/>
        <v>0.04</v>
      </c>
      <c r="BJ126" s="39" t="str">
        <f t="shared" si="176"/>
        <v/>
      </c>
      <c r="BK126" s="15">
        <f>VLOOKUP($U126,'2020_CapacityTable'!$B$49:$F$71,2)</f>
        <v>10300</v>
      </c>
      <c r="BL126" s="15">
        <f>VLOOKUP($U126,'2020_CapacityTable'!$B$49:$F$71,3)</f>
        <v>15700</v>
      </c>
      <c r="BM126" s="15">
        <f>VLOOKUP($T126,'2020_CapacityTable'!$B$49:$F$71,4)</f>
        <v>21300</v>
      </c>
      <c r="BN126" s="15">
        <f>VLOOKUP($T126,'2020_CapacityTable'!$B$49:$F$71,5)</f>
        <v>28500</v>
      </c>
      <c r="BO126" s="15">
        <f t="shared" si="177"/>
        <v>10300</v>
      </c>
      <c r="BP126" s="15">
        <f t="shared" si="178"/>
        <v>15700</v>
      </c>
      <c r="BQ126" s="15">
        <f t="shared" si="179"/>
        <v>21300</v>
      </c>
      <c r="BR126" s="15">
        <f t="shared" si="180"/>
        <v>28500</v>
      </c>
      <c r="BS126" s="3">
        <f t="shared" si="228"/>
        <v>21300</v>
      </c>
      <c r="BT126" s="40">
        <f>'State of the System - Sumter Co'!AD126</f>
        <v>10148</v>
      </c>
      <c r="BU126" s="41">
        <f t="shared" si="182"/>
        <v>0.48</v>
      </c>
      <c r="BV126" s="2" t="str">
        <f t="shared" si="183"/>
        <v>B</v>
      </c>
      <c r="BW126" s="2">
        <f t="shared" si="184"/>
        <v>6.47</v>
      </c>
      <c r="BX126" s="15">
        <f>VLOOKUP($U126,'2020_CapacityTable'!$B$23:$F$45,2)</f>
        <v>540</v>
      </c>
      <c r="BY126" s="15">
        <f>VLOOKUP($U126,'2020_CapacityTable'!$B$23:$F$45,3)</f>
        <v>820</v>
      </c>
      <c r="BZ126" s="15">
        <f>VLOOKUP($U126,'2020_CapacityTable'!$B$23:$F$45,4)</f>
        <v>1110</v>
      </c>
      <c r="CA126" s="15">
        <f>VLOOKUP($U126,'2020_CapacityTable'!$B$23:$F$45,5)</f>
        <v>1490</v>
      </c>
      <c r="CB126" s="15">
        <f t="shared" si="185"/>
        <v>540</v>
      </c>
      <c r="CC126" s="15">
        <f t="shared" si="186"/>
        <v>820</v>
      </c>
      <c r="CD126" s="15">
        <f t="shared" si="187"/>
        <v>1110</v>
      </c>
      <c r="CE126" s="15">
        <f t="shared" si="188"/>
        <v>1490</v>
      </c>
      <c r="CF126" s="3">
        <f t="shared" si="229"/>
        <v>1110</v>
      </c>
      <c r="CG126" s="2">
        <f>'State of the System - Sumter Co'!AH126</f>
        <v>412</v>
      </c>
      <c r="CH126" s="2">
        <f>'State of the System - Sumter Co'!AI126</f>
        <v>550</v>
      </c>
      <c r="CI126" s="11">
        <f t="shared" si="190"/>
        <v>0.5</v>
      </c>
      <c r="CJ126" s="2" t="str">
        <f t="shared" si="230"/>
        <v>C</v>
      </c>
      <c r="CK126" s="3">
        <f t="shared" si="192"/>
        <v>30780</v>
      </c>
      <c r="CL126" s="11">
        <f t="shared" si="193"/>
        <v>0.33</v>
      </c>
      <c r="CM126" s="11" t="str">
        <f t="shared" si="194"/>
        <v>NOT CONGESTED</v>
      </c>
      <c r="CN126" s="3">
        <f t="shared" si="195"/>
        <v>1609</v>
      </c>
      <c r="CO126" s="11">
        <f t="shared" si="196"/>
        <v>0.34</v>
      </c>
      <c r="CP126" s="156" t="str">
        <f t="shared" si="231"/>
        <v>NOT CONGESTED</v>
      </c>
      <c r="CQ126" s="3"/>
      <c r="CR126" s="3"/>
      <c r="CS126" s="11" t="str">
        <f t="shared" si="198"/>
        <v/>
      </c>
      <c r="CT126" s="11" t="str">
        <f t="shared" si="232"/>
        <v/>
      </c>
      <c r="CU126" s="11" t="str">
        <f t="shared" si="200"/>
        <v/>
      </c>
      <c r="CV126" s="11" t="str">
        <f t="shared" si="201"/>
        <v/>
      </c>
      <c r="CW126" s="2"/>
      <c r="CX126" s="1"/>
      <c r="CY126" s="145" t="str">
        <f t="shared" si="202"/>
        <v/>
      </c>
      <c r="CZ126" s="32" t="str">
        <f t="shared" si="203"/>
        <v/>
      </c>
    </row>
    <row r="127" spans="1:104" ht="12.75" customHeight="1">
      <c r="A127" s="1">
        <v>3553180</v>
      </c>
      <c r="B127" s="1">
        <f t="shared" si="204"/>
        <v>73</v>
      </c>
      <c r="C127" s="1">
        <v>372</v>
      </c>
      <c r="D127" s="1">
        <f>VLOOKUP(C127,'2022 counts'!$A$6:$B$304,2,FALSE)</f>
        <v>73</v>
      </c>
      <c r="E127" s="1" t="s">
        <v>94</v>
      </c>
      <c r="F127" s="2" t="s">
        <v>6</v>
      </c>
      <c r="G127" s="156">
        <v>45</v>
      </c>
      <c r="H127" s="11">
        <v>1.2606214412500001</v>
      </c>
      <c r="I127" s="10" t="s">
        <v>728</v>
      </c>
      <c r="J127" s="10" t="s">
        <v>89</v>
      </c>
      <c r="K127" s="10" t="s">
        <v>81</v>
      </c>
      <c r="L127" s="157">
        <v>2</v>
      </c>
      <c r="M127" s="1">
        <f>'State of the System - Sumter Co'!K127</f>
        <v>2</v>
      </c>
      <c r="N127" s="1" t="str">
        <f>IF('State of the System - Sumter Co'!L127="URBAN","U","R")</f>
        <v>U</v>
      </c>
      <c r="O127" s="1" t="str">
        <f>IF('State of the System - Sumter Co'!M127="UNDIVIDED","U",IF('State of the System - Sumter Co'!M127="DIVIDED","D","F"))</f>
        <v>U</v>
      </c>
      <c r="P127" s="1" t="str">
        <f>'State of the System - Sumter Co'!N127</f>
        <v>UNINTERRUPTED</v>
      </c>
      <c r="Q127" s="1" t="str">
        <f t="shared" si="156"/>
        <v/>
      </c>
      <c r="R127" s="1" t="str">
        <f>'State of the System - Sumter Co'!O127</f>
        <v/>
      </c>
      <c r="S127" s="1" t="str">
        <f t="shared" si="221"/>
        <v>-x</v>
      </c>
      <c r="T127" s="1" t="str">
        <f t="shared" si="158"/>
        <v>U-2U-x</v>
      </c>
      <c r="U127" s="1" t="str">
        <f t="shared" si="225"/>
        <v>U-2U-x</v>
      </c>
      <c r="V127" s="1" t="s">
        <v>10</v>
      </c>
      <c r="W127" s="1" t="s">
        <v>76</v>
      </c>
      <c r="X127" s="1" t="s">
        <v>21</v>
      </c>
      <c r="Y127" s="1" t="str">
        <f>'State of the System - Sumter Co'!R127</f>
        <v>D</v>
      </c>
      <c r="Z127" s="157" t="str">
        <f t="shared" si="159"/>
        <v>Other CMP Network Roadways</v>
      </c>
      <c r="AA127" s="15">
        <f>VLOOKUP($T127,'2020_CapacityTable'!$B$49:$F$71,2)</f>
        <v>11700</v>
      </c>
      <c r="AB127" s="15">
        <f>VLOOKUP($T127,'2020_CapacityTable'!$B$49:$F$71,3)</f>
        <v>18000</v>
      </c>
      <c r="AC127" s="15">
        <f>VLOOKUP($T127,'2020_CapacityTable'!$B$49:$F$71,4)</f>
        <v>24200</v>
      </c>
      <c r="AD127" s="15">
        <f>VLOOKUP($T127,'2020_CapacityTable'!$B$49:$F$71,5)</f>
        <v>32600</v>
      </c>
      <c r="AE127" s="35"/>
      <c r="AF127" s="36" t="str">
        <f t="shared" si="160"/>
        <v/>
      </c>
      <c r="AG127" s="35" t="str">
        <f t="shared" si="233"/>
        <v/>
      </c>
      <c r="AH127" s="35" t="str">
        <f t="shared" si="224"/>
        <v/>
      </c>
      <c r="AI127" s="35"/>
      <c r="AJ127" s="36"/>
      <c r="AK127" s="15">
        <f t="shared" si="161"/>
        <v>11700</v>
      </c>
      <c r="AL127" s="15">
        <f t="shared" si="162"/>
        <v>18000</v>
      </c>
      <c r="AM127" s="15">
        <f t="shared" si="163"/>
        <v>24200</v>
      </c>
      <c r="AN127" s="15">
        <f t="shared" si="164"/>
        <v>32600</v>
      </c>
      <c r="AO127" s="3">
        <f t="shared" si="226"/>
        <v>24200</v>
      </c>
      <c r="AP127" s="138">
        <f>VLOOKUP($B127,'2022 counts'!$B$6:$R$304,17,FALSE)</f>
        <v>7301</v>
      </c>
      <c r="AQ127" s="11">
        <f t="shared" si="165"/>
        <v>0.3</v>
      </c>
      <c r="AR127" s="2" t="str">
        <f t="shared" si="166"/>
        <v>B</v>
      </c>
      <c r="AS127" s="26">
        <f t="shared" si="167"/>
        <v>3.36</v>
      </c>
      <c r="AT127" s="15">
        <f>VLOOKUP($T127,'2020_CapacityTable'!$B$23:$F$45,2)</f>
        <v>580</v>
      </c>
      <c r="AU127" s="15">
        <f>VLOOKUP($T127,'2020_CapacityTable'!$B$23:$F$45,3)</f>
        <v>890</v>
      </c>
      <c r="AV127" s="15">
        <f>VLOOKUP($T127,'2020_CapacityTable'!$B$23:$F$45,4)</f>
        <v>1200</v>
      </c>
      <c r="AW127" s="15">
        <f>VLOOKUP($T127,'2020_CapacityTable'!$B$23:$F$45,5)</f>
        <v>1610</v>
      </c>
      <c r="AX127" s="15">
        <f t="shared" si="168"/>
        <v>580</v>
      </c>
      <c r="AY127" s="15">
        <f t="shared" si="169"/>
        <v>890</v>
      </c>
      <c r="AZ127" s="15">
        <f t="shared" si="170"/>
        <v>1200</v>
      </c>
      <c r="BA127" s="15">
        <f t="shared" si="171"/>
        <v>1610</v>
      </c>
      <c r="BB127" s="3">
        <f t="shared" si="227"/>
        <v>1200</v>
      </c>
      <c r="BC127" s="138">
        <f>VLOOKUP($B127,'2022 counts'!$B$6:$AD$304,28,FALSE)</f>
        <v>308</v>
      </c>
      <c r="BD127" s="138">
        <f>VLOOKUP($B127,'2022 counts'!$B$6:$AD$304,29,FALSE)</f>
        <v>346</v>
      </c>
      <c r="BE127" s="11">
        <f t="shared" si="173"/>
        <v>0.28999999999999998</v>
      </c>
      <c r="BF127" s="2" t="str">
        <f t="shared" si="174"/>
        <v>B</v>
      </c>
      <c r="BG127" s="135">
        <v>3.5000000000000003E-2</v>
      </c>
      <c r="BH127" s="135">
        <f>IF($AQ127="","",VLOOKUP($B127, '2022 counts'!$B$6:$T$304,19,FALSE))</f>
        <v>3.5000000000000003E-2</v>
      </c>
      <c r="BI127" s="38">
        <f t="shared" si="175"/>
        <v>3.5000000000000003E-2</v>
      </c>
      <c r="BJ127" s="39" t="str">
        <f t="shared" si="176"/>
        <v/>
      </c>
      <c r="BK127" s="15">
        <f>VLOOKUP($U127,'2020_CapacityTable'!$B$49:$F$71,2)</f>
        <v>11700</v>
      </c>
      <c r="BL127" s="15">
        <f>VLOOKUP($U127,'2020_CapacityTable'!$B$49:$F$71,3)</f>
        <v>18000</v>
      </c>
      <c r="BM127" s="15">
        <f>VLOOKUP($T127,'2020_CapacityTable'!$B$49:$F$71,4)</f>
        <v>24200</v>
      </c>
      <c r="BN127" s="15">
        <f>VLOOKUP($T127,'2020_CapacityTable'!$B$49:$F$71,5)</f>
        <v>32600</v>
      </c>
      <c r="BO127" s="15">
        <f t="shared" si="177"/>
        <v>11700</v>
      </c>
      <c r="BP127" s="15">
        <f t="shared" si="178"/>
        <v>18000</v>
      </c>
      <c r="BQ127" s="15">
        <f t="shared" si="179"/>
        <v>24200</v>
      </c>
      <c r="BR127" s="15">
        <f t="shared" si="180"/>
        <v>32600</v>
      </c>
      <c r="BS127" s="3">
        <f t="shared" si="228"/>
        <v>24200</v>
      </c>
      <c r="BT127" s="40">
        <f>'State of the System - Sumter Co'!AD127</f>
        <v>8671</v>
      </c>
      <c r="BU127" s="41">
        <f t="shared" si="182"/>
        <v>0.36</v>
      </c>
      <c r="BV127" s="2" t="str">
        <f t="shared" si="183"/>
        <v>B</v>
      </c>
      <c r="BW127" s="2">
        <f t="shared" si="184"/>
        <v>3.99</v>
      </c>
      <c r="BX127" s="15">
        <f>VLOOKUP($U127,'2020_CapacityTable'!$B$23:$F$45,2)</f>
        <v>580</v>
      </c>
      <c r="BY127" s="15">
        <f>VLOOKUP($U127,'2020_CapacityTable'!$B$23:$F$45,3)</f>
        <v>890</v>
      </c>
      <c r="BZ127" s="15">
        <f>VLOOKUP($U127,'2020_CapacityTable'!$B$23:$F$45,4)</f>
        <v>1200</v>
      </c>
      <c r="CA127" s="15">
        <f>VLOOKUP($U127,'2020_CapacityTable'!$B$23:$F$45,5)</f>
        <v>1610</v>
      </c>
      <c r="CB127" s="15">
        <f t="shared" si="185"/>
        <v>580</v>
      </c>
      <c r="CC127" s="15">
        <f t="shared" si="186"/>
        <v>890</v>
      </c>
      <c r="CD127" s="15">
        <f t="shared" si="187"/>
        <v>1200</v>
      </c>
      <c r="CE127" s="15">
        <f t="shared" si="188"/>
        <v>1610</v>
      </c>
      <c r="CF127" s="3">
        <f t="shared" si="229"/>
        <v>1200</v>
      </c>
      <c r="CG127" s="2">
        <f>'State of the System - Sumter Co'!AH127</f>
        <v>366</v>
      </c>
      <c r="CH127" s="2">
        <f>'State of the System - Sumter Co'!AI127</f>
        <v>411</v>
      </c>
      <c r="CI127" s="11">
        <f t="shared" si="190"/>
        <v>0.34</v>
      </c>
      <c r="CJ127" s="2" t="str">
        <f t="shared" si="230"/>
        <v>B</v>
      </c>
      <c r="CK127" s="3">
        <f t="shared" si="192"/>
        <v>35208</v>
      </c>
      <c r="CL127" s="11">
        <f t="shared" si="193"/>
        <v>0.25</v>
      </c>
      <c r="CM127" s="11" t="str">
        <f t="shared" si="194"/>
        <v>NOT CONGESTED</v>
      </c>
      <c r="CN127" s="3">
        <f t="shared" si="195"/>
        <v>1739</v>
      </c>
      <c r="CO127" s="11">
        <f t="shared" si="196"/>
        <v>0.24</v>
      </c>
      <c r="CP127" s="156" t="str">
        <f t="shared" si="231"/>
        <v>NOT CONGESTED</v>
      </c>
      <c r="CQ127" s="3"/>
      <c r="CR127" s="3"/>
      <c r="CS127" s="11" t="str">
        <f t="shared" si="198"/>
        <v/>
      </c>
      <c r="CT127" s="11" t="str">
        <f t="shared" si="232"/>
        <v/>
      </c>
      <c r="CU127" s="11" t="str">
        <f t="shared" si="200"/>
        <v/>
      </c>
      <c r="CV127" s="11" t="str">
        <f t="shared" si="201"/>
        <v/>
      </c>
      <c r="CW127" s="2"/>
      <c r="CX127" s="1"/>
      <c r="CY127" s="145" t="str">
        <f t="shared" si="202"/>
        <v/>
      </c>
      <c r="CZ127" s="32" t="str">
        <f t="shared" si="203"/>
        <v/>
      </c>
    </row>
    <row r="128" spans="1:104" ht="12.75" customHeight="1">
      <c r="A128" s="1">
        <v>3553190</v>
      </c>
      <c r="B128" s="1">
        <f t="shared" si="204"/>
        <v>76</v>
      </c>
      <c r="C128" s="1">
        <v>98</v>
      </c>
      <c r="D128" s="1">
        <f>VLOOKUP(C128,'2022 counts'!$A$6:$B$304,2,FALSE)</f>
        <v>76</v>
      </c>
      <c r="E128" s="1"/>
      <c r="F128" s="2" t="s">
        <v>6</v>
      </c>
      <c r="G128" s="156">
        <v>55</v>
      </c>
      <c r="H128" s="11">
        <v>1.4486922879399999</v>
      </c>
      <c r="I128" s="10" t="s">
        <v>728</v>
      </c>
      <c r="J128" s="10" t="s">
        <v>81</v>
      </c>
      <c r="K128" s="10" t="s">
        <v>95</v>
      </c>
      <c r="L128" s="157">
        <v>2</v>
      </c>
      <c r="M128" s="1">
        <f>'State of the System - Sumter Co'!K128</f>
        <v>2</v>
      </c>
      <c r="N128" s="1" t="str">
        <f>IF('State of the System - Sumter Co'!L128="URBAN","U","R")</f>
        <v>U</v>
      </c>
      <c r="O128" s="1" t="str">
        <f>IF('State of the System - Sumter Co'!M128="UNDIVIDED","U",IF('State of the System - Sumter Co'!M128="DIVIDED","D","F"))</f>
        <v>U</v>
      </c>
      <c r="P128" s="1" t="str">
        <f>'State of the System - Sumter Co'!N128</f>
        <v>UNINTERRUPTED</v>
      </c>
      <c r="Q128" s="1" t="str">
        <f t="shared" si="156"/>
        <v/>
      </c>
      <c r="R128" s="1" t="str">
        <f>'State of the System - Sumter Co'!O128</f>
        <v/>
      </c>
      <c r="S128" s="1" t="str">
        <f t="shared" si="221"/>
        <v>-x</v>
      </c>
      <c r="T128" s="1" t="str">
        <f t="shared" si="158"/>
        <v>U-2U-x</v>
      </c>
      <c r="U128" s="1" t="str">
        <f t="shared" si="225"/>
        <v>U-2U-x</v>
      </c>
      <c r="V128" s="1" t="s">
        <v>10</v>
      </c>
      <c r="W128" s="1" t="s">
        <v>11</v>
      </c>
      <c r="X128" s="1" t="s">
        <v>21</v>
      </c>
      <c r="Y128" s="1" t="str">
        <f>'State of the System - Sumter Co'!R128</f>
        <v>D</v>
      </c>
      <c r="Z128" s="157" t="str">
        <f t="shared" si="159"/>
        <v>Other CMP Network Roadways</v>
      </c>
      <c r="AA128" s="15">
        <f>VLOOKUP($T128,'2020_CapacityTable'!$B$49:$F$71,2)</f>
        <v>11700</v>
      </c>
      <c r="AB128" s="15">
        <f>VLOOKUP($T128,'2020_CapacityTable'!$B$49:$F$71,3)</f>
        <v>18000</v>
      </c>
      <c r="AC128" s="15">
        <f>VLOOKUP($T128,'2020_CapacityTable'!$B$49:$F$71,4)</f>
        <v>24200</v>
      </c>
      <c r="AD128" s="15">
        <f>VLOOKUP($T128,'2020_CapacityTable'!$B$49:$F$71,5)</f>
        <v>32600</v>
      </c>
      <c r="AE128" s="35"/>
      <c r="AF128" s="36" t="str">
        <f t="shared" si="160"/>
        <v/>
      </c>
      <c r="AG128" s="35" t="str">
        <f t="shared" si="233"/>
        <v/>
      </c>
      <c r="AH128" s="35" t="str">
        <f t="shared" si="224"/>
        <v/>
      </c>
      <c r="AI128" s="35"/>
      <c r="AJ128" s="36"/>
      <c r="AK128" s="15">
        <f t="shared" si="161"/>
        <v>11700</v>
      </c>
      <c r="AL128" s="15">
        <f t="shared" si="162"/>
        <v>18000</v>
      </c>
      <c r="AM128" s="15">
        <f t="shared" si="163"/>
        <v>24200</v>
      </c>
      <c r="AN128" s="15">
        <f t="shared" si="164"/>
        <v>32600</v>
      </c>
      <c r="AO128" s="3">
        <f t="shared" si="226"/>
        <v>24200</v>
      </c>
      <c r="AP128" s="138">
        <f>VLOOKUP($B128,'2022 counts'!$B$6:$R$304,17,FALSE)</f>
        <v>7340</v>
      </c>
      <c r="AQ128" s="11">
        <f t="shared" si="165"/>
        <v>0.3</v>
      </c>
      <c r="AR128" s="2" t="str">
        <f t="shared" si="166"/>
        <v>B</v>
      </c>
      <c r="AS128" s="26">
        <f t="shared" si="167"/>
        <v>3.88</v>
      </c>
      <c r="AT128" s="15">
        <f>VLOOKUP($T128,'2020_CapacityTable'!$B$23:$F$45,2)</f>
        <v>580</v>
      </c>
      <c r="AU128" s="15">
        <f>VLOOKUP($T128,'2020_CapacityTable'!$B$23:$F$45,3)</f>
        <v>890</v>
      </c>
      <c r="AV128" s="15">
        <f>VLOOKUP($T128,'2020_CapacityTable'!$B$23:$F$45,4)</f>
        <v>1200</v>
      </c>
      <c r="AW128" s="15">
        <f>VLOOKUP($T128,'2020_CapacityTable'!$B$23:$F$45,5)</f>
        <v>1610</v>
      </c>
      <c r="AX128" s="15">
        <f t="shared" si="168"/>
        <v>580</v>
      </c>
      <c r="AY128" s="15">
        <f t="shared" si="169"/>
        <v>890</v>
      </c>
      <c r="AZ128" s="15">
        <f t="shared" si="170"/>
        <v>1200</v>
      </c>
      <c r="BA128" s="15">
        <f t="shared" si="171"/>
        <v>1610</v>
      </c>
      <c r="BB128" s="3">
        <f t="shared" si="227"/>
        <v>1200</v>
      </c>
      <c r="BC128" s="138">
        <f>VLOOKUP($B128,'2022 counts'!$B$6:$AD$304,28,FALSE)</f>
        <v>310</v>
      </c>
      <c r="BD128" s="138">
        <f>VLOOKUP($B128,'2022 counts'!$B$6:$AD$304,29,FALSE)</f>
        <v>336</v>
      </c>
      <c r="BE128" s="11">
        <f t="shared" si="173"/>
        <v>0.28000000000000003</v>
      </c>
      <c r="BF128" s="2" t="str">
        <f t="shared" si="174"/>
        <v>B</v>
      </c>
      <c r="BG128" s="135">
        <v>4.4999999999999998E-2</v>
      </c>
      <c r="BH128" s="135">
        <f>IF($AQ128="","",VLOOKUP($B128, '2022 counts'!$B$6:$T$304,19,FALSE))</f>
        <v>4.4999999999999998E-2</v>
      </c>
      <c r="BI128" s="38">
        <f t="shared" si="175"/>
        <v>4.4999999999999998E-2</v>
      </c>
      <c r="BJ128" s="39" t="str">
        <f t="shared" si="176"/>
        <v/>
      </c>
      <c r="BK128" s="15">
        <f>VLOOKUP($U128,'2020_CapacityTable'!$B$49:$F$71,2)</f>
        <v>11700</v>
      </c>
      <c r="BL128" s="15">
        <f>VLOOKUP($U128,'2020_CapacityTable'!$B$49:$F$71,3)</f>
        <v>18000</v>
      </c>
      <c r="BM128" s="15">
        <f>VLOOKUP($T128,'2020_CapacityTable'!$B$49:$F$71,4)</f>
        <v>24200</v>
      </c>
      <c r="BN128" s="15">
        <f>VLOOKUP($T128,'2020_CapacityTable'!$B$49:$F$71,5)</f>
        <v>32600</v>
      </c>
      <c r="BO128" s="15">
        <f t="shared" si="177"/>
        <v>11700</v>
      </c>
      <c r="BP128" s="15">
        <f t="shared" si="178"/>
        <v>18000</v>
      </c>
      <c r="BQ128" s="15">
        <f t="shared" si="179"/>
        <v>24200</v>
      </c>
      <c r="BR128" s="15">
        <f t="shared" si="180"/>
        <v>32600</v>
      </c>
      <c r="BS128" s="3">
        <f t="shared" si="228"/>
        <v>24200</v>
      </c>
      <c r="BT128" s="40">
        <f>'State of the System - Sumter Co'!AD128</f>
        <v>9147</v>
      </c>
      <c r="BU128" s="41">
        <f t="shared" si="182"/>
        <v>0.38</v>
      </c>
      <c r="BV128" s="2" t="str">
        <f t="shared" si="183"/>
        <v>B</v>
      </c>
      <c r="BW128" s="2">
        <f t="shared" si="184"/>
        <v>4.84</v>
      </c>
      <c r="BX128" s="15">
        <f>VLOOKUP($U128,'2020_CapacityTable'!$B$23:$F$45,2)</f>
        <v>580</v>
      </c>
      <c r="BY128" s="15">
        <f>VLOOKUP($U128,'2020_CapacityTable'!$B$23:$F$45,3)</f>
        <v>890</v>
      </c>
      <c r="BZ128" s="15">
        <f>VLOOKUP($U128,'2020_CapacityTable'!$B$23:$F$45,4)</f>
        <v>1200</v>
      </c>
      <c r="CA128" s="15">
        <f>VLOOKUP($U128,'2020_CapacityTable'!$B$23:$F$45,5)</f>
        <v>1610</v>
      </c>
      <c r="CB128" s="15">
        <f t="shared" si="185"/>
        <v>580</v>
      </c>
      <c r="CC128" s="15">
        <f t="shared" si="186"/>
        <v>890</v>
      </c>
      <c r="CD128" s="15">
        <f t="shared" si="187"/>
        <v>1200</v>
      </c>
      <c r="CE128" s="15">
        <f t="shared" si="188"/>
        <v>1610</v>
      </c>
      <c r="CF128" s="3">
        <f t="shared" si="229"/>
        <v>1200</v>
      </c>
      <c r="CG128" s="2">
        <f>'State of the System - Sumter Co'!AH128</f>
        <v>386</v>
      </c>
      <c r="CH128" s="2">
        <f>'State of the System - Sumter Co'!AI128</f>
        <v>419</v>
      </c>
      <c r="CI128" s="11">
        <f t="shared" si="190"/>
        <v>0.35</v>
      </c>
      <c r="CJ128" s="2" t="str">
        <f t="shared" si="230"/>
        <v>B</v>
      </c>
      <c r="CK128" s="3">
        <f t="shared" si="192"/>
        <v>35208</v>
      </c>
      <c r="CL128" s="11">
        <f t="shared" si="193"/>
        <v>0.26</v>
      </c>
      <c r="CM128" s="11" t="str">
        <f t="shared" si="194"/>
        <v>NOT CONGESTED</v>
      </c>
      <c r="CN128" s="3">
        <f t="shared" si="195"/>
        <v>1739</v>
      </c>
      <c r="CO128" s="11">
        <f t="shared" si="196"/>
        <v>0.24</v>
      </c>
      <c r="CP128" s="156" t="str">
        <f t="shared" si="231"/>
        <v>NOT CONGESTED</v>
      </c>
      <c r="CQ128" s="3"/>
      <c r="CR128" s="3"/>
      <c r="CS128" s="11" t="str">
        <f t="shared" si="198"/>
        <v/>
      </c>
      <c r="CT128" s="11" t="str">
        <f t="shared" si="232"/>
        <v/>
      </c>
      <c r="CU128" s="11" t="str">
        <f t="shared" si="200"/>
        <v/>
      </c>
      <c r="CV128" s="11" t="str">
        <f t="shared" si="201"/>
        <v/>
      </c>
      <c r="CW128" s="2"/>
      <c r="CX128" s="1"/>
      <c r="CY128" s="145" t="str">
        <f t="shared" si="202"/>
        <v/>
      </c>
      <c r="CZ128" s="32" t="str">
        <f t="shared" si="203"/>
        <v/>
      </c>
    </row>
    <row r="129" spans="1:104" ht="12.75" customHeight="1">
      <c r="A129" s="1">
        <v>3553200</v>
      </c>
      <c r="B129" s="1">
        <f t="shared" si="204"/>
        <v>77</v>
      </c>
      <c r="C129" s="1">
        <v>99</v>
      </c>
      <c r="D129" s="1">
        <f>VLOOKUP(C129,'2022 counts'!$A$6:$B$304,2,FALSE)</f>
        <v>77</v>
      </c>
      <c r="E129" s="1"/>
      <c r="F129" s="2" t="s">
        <v>6</v>
      </c>
      <c r="G129" s="156">
        <v>55</v>
      </c>
      <c r="H129" s="11">
        <v>1.82151044847</v>
      </c>
      <c r="I129" s="10" t="s">
        <v>728</v>
      </c>
      <c r="J129" s="10" t="s">
        <v>95</v>
      </c>
      <c r="K129" s="10" t="s">
        <v>708</v>
      </c>
      <c r="L129" s="157">
        <v>2</v>
      </c>
      <c r="M129" s="1">
        <f>'State of the System - Sumter Co'!K129</f>
        <v>2</v>
      </c>
      <c r="N129" s="1" t="str">
        <f>IF('State of the System - Sumter Co'!L129="URBAN","U","R")</f>
        <v>R</v>
      </c>
      <c r="O129" s="1" t="str">
        <f>IF('State of the System - Sumter Co'!M129="UNDIVIDED","U",IF('State of the System - Sumter Co'!M129="DIVIDED","D","F"))</f>
        <v>U</v>
      </c>
      <c r="P129" s="1" t="str">
        <f>'State of the System - Sumter Co'!N129</f>
        <v>UNINTERRUPTED</v>
      </c>
      <c r="Q129" s="1" t="str">
        <f t="shared" si="156"/>
        <v>y</v>
      </c>
      <c r="R129" s="1" t="str">
        <f>'State of the System - Sumter Co'!O129</f>
        <v>DEVELOPED</v>
      </c>
      <c r="S129" s="1" t="str">
        <f t="shared" si="221"/>
        <v/>
      </c>
      <c r="T129" s="1" t="str">
        <f t="shared" si="158"/>
        <v>R-2Uy</v>
      </c>
      <c r="U129" s="1" t="str">
        <f t="shared" si="225"/>
        <v>R-2Uy</v>
      </c>
      <c r="V129" s="1" t="s">
        <v>10</v>
      </c>
      <c r="W129" s="1" t="s">
        <v>65</v>
      </c>
      <c r="X129" s="1" t="s">
        <v>21</v>
      </c>
      <c r="Y129" s="1" t="str">
        <f>'State of the System - Sumter Co'!R129</f>
        <v>D</v>
      </c>
      <c r="Z129" s="157" t="str">
        <f t="shared" si="159"/>
        <v>Other CMP Network Roadways</v>
      </c>
      <c r="AA129" s="15">
        <f>VLOOKUP($T129,'2020_CapacityTable'!$B$49:$F$71,2)</f>
        <v>10300</v>
      </c>
      <c r="AB129" s="15">
        <f>VLOOKUP($T129,'2020_CapacityTable'!$B$49:$F$71,3)</f>
        <v>15700</v>
      </c>
      <c r="AC129" s="15">
        <f>VLOOKUP($T129,'2020_CapacityTable'!$B$49:$F$71,4)</f>
        <v>21300</v>
      </c>
      <c r="AD129" s="15">
        <f>VLOOKUP($T129,'2020_CapacityTable'!$B$49:$F$71,5)</f>
        <v>28500</v>
      </c>
      <c r="AE129" s="35"/>
      <c r="AF129" s="36" t="str">
        <f t="shared" si="160"/>
        <v/>
      </c>
      <c r="AG129" s="35" t="str">
        <f t="shared" si="233"/>
        <v/>
      </c>
      <c r="AH129" s="35" t="str">
        <f t="shared" si="224"/>
        <v/>
      </c>
      <c r="AI129" s="35"/>
      <c r="AJ129" s="36"/>
      <c r="AK129" s="15">
        <f t="shared" si="161"/>
        <v>10300</v>
      </c>
      <c r="AL129" s="15">
        <f t="shared" si="162"/>
        <v>15700</v>
      </c>
      <c r="AM129" s="15">
        <f t="shared" si="163"/>
        <v>21300</v>
      </c>
      <c r="AN129" s="15">
        <f t="shared" si="164"/>
        <v>28500</v>
      </c>
      <c r="AO129" s="3">
        <f t="shared" si="226"/>
        <v>21300</v>
      </c>
      <c r="AP129" s="138">
        <f>VLOOKUP($B129,'2022 counts'!$B$6:$R$304,17,FALSE)</f>
        <v>8608</v>
      </c>
      <c r="AQ129" s="11">
        <f t="shared" si="165"/>
        <v>0.4</v>
      </c>
      <c r="AR129" s="2" t="str">
        <f t="shared" si="166"/>
        <v>B</v>
      </c>
      <c r="AS129" s="26">
        <f t="shared" si="167"/>
        <v>5.72</v>
      </c>
      <c r="AT129" s="15">
        <f>VLOOKUP($T129,'2020_CapacityTable'!$B$23:$F$45,2)</f>
        <v>540</v>
      </c>
      <c r="AU129" s="15">
        <f>VLOOKUP($T129,'2020_CapacityTable'!$B$23:$F$45,3)</f>
        <v>820</v>
      </c>
      <c r="AV129" s="15">
        <f>VLOOKUP($T129,'2020_CapacityTable'!$B$23:$F$45,4)</f>
        <v>1110</v>
      </c>
      <c r="AW129" s="15">
        <f>VLOOKUP($T129,'2020_CapacityTable'!$B$23:$F$45,5)</f>
        <v>1490</v>
      </c>
      <c r="AX129" s="15">
        <f t="shared" si="168"/>
        <v>540</v>
      </c>
      <c r="AY129" s="15">
        <f t="shared" si="169"/>
        <v>820</v>
      </c>
      <c r="AZ129" s="15">
        <f t="shared" si="170"/>
        <v>1110</v>
      </c>
      <c r="BA129" s="15">
        <f t="shared" si="171"/>
        <v>1490</v>
      </c>
      <c r="BB129" s="3">
        <f t="shared" si="227"/>
        <v>1110</v>
      </c>
      <c r="BC129" s="138">
        <f>VLOOKUP($B129,'2022 counts'!$B$6:$AD$304,28,FALSE)</f>
        <v>350</v>
      </c>
      <c r="BD129" s="138">
        <f>VLOOKUP($B129,'2022 counts'!$B$6:$AD$304,29,FALSE)</f>
        <v>381</v>
      </c>
      <c r="BE129" s="11">
        <f t="shared" si="173"/>
        <v>0.34</v>
      </c>
      <c r="BF129" s="2" t="str">
        <f t="shared" si="174"/>
        <v>B</v>
      </c>
      <c r="BG129" s="135">
        <v>4.2500000000000003E-2</v>
      </c>
      <c r="BH129" s="135">
        <f>IF($AQ129="","",VLOOKUP($B129, '2022 counts'!$B$6:$T$304,19,FALSE))</f>
        <v>4.2500000000000003E-2</v>
      </c>
      <c r="BI129" s="38">
        <f t="shared" si="175"/>
        <v>4.2500000000000003E-2</v>
      </c>
      <c r="BJ129" s="39" t="str">
        <f t="shared" si="176"/>
        <v/>
      </c>
      <c r="BK129" s="15">
        <f>VLOOKUP($U129,'2020_CapacityTable'!$B$49:$F$71,2)</f>
        <v>10300</v>
      </c>
      <c r="BL129" s="15">
        <f>VLOOKUP($U129,'2020_CapacityTable'!$B$49:$F$71,3)</f>
        <v>15700</v>
      </c>
      <c r="BM129" s="15">
        <f>VLOOKUP($T129,'2020_CapacityTable'!$B$49:$F$71,4)</f>
        <v>21300</v>
      </c>
      <c r="BN129" s="15">
        <f>VLOOKUP($T129,'2020_CapacityTable'!$B$49:$F$71,5)</f>
        <v>28500</v>
      </c>
      <c r="BO129" s="15">
        <f t="shared" si="177"/>
        <v>10300</v>
      </c>
      <c r="BP129" s="15">
        <f t="shared" si="178"/>
        <v>15700</v>
      </c>
      <c r="BQ129" s="15">
        <f t="shared" si="179"/>
        <v>21300</v>
      </c>
      <c r="BR129" s="15">
        <f t="shared" si="180"/>
        <v>28500</v>
      </c>
      <c r="BS129" s="3">
        <f t="shared" si="228"/>
        <v>21300</v>
      </c>
      <c r="BT129" s="40">
        <f>'State of the System - Sumter Co'!AD129</f>
        <v>10599</v>
      </c>
      <c r="BU129" s="41">
        <f t="shared" si="182"/>
        <v>0.5</v>
      </c>
      <c r="BV129" s="2" t="str">
        <f t="shared" si="183"/>
        <v>C</v>
      </c>
      <c r="BW129" s="2">
        <f t="shared" si="184"/>
        <v>7.05</v>
      </c>
      <c r="BX129" s="15">
        <f>VLOOKUP($U129,'2020_CapacityTable'!$B$23:$F$45,2)</f>
        <v>540</v>
      </c>
      <c r="BY129" s="15">
        <f>VLOOKUP($U129,'2020_CapacityTable'!$B$23:$F$45,3)</f>
        <v>820</v>
      </c>
      <c r="BZ129" s="15">
        <f>VLOOKUP($U129,'2020_CapacityTable'!$B$23:$F$45,4)</f>
        <v>1110</v>
      </c>
      <c r="CA129" s="15">
        <f>VLOOKUP($U129,'2020_CapacityTable'!$B$23:$F$45,5)</f>
        <v>1490</v>
      </c>
      <c r="CB129" s="15">
        <f t="shared" si="185"/>
        <v>540</v>
      </c>
      <c r="CC129" s="15">
        <f t="shared" si="186"/>
        <v>820</v>
      </c>
      <c r="CD129" s="15">
        <f t="shared" si="187"/>
        <v>1110</v>
      </c>
      <c r="CE129" s="15">
        <f t="shared" si="188"/>
        <v>1490</v>
      </c>
      <c r="CF129" s="3">
        <f t="shared" si="229"/>
        <v>1110</v>
      </c>
      <c r="CG129" s="2">
        <f>'State of the System - Sumter Co'!AH129</f>
        <v>431</v>
      </c>
      <c r="CH129" s="2">
        <f>'State of the System - Sumter Co'!AI129</f>
        <v>469</v>
      </c>
      <c r="CI129" s="11">
        <f t="shared" si="190"/>
        <v>0.42</v>
      </c>
      <c r="CJ129" s="2" t="str">
        <f t="shared" si="230"/>
        <v>B</v>
      </c>
      <c r="CK129" s="3">
        <f t="shared" si="192"/>
        <v>30780</v>
      </c>
      <c r="CL129" s="11">
        <f t="shared" si="193"/>
        <v>0.34</v>
      </c>
      <c r="CM129" s="11" t="str">
        <f t="shared" si="194"/>
        <v>NOT CONGESTED</v>
      </c>
      <c r="CN129" s="3">
        <f t="shared" si="195"/>
        <v>1609</v>
      </c>
      <c r="CO129" s="11">
        <f t="shared" si="196"/>
        <v>0.28999999999999998</v>
      </c>
      <c r="CP129" s="156" t="str">
        <f t="shared" si="231"/>
        <v>NOT CONGESTED</v>
      </c>
      <c r="CQ129" s="3"/>
      <c r="CR129" s="3"/>
      <c r="CS129" s="11" t="str">
        <f t="shared" si="198"/>
        <v/>
      </c>
      <c r="CT129" s="11" t="str">
        <f t="shared" si="232"/>
        <v/>
      </c>
      <c r="CU129" s="11" t="str">
        <f t="shared" si="200"/>
        <v/>
      </c>
      <c r="CV129" s="11" t="str">
        <f t="shared" si="201"/>
        <v/>
      </c>
      <c r="CW129" s="2"/>
      <c r="CX129" s="1"/>
      <c r="CY129" s="145" t="str">
        <f t="shared" si="202"/>
        <v/>
      </c>
      <c r="CZ129" s="32" t="str">
        <f t="shared" si="203"/>
        <v/>
      </c>
    </row>
    <row r="130" spans="1:104" ht="12.75" customHeight="1">
      <c r="A130" s="1">
        <v>3553210</v>
      </c>
      <c r="B130" s="1">
        <f t="shared" si="204"/>
        <v>77</v>
      </c>
      <c r="C130" s="1">
        <v>99</v>
      </c>
      <c r="D130" s="1">
        <f>VLOOKUP(C130,'2022 counts'!$A$6:$B$304,2,FALSE)</f>
        <v>77</v>
      </c>
      <c r="E130" s="1"/>
      <c r="F130" s="2" t="s">
        <v>593</v>
      </c>
      <c r="G130" s="156">
        <v>55</v>
      </c>
      <c r="H130" s="11">
        <v>1.82151044847</v>
      </c>
      <c r="I130" s="10" t="s">
        <v>728</v>
      </c>
      <c r="J130" s="10" t="s">
        <v>708</v>
      </c>
      <c r="K130" s="10" t="s">
        <v>748</v>
      </c>
      <c r="L130" s="157">
        <v>2</v>
      </c>
      <c r="M130" s="1">
        <f>'State of the System - Sumter Co'!K130</f>
        <v>2</v>
      </c>
      <c r="N130" s="1" t="str">
        <f>IF('State of the System - Sumter Co'!L130="URBAN","U","R")</f>
        <v>R</v>
      </c>
      <c r="O130" s="1" t="str">
        <f>IF('State of the System - Sumter Co'!M130="UNDIVIDED","U",IF('State of the System - Sumter Co'!M130="DIVIDED","D","F"))</f>
        <v>U</v>
      </c>
      <c r="P130" s="1" t="str">
        <f>'State of the System - Sumter Co'!N130</f>
        <v>UNINTERRUPTED</v>
      </c>
      <c r="Q130" s="1" t="str">
        <f t="shared" si="156"/>
        <v>y</v>
      </c>
      <c r="R130" s="1" t="str">
        <f>'State of the System - Sumter Co'!O130</f>
        <v>DEVELOPED</v>
      </c>
      <c r="S130" s="1" t="str">
        <f t="shared" si="221"/>
        <v/>
      </c>
      <c r="T130" s="1" t="str">
        <f t="shared" si="158"/>
        <v>R-2Uy</v>
      </c>
      <c r="U130" s="1" t="str">
        <f t="shared" si="225"/>
        <v>R-2Uy</v>
      </c>
      <c r="V130" s="1" t="s">
        <v>10</v>
      </c>
      <c r="W130" s="1" t="s">
        <v>65</v>
      </c>
      <c r="X130" s="1" t="s">
        <v>21</v>
      </c>
      <c r="Y130" s="1" t="str">
        <f>'State of the System - Sumter Co'!R130</f>
        <v>D</v>
      </c>
      <c r="Z130" s="157" t="str">
        <f t="shared" si="159"/>
        <v>Other CMP Network Roadways</v>
      </c>
      <c r="AA130" s="15">
        <f>VLOOKUP($T130,'2020_CapacityTable'!$B$49:$F$71,2)</f>
        <v>10300</v>
      </c>
      <c r="AB130" s="15">
        <f>VLOOKUP($T130,'2020_CapacityTable'!$B$49:$F$71,3)</f>
        <v>15700</v>
      </c>
      <c r="AC130" s="15">
        <f>VLOOKUP($T130,'2020_CapacityTable'!$B$49:$F$71,4)</f>
        <v>21300</v>
      </c>
      <c r="AD130" s="15">
        <f>VLOOKUP($T130,'2020_CapacityTable'!$B$49:$F$71,5)</f>
        <v>28500</v>
      </c>
      <c r="AE130" s="35"/>
      <c r="AF130" s="36" t="str">
        <f t="shared" si="160"/>
        <v/>
      </c>
      <c r="AG130" s="35" t="str">
        <f t="shared" si="233"/>
        <v/>
      </c>
      <c r="AH130" s="35" t="str">
        <f t="shared" si="224"/>
        <v/>
      </c>
      <c r="AI130" s="35"/>
      <c r="AJ130" s="36"/>
      <c r="AK130" s="15">
        <f t="shared" si="161"/>
        <v>10300</v>
      </c>
      <c r="AL130" s="15">
        <f t="shared" si="162"/>
        <v>15700</v>
      </c>
      <c r="AM130" s="15">
        <f t="shared" si="163"/>
        <v>21300</v>
      </c>
      <c r="AN130" s="15">
        <f t="shared" si="164"/>
        <v>28500</v>
      </c>
      <c r="AO130" s="3">
        <f t="shared" si="226"/>
        <v>21300</v>
      </c>
      <c r="AP130" s="138">
        <f>VLOOKUP($B130,'2022 counts'!$B$6:$R$304,17,FALSE)</f>
        <v>8608</v>
      </c>
      <c r="AQ130" s="11">
        <f t="shared" si="165"/>
        <v>0.4</v>
      </c>
      <c r="AR130" s="2" t="str">
        <f t="shared" si="166"/>
        <v>B</v>
      </c>
      <c r="AS130" s="26">
        <f t="shared" si="167"/>
        <v>5.72</v>
      </c>
      <c r="AT130" s="15">
        <f>VLOOKUP($T130,'2020_CapacityTable'!$B$23:$F$45,2)</f>
        <v>540</v>
      </c>
      <c r="AU130" s="15">
        <f>VLOOKUP($T130,'2020_CapacityTable'!$B$23:$F$45,3)</f>
        <v>820</v>
      </c>
      <c r="AV130" s="15">
        <f>VLOOKUP($T130,'2020_CapacityTable'!$B$23:$F$45,4)</f>
        <v>1110</v>
      </c>
      <c r="AW130" s="15">
        <f>VLOOKUP($T130,'2020_CapacityTable'!$B$23:$F$45,5)</f>
        <v>1490</v>
      </c>
      <c r="AX130" s="15">
        <f t="shared" si="168"/>
        <v>540</v>
      </c>
      <c r="AY130" s="15">
        <f t="shared" si="169"/>
        <v>820</v>
      </c>
      <c r="AZ130" s="15">
        <f t="shared" si="170"/>
        <v>1110</v>
      </c>
      <c r="BA130" s="15">
        <f t="shared" si="171"/>
        <v>1490</v>
      </c>
      <c r="BB130" s="3">
        <f t="shared" si="227"/>
        <v>1110</v>
      </c>
      <c r="BC130" s="138">
        <f>VLOOKUP($B130,'2022 counts'!$B$6:$AD$304,28,FALSE)</f>
        <v>350</v>
      </c>
      <c r="BD130" s="138">
        <f>VLOOKUP($B130,'2022 counts'!$B$6:$AD$304,29,FALSE)</f>
        <v>381</v>
      </c>
      <c r="BE130" s="11">
        <f t="shared" si="173"/>
        <v>0.34</v>
      </c>
      <c r="BF130" s="2" t="str">
        <f t="shared" si="174"/>
        <v>B</v>
      </c>
      <c r="BG130" s="135">
        <v>4.2500000000000003E-2</v>
      </c>
      <c r="BH130" s="135">
        <f>IF($AQ130="","",VLOOKUP($B130, '2022 counts'!$B$6:$T$304,19,FALSE))</f>
        <v>4.2500000000000003E-2</v>
      </c>
      <c r="BI130" s="38">
        <f t="shared" si="175"/>
        <v>4.2500000000000003E-2</v>
      </c>
      <c r="BJ130" s="39" t="str">
        <f t="shared" si="176"/>
        <v/>
      </c>
      <c r="BK130" s="15">
        <f>VLOOKUP($U130,'2020_CapacityTable'!$B$49:$F$71,2)</f>
        <v>10300</v>
      </c>
      <c r="BL130" s="15">
        <f>VLOOKUP($U130,'2020_CapacityTable'!$B$49:$F$71,3)</f>
        <v>15700</v>
      </c>
      <c r="BM130" s="15">
        <f>VLOOKUP($T130,'2020_CapacityTable'!$B$49:$F$71,4)</f>
        <v>21300</v>
      </c>
      <c r="BN130" s="15">
        <f>VLOOKUP($T130,'2020_CapacityTable'!$B$49:$F$71,5)</f>
        <v>28500</v>
      </c>
      <c r="BO130" s="15">
        <f t="shared" si="177"/>
        <v>10300</v>
      </c>
      <c r="BP130" s="15">
        <f t="shared" si="178"/>
        <v>15700</v>
      </c>
      <c r="BQ130" s="15">
        <f t="shared" si="179"/>
        <v>21300</v>
      </c>
      <c r="BR130" s="15">
        <f t="shared" si="180"/>
        <v>28500</v>
      </c>
      <c r="BS130" s="3">
        <f t="shared" si="228"/>
        <v>21300</v>
      </c>
      <c r="BT130" s="40">
        <f>'State of the System - Sumter Co'!AD130</f>
        <v>10599</v>
      </c>
      <c r="BU130" s="41">
        <f t="shared" si="182"/>
        <v>0.5</v>
      </c>
      <c r="BV130" s="2" t="str">
        <f t="shared" si="183"/>
        <v>C</v>
      </c>
      <c r="BW130" s="2">
        <f t="shared" si="184"/>
        <v>7.05</v>
      </c>
      <c r="BX130" s="15">
        <f>VLOOKUP($U130,'2020_CapacityTable'!$B$23:$F$45,2)</f>
        <v>540</v>
      </c>
      <c r="BY130" s="15">
        <f>VLOOKUP($U130,'2020_CapacityTable'!$B$23:$F$45,3)</f>
        <v>820</v>
      </c>
      <c r="BZ130" s="15">
        <f>VLOOKUP($U130,'2020_CapacityTable'!$B$23:$F$45,4)</f>
        <v>1110</v>
      </c>
      <c r="CA130" s="15">
        <f>VLOOKUP($U130,'2020_CapacityTable'!$B$23:$F$45,5)</f>
        <v>1490</v>
      </c>
      <c r="CB130" s="15">
        <f t="shared" si="185"/>
        <v>540</v>
      </c>
      <c r="CC130" s="15">
        <f t="shared" si="186"/>
        <v>820</v>
      </c>
      <c r="CD130" s="15">
        <f t="shared" si="187"/>
        <v>1110</v>
      </c>
      <c r="CE130" s="15">
        <f t="shared" si="188"/>
        <v>1490</v>
      </c>
      <c r="CF130" s="3">
        <f t="shared" si="229"/>
        <v>1110</v>
      </c>
      <c r="CG130" s="2">
        <f>'State of the System - Sumter Co'!AH130</f>
        <v>431</v>
      </c>
      <c r="CH130" s="2">
        <f>'State of the System - Sumter Co'!AI130</f>
        <v>469</v>
      </c>
      <c r="CI130" s="11">
        <f t="shared" si="190"/>
        <v>0.42</v>
      </c>
      <c r="CJ130" s="2" t="str">
        <f t="shared" si="230"/>
        <v>B</v>
      </c>
      <c r="CK130" s="3">
        <f t="shared" si="192"/>
        <v>30780</v>
      </c>
      <c r="CL130" s="11">
        <f t="shared" si="193"/>
        <v>0.34</v>
      </c>
      <c r="CM130" s="11" t="str">
        <f t="shared" si="194"/>
        <v>NOT CONGESTED</v>
      </c>
      <c r="CN130" s="3">
        <f t="shared" si="195"/>
        <v>1609</v>
      </c>
      <c r="CO130" s="11">
        <f t="shared" si="196"/>
        <v>0.28999999999999998</v>
      </c>
      <c r="CP130" s="156" t="str">
        <f t="shared" si="231"/>
        <v>NOT CONGESTED</v>
      </c>
      <c r="CQ130" s="3"/>
      <c r="CR130" s="3"/>
      <c r="CS130" s="11" t="str">
        <f t="shared" si="198"/>
        <v/>
      </c>
      <c r="CT130" s="11" t="str">
        <f t="shared" si="232"/>
        <v/>
      </c>
      <c r="CU130" s="11" t="str">
        <f t="shared" si="200"/>
        <v/>
      </c>
      <c r="CV130" s="11" t="str">
        <f t="shared" si="201"/>
        <v/>
      </c>
      <c r="CW130" s="2"/>
      <c r="CX130" s="1"/>
      <c r="CY130" s="145" t="str">
        <f t="shared" si="202"/>
        <v/>
      </c>
      <c r="CZ130" s="32" t="str">
        <f t="shared" si="203"/>
        <v/>
      </c>
    </row>
    <row r="131" spans="1:104" ht="12.75" customHeight="1">
      <c r="A131" s="1">
        <v>3554120</v>
      </c>
      <c r="B131" s="1" t="str">
        <f t="shared" si="204"/>
        <v>180016: 180009</v>
      </c>
      <c r="C131" s="157">
        <v>412</v>
      </c>
      <c r="D131" s="1" t="str">
        <f>VLOOKUP(C131,'2022 counts'!$A$6:$B$304,2,FALSE)</f>
        <v>STATE</v>
      </c>
      <c r="E131" s="157" t="s">
        <v>149</v>
      </c>
      <c r="F131" s="2" t="s">
        <v>136</v>
      </c>
      <c r="G131" s="156">
        <v>40</v>
      </c>
      <c r="H131" s="11">
        <v>1.00317799884</v>
      </c>
      <c r="I131" s="10" t="s">
        <v>146</v>
      </c>
      <c r="J131" s="10" t="s">
        <v>147</v>
      </c>
      <c r="K131" s="10" t="s">
        <v>709</v>
      </c>
      <c r="L131" s="157">
        <v>4</v>
      </c>
      <c r="M131" s="1">
        <f>'State of the System - Sumter Co'!K131</f>
        <v>4</v>
      </c>
      <c r="N131" s="1" t="str">
        <f>IF('State of the System - Sumter Co'!L131="URBAN","U","R")</f>
        <v>R</v>
      </c>
      <c r="O131" s="1" t="str">
        <f>IF('State of the System - Sumter Co'!M131="UNDIVIDED","U",IF('State of the System - Sumter Co'!M131="DIVIDED","D","F"))</f>
        <v>D</v>
      </c>
      <c r="P131" s="1" t="str">
        <f>'State of the System - Sumter Co'!N131</f>
        <v>INTERRUPTED</v>
      </c>
      <c r="Q131" s="1" t="str">
        <f t="shared" si="156"/>
        <v/>
      </c>
      <c r="R131" s="1" t="str">
        <f>'State of the System - Sumter Co'!O131</f>
        <v/>
      </c>
      <c r="S131" s="1" t="str">
        <f t="shared" si="221"/>
        <v/>
      </c>
      <c r="T131" s="1" t="str">
        <f t="shared" si="158"/>
        <v>R-4D</v>
      </c>
      <c r="U131" s="1" t="str">
        <f t="shared" si="225"/>
        <v>R-4D</v>
      </c>
      <c r="V131" s="1" t="s">
        <v>137</v>
      </c>
      <c r="W131" s="1" t="s">
        <v>76</v>
      </c>
      <c r="X131" s="1" t="s">
        <v>138</v>
      </c>
      <c r="Y131" s="1" t="str">
        <f>'State of the System - Sumter Co'!R131</f>
        <v>D</v>
      </c>
      <c r="Z131" s="157" t="str">
        <f t="shared" si="159"/>
        <v>NHS Non-Interstate</v>
      </c>
      <c r="AA131" s="15">
        <f>VLOOKUP($T131,'2020_CapacityTable'!$B$49:$F$71,2)</f>
        <v>0</v>
      </c>
      <c r="AB131" s="15">
        <f>VLOOKUP($T131,'2020_CapacityTable'!$B$49:$F$71,3)</f>
        <v>29300</v>
      </c>
      <c r="AC131" s="15">
        <f>VLOOKUP($T131,'2020_CapacityTable'!$B$49:$F$71,4)</f>
        <v>30400</v>
      </c>
      <c r="AD131" s="15">
        <f>VLOOKUP($T131,'2020_CapacityTable'!$B$49:$F$71,5)</f>
        <v>30400</v>
      </c>
      <c r="AE131" s="35" t="str">
        <f>IF(V131&lt;&gt;"STATE",-10%,"")</f>
        <v/>
      </c>
      <c r="AF131" s="36" t="str">
        <f t="shared" si="160"/>
        <v/>
      </c>
      <c r="AG131" s="35" t="str">
        <f t="shared" si="233"/>
        <v/>
      </c>
      <c r="AH131" s="35" t="str">
        <f t="shared" si="224"/>
        <v/>
      </c>
      <c r="AI131" s="35"/>
      <c r="AJ131" s="36"/>
      <c r="AK131" s="15">
        <f t="shared" si="161"/>
        <v>0</v>
      </c>
      <c r="AL131" s="15">
        <f t="shared" si="162"/>
        <v>29300</v>
      </c>
      <c r="AM131" s="15">
        <f t="shared" si="163"/>
        <v>30400</v>
      </c>
      <c r="AN131" s="15">
        <f t="shared" si="164"/>
        <v>30400</v>
      </c>
      <c r="AO131" s="3">
        <f t="shared" si="226"/>
        <v>30400</v>
      </c>
      <c r="AP131" s="138">
        <f>VLOOKUP($B131,'2022 counts'!$B$6:$R$304,17,FALSE)</f>
        <v>12055</v>
      </c>
      <c r="AQ131" s="11">
        <f t="shared" si="165"/>
        <v>0.4</v>
      </c>
      <c r="AR131" s="2" t="str">
        <f t="shared" si="166"/>
        <v>C</v>
      </c>
      <c r="AS131" s="26">
        <f t="shared" si="167"/>
        <v>4.41</v>
      </c>
      <c r="AT131" s="15">
        <f>VLOOKUP($T131,'2020_CapacityTable'!$B$23:$F$45,2)</f>
        <v>0</v>
      </c>
      <c r="AU131" s="15">
        <f>VLOOKUP($T131,'2020_CapacityTable'!$B$23:$F$45,3)</f>
        <v>1530</v>
      </c>
      <c r="AV131" s="15">
        <f>VLOOKUP($T131,'2020_CapacityTable'!$B$23:$F$45,4)</f>
        <v>1580</v>
      </c>
      <c r="AW131" s="15">
        <f>VLOOKUP($T131,'2020_CapacityTable'!$B$23:$F$45,5)</f>
        <v>1580</v>
      </c>
      <c r="AX131" s="15">
        <f t="shared" si="168"/>
        <v>0</v>
      </c>
      <c r="AY131" s="15">
        <f t="shared" si="169"/>
        <v>1530</v>
      </c>
      <c r="AZ131" s="15">
        <f t="shared" si="170"/>
        <v>1580</v>
      </c>
      <c r="BA131" s="15">
        <f t="shared" si="171"/>
        <v>1580</v>
      </c>
      <c r="BB131" s="3">
        <f t="shared" si="227"/>
        <v>1580</v>
      </c>
      <c r="BC131" s="138">
        <f>VLOOKUP($B131,'2022 counts'!$B$6:$AD$304,28,FALSE)</f>
        <v>594</v>
      </c>
      <c r="BD131" s="138">
        <f>VLOOKUP($B131,'2022 counts'!$B$6:$AD$304,29,FALSE)</f>
        <v>527</v>
      </c>
      <c r="BE131" s="11">
        <f t="shared" si="173"/>
        <v>0.38</v>
      </c>
      <c r="BF131" s="2" t="str">
        <f t="shared" si="174"/>
        <v>C</v>
      </c>
      <c r="BG131" s="135">
        <v>1.7500000000000002E-2</v>
      </c>
      <c r="BH131" s="135">
        <f>IF($AQ131="","",VLOOKUP($B131, '2022 counts'!$B$6:$T$304,19,FALSE))</f>
        <v>1.7500000000000002E-2</v>
      </c>
      <c r="BI131" s="38">
        <f t="shared" si="175"/>
        <v>1.7500000000000002E-2</v>
      </c>
      <c r="BJ131" s="39" t="str">
        <f t="shared" si="176"/>
        <v/>
      </c>
      <c r="BK131" s="15">
        <f>VLOOKUP($U131,'2020_CapacityTable'!$B$49:$F$71,2)</f>
        <v>0</v>
      </c>
      <c r="BL131" s="15">
        <f>VLOOKUP($U131,'2020_CapacityTable'!$B$49:$F$71,3)</f>
        <v>29300</v>
      </c>
      <c r="BM131" s="15">
        <f>VLOOKUP($T131,'2020_CapacityTable'!$B$49:$F$71,4)</f>
        <v>30400</v>
      </c>
      <c r="BN131" s="15">
        <f>VLOOKUP($T131,'2020_CapacityTable'!$B$49:$F$71,5)</f>
        <v>30400</v>
      </c>
      <c r="BO131" s="15">
        <f t="shared" si="177"/>
        <v>0</v>
      </c>
      <c r="BP131" s="15">
        <f t="shared" si="178"/>
        <v>29300</v>
      </c>
      <c r="BQ131" s="15">
        <f t="shared" si="179"/>
        <v>30400</v>
      </c>
      <c r="BR131" s="15">
        <f t="shared" si="180"/>
        <v>30400</v>
      </c>
      <c r="BS131" s="3">
        <f t="shared" si="228"/>
        <v>30400</v>
      </c>
      <c r="BT131" s="40">
        <f>'State of the System - Sumter Co'!AD131</f>
        <v>13147</v>
      </c>
      <c r="BU131" s="41">
        <f t="shared" si="182"/>
        <v>0.43</v>
      </c>
      <c r="BV131" s="2" t="str">
        <f t="shared" si="183"/>
        <v>C</v>
      </c>
      <c r="BW131" s="2">
        <f t="shared" si="184"/>
        <v>4.8099999999999996</v>
      </c>
      <c r="BX131" s="15">
        <f>VLOOKUP($U131,'2020_CapacityTable'!$B$23:$F$45,2)</f>
        <v>0</v>
      </c>
      <c r="BY131" s="15">
        <f>VLOOKUP($U131,'2020_CapacityTable'!$B$23:$F$45,3)</f>
        <v>1530</v>
      </c>
      <c r="BZ131" s="15">
        <f>VLOOKUP($U131,'2020_CapacityTable'!$B$23:$F$45,4)</f>
        <v>1580</v>
      </c>
      <c r="CA131" s="15">
        <f>VLOOKUP($U131,'2020_CapacityTable'!$B$23:$F$45,5)</f>
        <v>1580</v>
      </c>
      <c r="CB131" s="15">
        <f t="shared" si="185"/>
        <v>0</v>
      </c>
      <c r="CC131" s="15">
        <f t="shared" si="186"/>
        <v>1530</v>
      </c>
      <c r="CD131" s="15">
        <f t="shared" si="187"/>
        <v>1580</v>
      </c>
      <c r="CE131" s="15">
        <f t="shared" si="188"/>
        <v>1580</v>
      </c>
      <c r="CF131" s="3">
        <f t="shared" si="229"/>
        <v>1580</v>
      </c>
      <c r="CG131" s="2">
        <f>'State of the System - Sumter Co'!AH131</f>
        <v>648</v>
      </c>
      <c r="CH131" s="2">
        <f>'State of the System - Sumter Co'!AI131</f>
        <v>575</v>
      </c>
      <c r="CI131" s="11">
        <f t="shared" si="190"/>
        <v>0.41</v>
      </c>
      <c r="CJ131" s="2" t="str">
        <f t="shared" si="230"/>
        <v>C</v>
      </c>
      <c r="CK131" s="3">
        <f t="shared" si="192"/>
        <v>32832</v>
      </c>
      <c r="CL131" s="11">
        <f t="shared" si="193"/>
        <v>0.4</v>
      </c>
      <c r="CM131" s="11" t="str">
        <f t="shared" si="194"/>
        <v>NOT CONGESTED</v>
      </c>
      <c r="CN131" s="3">
        <f t="shared" si="195"/>
        <v>1706</v>
      </c>
      <c r="CO131" s="11">
        <f t="shared" si="196"/>
        <v>0.38</v>
      </c>
      <c r="CP131" s="156" t="str">
        <f t="shared" si="231"/>
        <v>NOT CONGESTED</v>
      </c>
      <c r="CQ131" s="2"/>
      <c r="CR131" s="42"/>
      <c r="CS131" s="11" t="str">
        <f t="shared" si="198"/>
        <v/>
      </c>
      <c r="CT131" s="11" t="str">
        <f t="shared" si="232"/>
        <v/>
      </c>
      <c r="CU131" s="11" t="str">
        <f t="shared" si="200"/>
        <v/>
      </c>
      <c r="CV131" s="11" t="str">
        <f t="shared" si="201"/>
        <v/>
      </c>
      <c r="CW131" s="2" t="s">
        <v>586</v>
      </c>
      <c r="CX131" s="1"/>
      <c r="CY131" s="145" t="str">
        <f t="shared" si="202"/>
        <v/>
      </c>
      <c r="CZ131" s="32" t="str">
        <f t="shared" si="203"/>
        <v/>
      </c>
    </row>
    <row r="132" spans="1:104" ht="12.75" customHeight="1">
      <c r="A132" s="1">
        <v>3554130</v>
      </c>
      <c r="B132" s="1">
        <f t="shared" si="204"/>
        <v>174</v>
      </c>
      <c r="C132" s="1">
        <v>414</v>
      </c>
      <c r="D132" s="1">
        <f>VLOOKUP(C132,'2022 counts'!$A$6:$B$304,2,FALSE)</f>
        <v>174</v>
      </c>
      <c r="E132" s="1">
        <v>180009</v>
      </c>
      <c r="F132" s="2" t="s">
        <v>6</v>
      </c>
      <c r="G132" s="156">
        <v>40</v>
      </c>
      <c r="H132" s="11">
        <v>0.52366352488500001</v>
      </c>
      <c r="I132" s="10" t="s">
        <v>146</v>
      </c>
      <c r="J132" s="10" t="s">
        <v>709</v>
      </c>
      <c r="K132" s="10" t="s">
        <v>761</v>
      </c>
      <c r="L132" s="157">
        <v>4</v>
      </c>
      <c r="M132" s="1">
        <f>'State of the System - Sumter Co'!K132</f>
        <v>4</v>
      </c>
      <c r="N132" s="1" t="str">
        <f>IF('State of the System - Sumter Co'!L132="URBAN","U","R")</f>
        <v>R</v>
      </c>
      <c r="O132" s="1" t="str">
        <f>IF('State of the System - Sumter Co'!M132="UNDIVIDED","U",IF('State of the System - Sumter Co'!M132="DIVIDED","D","F"))</f>
        <v>D</v>
      </c>
      <c r="P132" s="1" t="str">
        <f>'State of the System - Sumter Co'!N132</f>
        <v>INTERRUPTED</v>
      </c>
      <c r="Q132" s="1" t="str">
        <f t="shared" ref="Q132:Q195" si="234">IF(AND(N132="R",O132="U",P132="interrupted"),"x",IF(AND(N132="R",R132="undeveloped"),"z",IF(AND(N132="R",R132="developed"),"y","")))</f>
        <v/>
      </c>
      <c r="R132" s="1" t="str">
        <f>'State of the System - Sumter Co'!O132</f>
        <v/>
      </c>
      <c r="S132" s="1" t="str">
        <f t="shared" ref="S132:S151" si="235">IF(N132="r","",IF(P132="interrupted",IF(G132&lt;37.5,"-2","-1"),"-x"))</f>
        <v/>
      </c>
      <c r="T132" s="1" t="str">
        <f t="shared" ref="T132:T195" si="236">CONCATENATE(N132,"-",L132,O132,S132,Q132)</f>
        <v>R-4D</v>
      </c>
      <c r="U132" s="1" t="str">
        <f t="shared" si="225"/>
        <v>R-4D</v>
      </c>
      <c r="V132" s="1" t="s">
        <v>137</v>
      </c>
      <c r="W132" s="1" t="s">
        <v>76</v>
      </c>
      <c r="X132" s="1" t="s">
        <v>138</v>
      </c>
      <c r="Y132" s="1" t="str">
        <f>'State of the System - Sumter Co'!R132</f>
        <v>D</v>
      </c>
      <c r="Z132" s="157" t="str">
        <f t="shared" ref="Z132:Z195" si="237">IF(AND(V132="STATE",X132="FREEWAY"),"NHS Interstate",IF(V132="STATE","NHS Non-Interstate","Other CMP Network Roadways"))</f>
        <v>NHS Non-Interstate</v>
      </c>
      <c r="AA132" s="15">
        <f>VLOOKUP($T132,'2020_CapacityTable'!$B$49:$F$71,2)</f>
        <v>0</v>
      </c>
      <c r="AB132" s="15">
        <f>VLOOKUP($T132,'2020_CapacityTable'!$B$49:$F$71,3)</f>
        <v>29300</v>
      </c>
      <c r="AC132" s="15">
        <f>VLOOKUP($T132,'2020_CapacityTable'!$B$49:$F$71,4)</f>
        <v>30400</v>
      </c>
      <c r="AD132" s="15">
        <f>VLOOKUP($T132,'2020_CapacityTable'!$B$49:$F$71,5)</f>
        <v>30400</v>
      </c>
      <c r="AE132" s="35" t="str">
        <f>IF(V132&lt;&gt;"STATE",-10%,"")</f>
        <v/>
      </c>
      <c r="AF132" s="36" t="str">
        <f t="shared" ref="AF132:AF195" si="238">IF($L132=2,IF($O132="D",5%,""),"")</f>
        <v/>
      </c>
      <c r="AG132" s="35" t="str">
        <f t="shared" si="233"/>
        <v/>
      </c>
      <c r="AH132" s="35" t="str">
        <f t="shared" si="224"/>
        <v/>
      </c>
      <c r="AI132" s="35"/>
      <c r="AJ132" s="36"/>
      <c r="AK132" s="15">
        <f t="shared" ref="AK132:AK195" si="239">ROUND(AA132*(1+SUM($AE132:$AJ132)),0)</f>
        <v>0</v>
      </c>
      <c r="AL132" s="15">
        <f t="shared" ref="AL132:AL195" si="240">ROUND(AB132*(1+SUM($AE132:$AJ132)),0)</f>
        <v>29300</v>
      </c>
      <c r="AM132" s="15">
        <f t="shared" ref="AM132:AM195" si="241">ROUND(AC132*(1+SUM($AE132:$AJ132)),0)</f>
        <v>30400</v>
      </c>
      <c r="AN132" s="15">
        <f t="shared" ref="AN132:AN195" si="242">ROUND(AD132*(1+SUM($AE132:$AJ132)),0)</f>
        <v>30400</v>
      </c>
      <c r="AO132" s="3">
        <f t="shared" si="226"/>
        <v>30400</v>
      </c>
      <c r="AP132" s="138">
        <f>VLOOKUP($B132,'2022 counts'!$B$6:$R$304,17,FALSE)</f>
        <v>13215</v>
      </c>
      <c r="AQ132" s="11">
        <f t="shared" ref="AQ132:AQ195" si="243">IF(AND(AP132="-"),"",ROUND(AP132/AO132,2))</f>
        <v>0.43</v>
      </c>
      <c r="AR132" s="2" t="str">
        <f t="shared" ref="AR132:AR195" si="244">IF(AQ132="","",IF(AP132&lt;=$AK132,"B",IF(AP132&lt;=$AL132,"C",IF(AP132&lt;=$AM132,"D",IF(AP132&lt;=$AN132,"E","F")))))</f>
        <v>C</v>
      </c>
      <c r="AS132" s="26">
        <f t="shared" ref="AS132:AS195" si="245">IF(AP132="-","",ROUND(AP132*H132*365/1000000,2))</f>
        <v>2.5299999999999998</v>
      </c>
      <c r="AT132" s="15">
        <f>VLOOKUP($T132,'2020_CapacityTable'!$B$23:$F$45,2)</f>
        <v>0</v>
      </c>
      <c r="AU132" s="15">
        <f>VLOOKUP($T132,'2020_CapacityTable'!$B$23:$F$45,3)</f>
        <v>1530</v>
      </c>
      <c r="AV132" s="15">
        <f>VLOOKUP($T132,'2020_CapacityTable'!$B$23:$F$45,4)</f>
        <v>1580</v>
      </c>
      <c r="AW132" s="15">
        <f>VLOOKUP($T132,'2020_CapacityTable'!$B$23:$F$45,5)</f>
        <v>1580</v>
      </c>
      <c r="AX132" s="15">
        <f t="shared" ref="AX132:AX195" si="246">ROUND(AT132*(1+SUM($AE132:$AJ132)),0)</f>
        <v>0</v>
      </c>
      <c r="AY132" s="15">
        <f t="shared" ref="AY132:AY195" si="247">ROUND(AU132*(1+SUM($AE132:$AJ132)),0)</f>
        <v>1530</v>
      </c>
      <c r="AZ132" s="15">
        <f t="shared" ref="AZ132:AZ195" si="248">ROUND(AV132*(1+SUM($AE132:$AJ132)),0)</f>
        <v>1580</v>
      </c>
      <c r="BA132" s="15">
        <f t="shared" ref="BA132:BA195" si="249">ROUND(AW132*(1+SUM($AE132:$AJ132)),0)</f>
        <v>1580</v>
      </c>
      <c r="BB132" s="3">
        <f t="shared" si="227"/>
        <v>1580</v>
      </c>
      <c r="BC132" s="138">
        <f>VLOOKUP($B132,'2022 counts'!$B$6:$AD$304,28,FALSE)</f>
        <v>578</v>
      </c>
      <c r="BD132" s="138">
        <f>VLOOKUP($B132,'2022 counts'!$B$6:$AD$304,29,FALSE)</f>
        <v>554</v>
      </c>
      <c r="BE132" s="11">
        <f t="shared" ref="BE132:BE195" si="250">IF(AND(BC132="-",BD132="-"),"",ROUND(MAX(BC132,BD132)/BB132,2))</f>
        <v>0.37</v>
      </c>
      <c r="BF132" s="2" t="str">
        <f t="shared" ref="BF132:BF195" si="251">IF(BE132="","",IF(MAX(BC132,BD132)&lt;=$AX132,"B",IF(MAX(BC132,BD132)&lt;=$AY132,"C",IF(MAX(BC132,BD132)&lt;=$AZ132,"D",IF(MAX(BC132,BD132)&lt;=$BA132,"E","F")))))</f>
        <v>C</v>
      </c>
      <c r="BG132" s="135">
        <v>1.7500000000000002E-2</v>
      </c>
      <c r="BH132" s="135">
        <f>IF($AQ132="","",VLOOKUP($B132, '2022 counts'!$B$6:$T$304,19,FALSE))</f>
        <v>0</v>
      </c>
      <c r="BI132" s="38">
        <f t="shared" ref="BI132:BI195" si="252">IF(BG132=BH132,IF(BG132&gt;0.01,BG132,0.01),IF(BH132&gt;0.01,BH132,0.01))</f>
        <v>0.01</v>
      </c>
      <c r="BJ132" s="39" t="str">
        <f t="shared" ref="BJ132:BJ195" si="253">IF(BG132=BI132,"",IF(AND(BH132&lt;0.01,BG132&gt;0.01),"minimum, (1)",IF(BH132=BI132,"(1)",IF(AND(BI132=0.01,BG132&lt;0.01),"minimum","HELP"))))</f>
        <v>minimum, (1)</v>
      </c>
      <c r="BK132" s="15">
        <f>VLOOKUP($U132,'2020_CapacityTable'!$B$49:$F$71,2)</f>
        <v>0</v>
      </c>
      <c r="BL132" s="15">
        <f>VLOOKUP($U132,'2020_CapacityTable'!$B$49:$F$71,3)</f>
        <v>29300</v>
      </c>
      <c r="BM132" s="15">
        <f>VLOOKUP($T132,'2020_CapacityTable'!$B$49:$F$71,4)</f>
        <v>30400</v>
      </c>
      <c r="BN132" s="15">
        <f>VLOOKUP($T132,'2020_CapacityTable'!$B$49:$F$71,5)</f>
        <v>30400</v>
      </c>
      <c r="BO132" s="15">
        <f t="shared" ref="BO132:BO195" si="254">ROUND(BK132*(1+SUM($AE132:$AJ132)),0)</f>
        <v>0</v>
      </c>
      <c r="BP132" s="15">
        <f t="shared" ref="BP132:BP195" si="255">ROUND(BL132*(1+SUM($AE132:$AJ132)),0)</f>
        <v>29300</v>
      </c>
      <c r="BQ132" s="15">
        <f t="shared" ref="BQ132:BQ195" si="256">ROUND(BM132*(1+SUM($AE132:$AJ132)),0)</f>
        <v>30400</v>
      </c>
      <c r="BR132" s="15">
        <f t="shared" ref="BR132:BR195" si="257">ROUND(BN132*(1+SUM($AE132:$AJ132)),0)</f>
        <v>30400</v>
      </c>
      <c r="BS132" s="3">
        <f t="shared" si="228"/>
        <v>30400</v>
      </c>
      <c r="BT132" s="40">
        <f>'State of the System - Sumter Co'!AD132</f>
        <v>13889</v>
      </c>
      <c r="BU132" s="41">
        <f t="shared" ref="BU132:BU195" si="258">IF(BT132="-","",ROUND(BT132/BS132,2))</f>
        <v>0.46</v>
      </c>
      <c r="BV132" s="2" t="str">
        <f t="shared" ref="BV132:BV195" si="259">IF(BU132="","",IF(BT132&lt;=$BO132,"B",IF(BT132&lt;=$BP132,"C",IF(BT132&lt;=$BQ132,"D",IF(BT132&lt;=$BR132,"E","F")))))</f>
        <v>C</v>
      </c>
      <c r="BW132" s="2">
        <f t="shared" ref="BW132:BW195" si="260">IF(BT132="-","",ROUND(BT132*H132*365/1000000,2))</f>
        <v>2.65</v>
      </c>
      <c r="BX132" s="15">
        <f>VLOOKUP($U132,'2020_CapacityTable'!$B$23:$F$45,2)</f>
        <v>0</v>
      </c>
      <c r="BY132" s="15">
        <f>VLOOKUP($U132,'2020_CapacityTable'!$B$23:$F$45,3)</f>
        <v>1530</v>
      </c>
      <c r="BZ132" s="15">
        <f>VLOOKUP($U132,'2020_CapacityTable'!$B$23:$F$45,4)</f>
        <v>1580</v>
      </c>
      <c r="CA132" s="15">
        <f>VLOOKUP($U132,'2020_CapacityTable'!$B$23:$F$45,5)</f>
        <v>1580</v>
      </c>
      <c r="CB132" s="15">
        <f t="shared" ref="CB132:CB195" si="261">ROUND(BX132*(1+SUM($AE132:$AJ132)),0)</f>
        <v>0</v>
      </c>
      <c r="CC132" s="15">
        <f t="shared" ref="CC132:CC195" si="262">ROUND(BY132*(1+SUM($AE132:$AJ132)),0)</f>
        <v>1530</v>
      </c>
      <c r="CD132" s="15">
        <f t="shared" ref="CD132:CD195" si="263">ROUND(BZ132*(1+SUM($AE132:$AJ132)),0)</f>
        <v>1580</v>
      </c>
      <c r="CE132" s="15">
        <f t="shared" ref="CE132:CE195" si="264">ROUND(CA132*(1+SUM($AE132:$AJ132)),0)</f>
        <v>1580</v>
      </c>
      <c r="CF132" s="3">
        <f t="shared" si="229"/>
        <v>1580</v>
      </c>
      <c r="CG132" s="2">
        <f>'State of the System - Sumter Co'!AH132</f>
        <v>607</v>
      </c>
      <c r="CH132" s="2">
        <f>'State of the System - Sumter Co'!AI132</f>
        <v>582</v>
      </c>
      <c r="CI132" s="11">
        <f t="shared" ref="CI132:CI195" si="265">IF(AND(CG132="",CH132=""),"",ROUND(MAX(CG132,CH132)/CF132,2))</f>
        <v>0.38</v>
      </c>
      <c r="CJ132" s="2" t="str">
        <f t="shared" si="230"/>
        <v>C</v>
      </c>
      <c r="CK132" s="3">
        <f t="shared" ref="CK132:CK195" si="266">ROUND(1.08*AN132,0)</f>
        <v>32832</v>
      </c>
      <c r="CL132" s="11">
        <f t="shared" ref="CL132:CL195" si="267">IF(BT132="-","",ROUND(BT132/CK132,2))</f>
        <v>0.42</v>
      </c>
      <c r="CM132" s="11" t="str">
        <f t="shared" ref="CM132:CM195" si="268">IF(CL132="","",IF(AP132&gt;CK132,"EXTREMELY (2020)",IF(CL132&gt;1,"EXTREMELY (2025)",IF(AQ132&gt;1,"CONGESTED (2020)",IF(BU132&gt;1,"CONGESTED (2025)",IF(OR(AQ132&gt;=0.9,BU132&gt;=0.9),"APPROACHING CONGESTION","NOT CONGESTED"))))))</f>
        <v>NOT CONGESTED</v>
      </c>
      <c r="CN132" s="3">
        <f t="shared" ref="CN132:CN195" si="269">ROUND(1.08*BA132,0)</f>
        <v>1706</v>
      </c>
      <c r="CO132" s="11">
        <f t="shared" ref="CO132:CO195" si="270">IF(OR(AND(CG132="-",CH132="-"),AND(CG132="",CH132="")),"",ROUND(MAX(CG132,CH132)/CN132,2))</f>
        <v>0.36</v>
      </c>
      <c r="CP132" s="156" t="str">
        <f t="shared" si="231"/>
        <v>NOT CONGESTED</v>
      </c>
      <c r="CQ132" s="2"/>
      <c r="CR132" s="42"/>
      <c r="CS132" s="11" t="str">
        <f t="shared" ref="CS132:CS195" si="271">IF(OR(AP132="",AR132="",AQ132&lt;1),"",ROUND(H132,2))</f>
        <v/>
      </c>
      <c r="CT132" s="11" t="str">
        <f t="shared" si="232"/>
        <v/>
      </c>
      <c r="CU132" s="11" t="str">
        <f t="shared" ref="CU132:CU195" si="272">IF(OR(AP132="",AR132="",AP132&lt;$CK132),"",ROUND($H132,2))</f>
        <v/>
      </c>
      <c r="CV132" s="11" t="str">
        <f t="shared" ref="CV132:CV195" si="273">IF(OR(AQ132="",AS132="",BT132&lt;$CK132),"",ROUND($H132,2))</f>
        <v/>
      </c>
      <c r="CW132" s="2" t="s">
        <v>586</v>
      </c>
      <c r="CX132" s="1"/>
      <c r="CY132" s="145" t="str">
        <f t="shared" ref="CY132:CY195" si="274">IF(OR(AP132="",AR132="",AQ132&lt;1),"",ROUND($H132*AP132*365/1000000,2))</f>
        <v/>
      </c>
      <c r="CZ132" s="32" t="str">
        <f t="shared" ref="CZ132:CZ195" si="275">IF(OR(BT132="",BV132="",BU132&lt;1),"",ROUND(BT132*$H132*365/1000000,2))</f>
        <v/>
      </c>
    </row>
    <row r="133" spans="1:104" ht="12.75" customHeight="1">
      <c r="A133" s="1">
        <v>3554140</v>
      </c>
      <c r="B133" s="1">
        <f t="shared" ref="B133:B196" si="276">IF($D133="STATE",E133,D133)</f>
        <v>175</v>
      </c>
      <c r="C133" s="1">
        <v>416</v>
      </c>
      <c r="D133" s="1">
        <f>VLOOKUP(C133,'2022 counts'!$A$6:$B$304,2,FALSE)</f>
        <v>175</v>
      </c>
      <c r="E133" s="1">
        <v>180207</v>
      </c>
      <c r="F133" s="2" t="s">
        <v>136</v>
      </c>
      <c r="G133" s="156">
        <v>40</v>
      </c>
      <c r="H133" s="11">
        <v>0.25401787222400002</v>
      </c>
      <c r="I133" s="10" t="s">
        <v>696</v>
      </c>
      <c r="J133" s="10" t="s">
        <v>40</v>
      </c>
      <c r="K133" s="10" t="s">
        <v>151</v>
      </c>
      <c r="L133" s="157">
        <v>4</v>
      </c>
      <c r="M133" s="1">
        <f>'State of the System - Sumter Co'!K133</f>
        <v>4</v>
      </c>
      <c r="N133" s="1" t="str">
        <f>IF('State of the System - Sumter Co'!L133="URBAN","U","R")</f>
        <v>U</v>
      </c>
      <c r="O133" s="1" t="str">
        <f>IF('State of the System - Sumter Co'!M133="UNDIVIDED","U",IF('State of the System - Sumter Co'!M133="DIVIDED","D","F"))</f>
        <v>U</v>
      </c>
      <c r="P133" s="1" t="str">
        <f>'State of the System - Sumter Co'!N133</f>
        <v>INTERRUPTED</v>
      </c>
      <c r="Q133" s="1" t="str">
        <f t="shared" si="234"/>
        <v/>
      </c>
      <c r="R133" s="1" t="str">
        <f>'State of the System - Sumter Co'!O133</f>
        <v/>
      </c>
      <c r="S133" s="1" t="str">
        <f t="shared" si="235"/>
        <v>-1</v>
      </c>
      <c r="T133" s="1" t="str">
        <f t="shared" si="236"/>
        <v>U-4U-1</v>
      </c>
      <c r="U133" s="1" t="str">
        <f t="shared" si="225"/>
        <v>U-4U-1</v>
      </c>
      <c r="V133" s="1" t="s">
        <v>137</v>
      </c>
      <c r="W133" s="1" t="s">
        <v>76</v>
      </c>
      <c r="X133" s="1" t="s">
        <v>12</v>
      </c>
      <c r="Y133" s="1" t="str">
        <f>'State of the System - Sumter Co'!R133</f>
        <v>D</v>
      </c>
      <c r="Z133" s="157" t="str">
        <f t="shared" si="237"/>
        <v>NHS Non-Interstate</v>
      </c>
      <c r="AA133" s="15">
        <f>VLOOKUP($T133,'2020_CapacityTable'!$B$49:$F$71,2)</f>
        <v>0</v>
      </c>
      <c r="AB133" s="15">
        <f>VLOOKUP($T133,'2020_CapacityTable'!$B$49:$F$71,3)</f>
        <v>37900</v>
      </c>
      <c r="AC133" s="15">
        <f>VLOOKUP($T133,'2020_CapacityTable'!$B$49:$F$71,4)</f>
        <v>39800</v>
      </c>
      <c r="AD133" s="15">
        <f>VLOOKUP($T133,'2020_CapacityTable'!$B$49:$F$71,5)</f>
        <v>39800</v>
      </c>
      <c r="AE133" s="35" t="str">
        <f>IF(V133&lt;&gt;"STATE",-10%,"")</f>
        <v/>
      </c>
      <c r="AF133" s="36" t="str">
        <f t="shared" si="238"/>
        <v/>
      </c>
      <c r="AG133" s="35" t="str">
        <f t="shared" si="233"/>
        <v/>
      </c>
      <c r="AH133" s="35" t="str">
        <f t="shared" si="224"/>
        <v>LOOK</v>
      </c>
      <c r="AI133" s="35"/>
      <c r="AJ133" s="36"/>
      <c r="AK133" s="15">
        <f t="shared" si="239"/>
        <v>0</v>
      </c>
      <c r="AL133" s="15">
        <f t="shared" si="240"/>
        <v>37900</v>
      </c>
      <c r="AM133" s="15">
        <f t="shared" si="241"/>
        <v>39800</v>
      </c>
      <c r="AN133" s="15">
        <f t="shared" si="242"/>
        <v>39800</v>
      </c>
      <c r="AO133" s="3">
        <f t="shared" si="226"/>
        <v>39800</v>
      </c>
      <c r="AP133" s="138">
        <f>VLOOKUP($B133,'2022 counts'!$B$6:$R$304,17,FALSE)</f>
        <v>12551</v>
      </c>
      <c r="AQ133" s="11">
        <f t="shared" si="243"/>
        <v>0.32</v>
      </c>
      <c r="AR133" s="2" t="str">
        <f t="shared" si="244"/>
        <v>C</v>
      </c>
      <c r="AS133" s="26">
        <f t="shared" si="245"/>
        <v>1.1599999999999999</v>
      </c>
      <c r="AT133" s="15">
        <f>VLOOKUP($T133,'2020_CapacityTable'!$B$23:$F$45,2)</f>
        <v>0</v>
      </c>
      <c r="AU133" s="15">
        <f>VLOOKUP($T133,'2020_CapacityTable'!$B$23:$F$45,3)</f>
        <v>1910</v>
      </c>
      <c r="AV133" s="15">
        <f>VLOOKUP($T133,'2020_CapacityTable'!$B$23:$F$45,4)</f>
        <v>2000</v>
      </c>
      <c r="AW133" s="15">
        <f>VLOOKUP($T133,'2020_CapacityTable'!$B$23:$F$45,5)</f>
        <v>2000</v>
      </c>
      <c r="AX133" s="15">
        <f t="shared" si="246"/>
        <v>0</v>
      </c>
      <c r="AY133" s="15">
        <f t="shared" si="247"/>
        <v>1910</v>
      </c>
      <c r="AZ133" s="15">
        <f t="shared" si="248"/>
        <v>2000</v>
      </c>
      <c r="BA133" s="15">
        <f t="shared" si="249"/>
        <v>2000</v>
      </c>
      <c r="BB133" s="3">
        <f t="shared" si="227"/>
        <v>2000</v>
      </c>
      <c r="BC133" s="138">
        <f>VLOOKUP($B133,'2022 counts'!$B$6:$AD$304,28,FALSE)</f>
        <v>450</v>
      </c>
      <c r="BD133" s="138">
        <f>VLOOKUP($B133,'2022 counts'!$B$6:$AD$304,29,FALSE)</f>
        <v>627</v>
      </c>
      <c r="BE133" s="11">
        <f t="shared" si="250"/>
        <v>0.31</v>
      </c>
      <c r="BF133" s="2" t="str">
        <f t="shared" si="251"/>
        <v>C</v>
      </c>
      <c r="BG133" s="135">
        <v>5.7500000000000002E-2</v>
      </c>
      <c r="BH133" s="135">
        <f>IF($AQ133="","",VLOOKUP($B133, '2022 counts'!$B$6:$T$304,19,FALSE))</f>
        <v>5.7500000000000002E-2</v>
      </c>
      <c r="BI133" s="38">
        <f t="shared" si="252"/>
        <v>5.7500000000000002E-2</v>
      </c>
      <c r="BJ133" s="39" t="str">
        <f t="shared" si="253"/>
        <v/>
      </c>
      <c r="BK133" s="15">
        <f>VLOOKUP($U133,'2020_CapacityTable'!$B$49:$F$71,2)</f>
        <v>0</v>
      </c>
      <c r="BL133" s="15">
        <f>VLOOKUP($U133,'2020_CapacityTable'!$B$49:$F$71,3)</f>
        <v>37900</v>
      </c>
      <c r="BM133" s="15">
        <f>VLOOKUP($T133,'2020_CapacityTable'!$B$49:$F$71,4)</f>
        <v>39800</v>
      </c>
      <c r="BN133" s="15">
        <f>VLOOKUP($T133,'2020_CapacityTable'!$B$49:$F$71,5)</f>
        <v>39800</v>
      </c>
      <c r="BO133" s="15">
        <f t="shared" si="254"/>
        <v>0</v>
      </c>
      <c r="BP133" s="15">
        <f t="shared" si="255"/>
        <v>37900</v>
      </c>
      <c r="BQ133" s="15">
        <f t="shared" si="256"/>
        <v>39800</v>
      </c>
      <c r="BR133" s="15">
        <f t="shared" si="257"/>
        <v>39800</v>
      </c>
      <c r="BS133" s="3">
        <f t="shared" si="228"/>
        <v>39800</v>
      </c>
      <c r="BT133" s="40">
        <f>'State of the System - Sumter Co'!AD133</f>
        <v>16599</v>
      </c>
      <c r="BU133" s="41">
        <f t="shared" si="258"/>
        <v>0.42</v>
      </c>
      <c r="BV133" s="2" t="str">
        <f t="shared" si="259"/>
        <v>C</v>
      </c>
      <c r="BW133" s="2">
        <f t="shared" si="260"/>
        <v>1.54</v>
      </c>
      <c r="BX133" s="15">
        <f>VLOOKUP($U133,'2020_CapacityTable'!$B$23:$F$45,2)</f>
        <v>0</v>
      </c>
      <c r="BY133" s="15">
        <f>VLOOKUP($U133,'2020_CapacityTable'!$B$23:$F$45,3)</f>
        <v>1910</v>
      </c>
      <c r="BZ133" s="15">
        <f>VLOOKUP($U133,'2020_CapacityTable'!$B$23:$F$45,4)</f>
        <v>2000</v>
      </c>
      <c r="CA133" s="15">
        <f>VLOOKUP($U133,'2020_CapacityTable'!$B$23:$F$45,5)</f>
        <v>2000</v>
      </c>
      <c r="CB133" s="15">
        <f t="shared" si="261"/>
        <v>0</v>
      </c>
      <c r="CC133" s="15">
        <f t="shared" si="262"/>
        <v>1910</v>
      </c>
      <c r="CD133" s="15">
        <f t="shared" si="263"/>
        <v>2000</v>
      </c>
      <c r="CE133" s="15">
        <f t="shared" si="264"/>
        <v>2000</v>
      </c>
      <c r="CF133" s="3">
        <f t="shared" si="229"/>
        <v>2000</v>
      </c>
      <c r="CG133" s="2">
        <f>'State of the System - Sumter Co'!AH133</f>
        <v>595</v>
      </c>
      <c r="CH133" s="2">
        <f>'State of the System - Sumter Co'!AI133</f>
        <v>829</v>
      </c>
      <c r="CI133" s="11">
        <f t="shared" si="265"/>
        <v>0.41</v>
      </c>
      <c r="CJ133" s="2" t="str">
        <f t="shared" si="230"/>
        <v>C</v>
      </c>
      <c r="CK133" s="3">
        <f t="shared" si="266"/>
        <v>42984</v>
      </c>
      <c r="CL133" s="11">
        <f t="shared" si="267"/>
        <v>0.39</v>
      </c>
      <c r="CM133" s="11" t="str">
        <f t="shared" si="268"/>
        <v>NOT CONGESTED</v>
      </c>
      <c r="CN133" s="3">
        <f t="shared" si="269"/>
        <v>2160</v>
      </c>
      <c r="CO133" s="11">
        <f t="shared" si="270"/>
        <v>0.38</v>
      </c>
      <c r="CP133" s="156" t="str">
        <f t="shared" si="231"/>
        <v>NOT CONGESTED</v>
      </c>
      <c r="CQ133" s="3"/>
      <c r="CR133" s="3"/>
      <c r="CS133" s="11" t="str">
        <f t="shared" si="271"/>
        <v/>
      </c>
      <c r="CT133" s="11" t="str">
        <f t="shared" si="232"/>
        <v/>
      </c>
      <c r="CU133" s="11" t="str">
        <f t="shared" si="272"/>
        <v/>
      </c>
      <c r="CV133" s="11" t="str">
        <f t="shared" si="273"/>
        <v/>
      </c>
      <c r="CW133" s="2" t="s">
        <v>586</v>
      </c>
      <c r="CX133" s="1"/>
      <c r="CY133" s="145" t="str">
        <f t="shared" si="274"/>
        <v/>
      </c>
      <c r="CZ133" s="32" t="str">
        <f t="shared" si="275"/>
        <v/>
      </c>
    </row>
    <row r="134" spans="1:104" ht="12.75" customHeight="1">
      <c r="A134" s="1">
        <v>3555100</v>
      </c>
      <c r="B134" s="1">
        <f t="shared" si="276"/>
        <v>80</v>
      </c>
      <c r="C134" s="1">
        <v>102</v>
      </c>
      <c r="D134" s="1">
        <f>VLOOKUP(C134,'2022 counts'!$A$6:$B$304,2,FALSE)</f>
        <v>80</v>
      </c>
      <c r="E134" s="1"/>
      <c r="F134" s="2" t="s">
        <v>6</v>
      </c>
      <c r="G134" s="156">
        <v>45</v>
      </c>
      <c r="H134" s="11">
        <v>0.53913827369199996</v>
      </c>
      <c r="I134" s="10" t="s">
        <v>743</v>
      </c>
      <c r="J134" s="10" t="s">
        <v>97</v>
      </c>
      <c r="K134" s="10" t="s">
        <v>735</v>
      </c>
      <c r="L134" s="157">
        <v>2</v>
      </c>
      <c r="M134" s="1">
        <f>'State of the System - Sumter Co'!K134</f>
        <v>2</v>
      </c>
      <c r="N134" s="1" t="str">
        <f>IF('State of the System - Sumter Co'!L134="URBAN","U","R")</f>
        <v>R</v>
      </c>
      <c r="O134" s="1" t="str">
        <f>IF('State of the System - Sumter Co'!M134="UNDIVIDED","U",IF('State of the System - Sumter Co'!M134="DIVIDED","D","F"))</f>
        <v>U</v>
      </c>
      <c r="P134" s="1" t="str">
        <f>'State of the System - Sumter Co'!N134</f>
        <v>UNINTERRUPTED</v>
      </c>
      <c r="Q134" s="1" t="str">
        <f t="shared" si="234"/>
        <v>z</v>
      </c>
      <c r="R134" s="1" t="str">
        <f>'State of the System - Sumter Co'!O134</f>
        <v>UNDEVELOPED</v>
      </c>
      <c r="S134" s="1" t="str">
        <f t="shared" si="235"/>
        <v/>
      </c>
      <c r="T134" s="1" t="str">
        <f t="shared" si="236"/>
        <v>R-2Uz</v>
      </c>
      <c r="U134" s="1" t="str">
        <f t="shared" si="225"/>
        <v>R-2Uz</v>
      </c>
      <c r="V134" s="1" t="s">
        <v>10</v>
      </c>
      <c r="W134" s="1" t="s">
        <v>11</v>
      </c>
      <c r="X134" s="1" t="s">
        <v>21</v>
      </c>
      <c r="Y134" s="1" t="str">
        <f>'State of the System - Sumter Co'!R134</f>
        <v>C</v>
      </c>
      <c r="Z134" s="157" t="str">
        <f t="shared" si="237"/>
        <v>Other CMP Network Roadways</v>
      </c>
      <c r="AA134" s="15">
        <f>VLOOKUP($T134,'2020_CapacityTable'!$B$49:$F$71,2)</f>
        <v>4600</v>
      </c>
      <c r="AB134" s="15">
        <f>VLOOKUP($T134,'2020_CapacityTable'!$B$49:$F$71,3)</f>
        <v>8600</v>
      </c>
      <c r="AC134" s="15">
        <f>VLOOKUP($T134,'2020_CapacityTable'!$B$49:$F$71,4)</f>
        <v>14000</v>
      </c>
      <c r="AD134" s="15">
        <f>VLOOKUP($T134,'2020_CapacityTable'!$B$49:$F$71,5)</f>
        <v>28500</v>
      </c>
      <c r="AE134" s="35"/>
      <c r="AF134" s="36" t="str">
        <f t="shared" si="238"/>
        <v/>
      </c>
      <c r="AG134" s="35" t="str">
        <f t="shared" si="233"/>
        <v/>
      </c>
      <c r="AH134" s="35" t="str">
        <f t="shared" si="224"/>
        <v/>
      </c>
      <c r="AI134" s="35"/>
      <c r="AJ134" s="36"/>
      <c r="AK134" s="15">
        <f t="shared" si="239"/>
        <v>4600</v>
      </c>
      <c r="AL134" s="15">
        <f t="shared" si="240"/>
        <v>8600</v>
      </c>
      <c r="AM134" s="15">
        <f t="shared" si="241"/>
        <v>14000</v>
      </c>
      <c r="AN134" s="15">
        <f t="shared" si="242"/>
        <v>28500</v>
      </c>
      <c r="AO134" s="3">
        <f t="shared" si="226"/>
        <v>8600</v>
      </c>
      <c r="AP134" s="138">
        <f>VLOOKUP($B134,'2022 counts'!$B$6:$R$304,17,FALSE)</f>
        <v>4814</v>
      </c>
      <c r="AQ134" s="11">
        <f t="shared" si="243"/>
        <v>0.56000000000000005</v>
      </c>
      <c r="AR134" s="2" t="str">
        <f t="shared" si="244"/>
        <v>C</v>
      </c>
      <c r="AS134" s="26">
        <f t="shared" si="245"/>
        <v>0.95</v>
      </c>
      <c r="AT134" s="15">
        <f>VLOOKUP($T134,'2020_CapacityTable'!$B$23:$F$45,2)</f>
        <v>240</v>
      </c>
      <c r="AU134" s="15">
        <f>VLOOKUP($T134,'2020_CapacityTable'!$B$23:$F$45,3)</f>
        <v>450</v>
      </c>
      <c r="AV134" s="15">
        <f>VLOOKUP($T134,'2020_CapacityTable'!$B$23:$F$45,4)</f>
        <v>730</v>
      </c>
      <c r="AW134" s="15">
        <f>VLOOKUP($T134,'2020_CapacityTable'!$B$23:$F$45,5)</f>
        <v>1490</v>
      </c>
      <c r="AX134" s="15">
        <f t="shared" si="246"/>
        <v>240</v>
      </c>
      <c r="AY134" s="15">
        <f t="shared" si="247"/>
        <v>450</v>
      </c>
      <c r="AZ134" s="15">
        <f t="shared" si="248"/>
        <v>730</v>
      </c>
      <c r="BA134" s="15">
        <f t="shared" si="249"/>
        <v>1490</v>
      </c>
      <c r="BB134" s="3">
        <f t="shared" si="227"/>
        <v>450</v>
      </c>
      <c r="BC134" s="138">
        <f>VLOOKUP($B134,'2022 counts'!$B$6:$AD$304,28,FALSE)</f>
        <v>158</v>
      </c>
      <c r="BD134" s="138">
        <f>VLOOKUP($B134,'2022 counts'!$B$6:$AD$304,29,FALSE)</f>
        <v>239</v>
      </c>
      <c r="BE134" s="11">
        <f t="shared" si="250"/>
        <v>0.53</v>
      </c>
      <c r="BF134" s="2" t="str">
        <f t="shared" si="251"/>
        <v>B</v>
      </c>
      <c r="BG134" s="135">
        <v>7.4999999999999997E-3</v>
      </c>
      <c r="BH134" s="135">
        <f>IF($AQ134="","",VLOOKUP($B134, '2022 counts'!$B$6:$T$304,19,FALSE))</f>
        <v>7.4999999999999997E-3</v>
      </c>
      <c r="BI134" s="38">
        <f t="shared" si="252"/>
        <v>0.01</v>
      </c>
      <c r="BJ134" s="39" t="str">
        <f t="shared" si="253"/>
        <v>minimum</v>
      </c>
      <c r="BK134" s="15">
        <f>VLOOKUP($U134,'2020_CapacityTable'!$B$49:$F$71,2)</f>
        <v>4600</v>
      </c>
      <c r="BL134" s="15">
        <f>VLOOKUP($U134,'2020_CapacityTable'!$B$49:$F$71,3)</f>
        <v>8600</v>
      </c>
      <c r="BM134" s="15">
        <f>VLOOKUP($T134,'2020_CapacityTable'!$B$49:$F$71,4)</f>
        <v>14000</v>
      </c>
      <c r="BN134" s="15">
        <f>VLOOKUP($T134,'2020_CapacityTable'!$B$49:$F$71,5)</f>
        <v>28500</v>
      </c>
      <c r="BO134" s="15">
        <f t="shared" si="254"/>
        <v>4600</v>
      </c>
      <c r="BP134" s="15">
        <f t="shared" si="255"/>
        <v>8600</v>
      </c>
      <c r="BQ134" s="15">
        <f t="shared" si="256"/>
        <v>14000</v>
      </c>
      <c r="BR134" s="15">
        <f t="shared" si="257"/>
        <v>28500</v>
      </c>
      <c r="BS134" s="3">
        <f t="shared" si="228"/>
        <v>8600</v>
      </c>
      <c r="BT134" s="40">
        <f>'State of the System - Sumter Co'!AD134</f>
        <v>5060</v>
      </c>
      <c r="BU134" s="41">
        <f t="shared" si="258"/>
        <v>0.59</v>
      </c>
      <c r="BV134" s="2" t="str">
        <f t="shared" si="259"/>
        <v>C</v>
      </c>
      <c r="BW134" s="2">
        <f t="shared" si="260"/>
        <v>1</v>
      </c>
      <c r="BX134" s="15">
        <f>VLOOKUP($U134,'2020_CapacityTable'!$B$23:$F$45,2)</f>
        <v>240</v>
      </c>
      <c r="BY134" s="15">
        <f>VLOOKUP($U134,'2020_CapacityTable'!$B$23:$F$45,3)</f>
        <v>450</v>
      </c>
      <c r="BZ134" s="15">
        <f>VLOOKUP($U134,'2020_CapacityTable'!$B$23:$F$45,4)</f>
        <v>730</v>
      </c>
      <c r="CA134" s="15">
        <f>VLOOKUP($U134,'2020_CapacityTable'!$B$23:$F$45,5)</f>
        <v>1490</v>
      </c>
      <c r="CB134" s="15">
        <f t="shared" si="261"/>
        <v>240</v>
      </c>
      <c r="CC134" s="15">
        <f t="shared" si="262"/>
        <v>450</v>
      </c>
      <c r="CD134" s="15">
        <f t="shared" si="263"/>
        <v>730</v>
      </c>
      <c r="CE134" s="15">
        <f t="shared" si="264"/>
        <v>1490</v>
      </c>
      <c r="CF134" s="3">
        <f t="shared" si="229"/>
        <v>450</v>
      </c>
      <c r="CG134" s="2">
        <f>'State of the System - Sumter Co'!AH134</f>
        <v>166</v>
      </c>
      <c r="CH134" s="2">
        <f>'State of the System - Sumter Co'!AI134</f>
        <v>251</v>
      </c>
      <c r="CI134" s="11">
        <f t="shared" si="265"/>
        <v>0.56000000000000005</v>
      </c>
      <c r="CJ134" s="2" t="str">
        <f t="shared" si="230"/>
        <v>C</v>
      </c>
      <c r="CK134" s="3">
        <f t="shared" si="266"/>
        <v>30780</v>
      </c>
      <c r="CL134" s="11">
        <f t="shared" si="267"/>
        <v>0.16</v>
      </c>
      <c r="CM134" s="11" t="str">
        <f t="shared" si="268"/>
        <v>NOT CONGESTED</v>
      </c>
      <c r="CN134" s="3">
        <f t="shared" si="269"/>
        <v>1609</v>
      </c>
      <c r="CO134" s="11">
        <f t="shared" si="270"/>
        <v>0.16</v>
      </c>
      <c r="CP134" s="156" t="str">
        <f t="shared" si="231"/>
        <v>NOT CONGESTED</v>
      </c>
      <c r="CQ134" s="2"/>
      <c r="CR134" s="42"/>
      <c r="CS134" s="11" t="str">
        <f t="shared" si="271"/>
        <v/>
      </c>
      <c r="CT134" s="11" t="str">
        <f t="shared" si="232"/>
        <v/>
      </c>
      <c r="CU134" s="11" t="str">
        <f t="shared" si="272"/>
        <v/>
      </c>
      <c r="CV134" s="11" t="str">
        <f t="shared" si="273"/>
        <v/>
      </c>
      <c r="CW134" s="2"/>
      <c r="CX134" s="1"/>
      <c r="CY134" s="145" t="str">
        <f t="shared" si="274"/>
        <v/>
      </c>
      <c r="CZ134" s="32" t="str">
        <f t="shared" si="275"/>
        <v/>
      </c>
    </row>
    <row r="135" spans="1:104" ht="12.75" customHeight="1">
      <c r="A135" s="1">
        <v>3555110</v>
      </c>
      <c r="B135" s="1">
        <f t="shared" si="276"/>
        <v>74</v>
      </c>
      <c r="C135" s="1">
        <v>374</v>
      </c>
      <c r="D135" s="1">
        <f>VLOOKUP(C135,'2022 counts'!$A$6:$B$304,2,FALSE)</f>
        <v>74</v>
      </c>
      <c r="E135" s="1"/>
      <c r="F135" s="2" t="s">
        <v>6</v>
      </c>
      <c r="G135" s="156">
        <v>45</v>
      </c>
      <c r="H135" s="11">
        <v>5.1556920023100004</v>
      </c>
      <c r="I135" s="10" t="s">
        <v>728</v>
      </c>
      <c r="J135" s="10" t="s">
        <v>735</v>
      </c>
      <c r="K135" s="10" t="s">
        <v>86</v>
      </c>
      <c r="L135" s="157">
        <v>2</v>
      </c>
      <c r="M135" s="1">
        <f>'State of the System - Sumter Co'!K135</f>
        <v>2</v>
      </c>
      <c r="N135" s="1" t="str">
        <f>IF('State of the System - Sumter Co'!L135="URBAN","U","R")</f>
        <v>R</v>
      </c>
      <c r="O135" s="1" t="str">
        <f>IF('State of the System - Sumter Co'!M135="UNDIVIDED","U",IF('State of the System - Sumter Co'!M135="DIVIDED","D","F"))</f>
        <v>U</v>
      </c>
      <c r="P135" s="1" t="str">
        <f>'State of the System - Sumter Co'!N135</f>
        <v>UNINTERRUPTED</v>
      </c>
      <c r="Q135" s="1" t="str">
        <f t="shared" si="234"/>
        <v>z</v>
      </c>
      <c r="R135" s="1" t="str">
        <f>'State of the System - Sumter Co'!O135</f>
        <v>UNDEVELOPED</v>
      </c>
      <c r="S135" s="1" t="str">
        <f t="shared" si="235"/>
        <v/>
      </c>
      <c r="T135" s="1" t="str">
        <f t="shared" si="236"/>
        <v>R-2Uz</v>
      </c>
      <c r="U135" s="1" t="str">
        <f t="shared" si="225"/>
        <v>R-2Uz</v>
      </c>
      <c r="V135" s="1" t="s">
        <v>10</v>
      </c>
      <c r="W135" s="1" t="s">
        <v>11</v>
      </c>
      <c r="X135" s="1" t="s">
        <v>21</v>
      </c>
      <c r="Y135" s="1" t="str">
        <f>'State of the System - Sumter Co'!R135</f>
        <v>C</v>
      </c>
      <c r="Z135" s="157" t="str">
        <f t="shared" si="237"/>
        <v>Other CMP Network Roadways</v>
      </c>
      <c r="AA135" s="15">
        <f>VLOOKUP($T135,'2020_CapacityTable'!$B$49:$F$71,2)</f>
        <v>4600</v>
      </c>
      <c r="AB135" s="15">
        <f>VLOOKUP($T135,'2020_CapacityTable'!$B$49:$F$71,3)</f>
        <v>8600</v>
      </c>
      <c r="AC135" s="15">
        <f>VLOOKUP($T135,'2020_CapacityTable'!$B$49:$F$71,4)</f>
        <v>14000</v>
      </c>
      <c r="AD135" s="15">
        <f>VLOOKUP($T135,'2020_CapacityTable'!$B$49:$F$71,5)</f>
        <v>28500</v>
      </c>
      <c r="AE135" s="35"/>
      <c r="AF135" s="36" t="str">
        <f t="shared" si="238"/>
        <v/>
      </c>
      <c r="AG135" s="35" t="str">
        <f t="shared" si="233"/>
        <v/>
      </c>
      <c r="AH135" s="35" t="str">
        <f t="shared" si="224"/>
        <v/>
      </c>
      <c r="AI135" s="35"/>
      <c r="AJ135" s="36"/>
      <c r="AK135" s="15">
        <f t="shared" si="239"/>
        <v>4600</v>
      </c>
      <c r="AL135" s="15">
        <f t="shared" si="240"/>
        <v>8600</v>
      </c>
      <c r="AM135" s="15">
        <f t="shared" si="241"/>
        <v>14000</v>
      </c>
      <c r="AN135" s="15">
        <f t="shared" si="242"/>
        <v>28500</v>
      </c>
      <c r="AO135" s="3">
        <f t="shared" si="226"/>
        <v>8600</v>
      </c>
      <c r="AP135" s="138">
        <f>VLOOKUP($B135,'2022 counts'!$B$6:$R$304,17,FALSE)</f>
        <v>5671</v>
      </c>
      <c r="AQ135" s="11">
        <f t="shared" si="243"/>
        <v>0.66</v>
      </c>
      <c r="AR135" s="2" t="str">
        <f t="shared" si="244"/>
        <v>C</v>
      </c>
      <c r="AS135" s="26">
        <f t="shared" si="245"/>
        <v>10.67</v>
      </c>
      <c r="AT135" s="15">
        <f>VLOOKUP($T135,'2020_CapacityTable'!$B$23:$F$45,2)</f>
        <v>240</v>
      </c>
      <c r="AU135" s="15">
        <f>VLOOKUP($T135,'2020_CapacityTable'!$B$23:$F$45,3)</f>
        <v>450</v>
      </c>
      <c r="AV135" s="15">
        <f>VLOOKUP($T135,'2020_CapacityTable'!$B$23:$F$45,4)</f>
        <v>730</v>
      </c>
      <c r="AW135" s="15">
        <f>VLOOKUP($T135,'2020_CapacityTable'!$B$23:$F$45,5)</f>
        <v>1490</v>
      </c>
      <c r="AX135" s="15">
        <f t="shared" si="246"/>
        <v>240</v>
      </c>
      <c r="AY135" s="15">
        <f t="shared" si="247"/>
        <v>450</v>
      </c>
      <c r="AZ135" s="15">
        <f t="shared" si="248"/>
        <v>730</v>
      </c>
      <c r="BA135" s="15">
        <f t="shared" si="249"/>
        <v>1490</v>
      </c>
      <c r="BB135" s="3">
        <f t="shared" si="227"/>
        <v>450</v>
      </c>
      <c r="BC135" s="138">
        <f>VLOOKUP($B135,'2022 counts'!$B$6:$AD$304,28,FALSE)</f>
        <v>283</v>
      </c>
      <c r="BD135" s="138">
        <f>VLOOKUP($B135,'2022 counts'!$B$6:$AD$304,29,FALSE)</f>
        <v>214</v>
      </c>
      <c r="BE135" s="11">
        <f t="shared" si="250"/>
        <v>0.63</v>
      </c>
      <c r="BF135" s="2" t="str">
        <f t="shared" si="251"/>
        <v>C</v>
      </c>
      <c r="BG135" s="135">
        <v>2.75E-2</v>
      </c>
      <c r="BH135" s="135">
        <f>IF($AQ135="","",VLOOKUP($B135, '2022 counts'!$B$6:$T$304,19,FALSE))</f>
        <v>2.75E-2</v>
      </c>
      <c r="BI135" s="38">
        <f t="shared" si="252"/>
        <v>2.75E-2</v>
      </c>
      <c r="BJ135" s="39" t="str">
        <f t="shared" si="253"/>
        <v/>
      </c>
      <c r="BK135" s="15">
        <f>VLOOKUP($U135,'2020_CapacityTable'!$B$49:$F$71,2)</f>
        <v>4600</v>
      </c>
      <c r="BL135" s="15">
        <f>VLOOKUP($U135,'2020_CapacityTable'!$B$49:$F$71,3)</f>
        <v>8600</v>
      </c>
      <c r="BM135" s="15">
        <f>VLOOKUP($T135,'2020_CapacityTable'!$B$49:$F$71,4)</f>
        <v>14000</v>
      </c>
      <c r="BN135" s="15">
        <f>VLOOKUP($T135,'2020_CapacityTable'!$B$49:$F$71,5)</f>
        <v>28500</v>
      </c>
      <c r="BO135" s="15">
        <f t="shared" si="254"/>
        <v>4600</v>
      </c>
      <c r="BP135" s="15">
        <f t="shared" si="255"/>
        <v>8600</v>
      </c>
      <c r="BQ135" s="15">
        <f t="shared" si="256"/>
        <v>14000</v>
      </c>
      <c r="BR135" s="15">
        <f t="shared" si="257"/>
        <v>28500</v>
      </c>
      <c r="BS135" s="3">
        <f t="shared" si="228"/>
        <v>8600</v>
      </c>
      <c r="BT135" s="40">
        <f>'State of the System - Sumter Co'!AD135</f>
        <v>6495</v>
      </c>
      <c r="BU135" s="41">
        <f t="shared" si="258"/>
        <v>0.76</v>
      </c>
      <c r="BV135" s="2" t="str">
        <f t="shared" si="259"/>
        <v>C</v>
      </c>
      <c r="BW135" s="2">
        <f t="shared" si="260"/>
        <v>12.22</v>
      </c>
      <c r="BX135" s="15">
        <f>VLOOKUP($U135,'2020_CapacityTable'!$B$23:$F$45,2)</f>
        <v>240</v>
      </c>
      <c r="BY135" s="15">
        <f>VLOOKUP($U135,'2020_CapacityTable'!$B$23:$F$45,3)</f>
        <v>450</v>
      </c>
      <c r="BZ135" s="15">
        <f>VLOOKUP($U135,'2020_CapacityTable'!$B$23:$F$45,4)</f>
        <v>730</v>
      </c>
      <c r="CA135" s="15">
        <f>VLOOKUP($U135,'2020_CapacityTable'!$B$23:$F$45,5)</f>
        <v>1490</v>
      </c>
      <c r="CB135" s="15">
        <f t="shared" si="261"/>
        <v>240</v>
      </c>
      <c r="CC135" s="15">
        <f t="shared" si="262"/>
        <v>450</v>
      </c>
      <c r="CD135" s="15">
        <f t="shared" si="263"/>
        <v>730</v>
      </c>
      <c r="CE135" s="15">
        <f t="shared" si="264"/>
        <v>1490</v>
      </c>
      <c r="CF135" s="3">
        <f t="shared" si="229"/>
        <v>450</v>
      </c>
      <c r="CG135" s="2">
        <f>'State of the System - Sumter Co'!AH135</f>
        <v>324</v>
      </c>
      <c r="CH135" s="2">
        <f>'State of the System - Sumter Co'!AI135</f>
        <v>245</v>
      </c>
      <c r="CI135" s="11">
        <f t="shared" si="265"/>
        <v>0.72</v>
      </c>
      <c r="CJ135" s="2" t="str">
        <f t="shared" si="230"/>
        <v>C</v>
      </c>
      <c r="CK135" s="3">
        <f t="shared" si="266"/>
        <v>30780</v>
      </c>
      <c r="CL135" s="11">
        <f t="shared" si="267"/>
        <v>0.21</v>
      </c>
      <c r="CM135" s="11" t="str">
        <f t="shared" si="268"/>
        <v>NOT CONGESTED</v>
      </c>
      <c r="CN135" s="3">
        <f t="shared" si="269"/>
        <v>1609</v>
      </c>
      <c r="CO135" s="11">
        <f t="shared" si="270"/>
        <v>0.2</v>
      </c>
      <c r="CP135" s="156" t="str">
        <f t="shared" si="231"/>
        <v>NOT CONGESTED</v>
      </c>
      <c r="CQ135" s="3"/>
      <c r="CR135" s="3"/>
      <c r="CS135" s="11" t="str">
        <f t="shared" si="271"/>
        <v/>
      </c>
      <c r="CT135" s="11" t="str">
        <f t="shared" si="232"/>
        <v/>
      </c>
      <c r="CU135" s="11" t="str">
        <f t="shared" si="272"/>
        <v/>
      </c>
      <c r="CV135" s="11" t="str">
        <f t="shared" si="273"/>
        <v/>
      </c>
      <c r="CW135" s="2"/>
      <c r="CX135" s="1"/>
      <c r="CY135" s="145" t="str">
        <f t="shared" si="274"/>
        <v/>
      </c>
      <c r="CZ135" s="32" t="str">
        <f t="shared" si="275"/>
        <v/>
      </c>
    </row>
    <row r="136" spans="1:104" ht="12.75" customHeight="1">
      <c r="A136" s="1">
        <v>3555120</v>
      </c>
      <c r="B136" s="1">
        <f t="shared" si="276"/>
        <v>81</v>
      </c>
      <c r="C136" s="1">
        <v>103</v>
      </c>
      <c r="D136" s="1">
        <f>VLOOKUP(C136,'2022 counts'!$A$6:$B$304,2,FALSE)</f>
        <v>81</v>
      </c>
      <c r="E136" s="1"/>
      <c r="F136" s="2" t="s">
        <v>6</v>
      </c>
      <c r="G136" s="156">
        <v>45</v>
      </c>
      <c r="H136" s="11">
        <v>1.7668829559499999</v>
      </c>
      <c r="I136" s="10" t="s">
        <v>728</v>
      </c>
      <c r="J136" s="10" t="s">
        <v>86</v>
      </c>
      <c r="K136" s="10" t="s">
        <v>87</v>
      </c>
      <c r="L136" s="157">
        <v>2</v>
      </c>
      <c r="M136" s="1">
        <f>'State of the System - Sumter Co'!K136</f>
        <v>2</v>
      </c>
      <c r="N136" s="1" t="str">
        <f>IF('State of the System - Sumter Co'!L136="URBAN","U","R")</f>
        <v>U</v>
      </c>
      <c r="O136" s="1" t="str">
        <f>IF('State of the System - Sumter Co'!M136="UNDIVIDED","U",IF('State of the System - Sumter Co'!M136="DIVIDED","D","F"))</f>
        <v>U</v>
      </c>
      <c r="P136" s="1" t="str">
        <f>'State of the System - Sumter Co'!N136</f>
        <v>UNINTERRUPTED</v>
      </c>
      <c r="Q136" s="1" t="str">
        <f t="shared" si="234"/>
        <v/>
      </c>
      <c r="R136" s="1" t="str">
        <f>'State of the System - Sumter Co'!O136</f>
        <v/>
      </c>
      <c r="S136" s="1" t="str">
        <f t="shared" si="235"/>
        <v>-x</v>
      </c>
      <c r="T136" s="1" t="str">
        <f t="shared" si="236"/>
        <v>U-2U-x</v>
      </c>
      <c r="U136" s="1" t="str">
        <f t="shared" si="225"/>
        <v>U-2U-x</v>
      </c>
      <c r="V136" s="1" t="s">
        <v>10</v>
      </c>
      <c r="W136" s="1" t="s">
        <v>76</v>
      </c>
      <c r="X136" s="1" t="s">
        <v>12</v>
      </c>
      <c r="Y136" s="1" t="str">
        <f>'State of the System - Sumter Co'!R136</f>
        <v>D</v>
      </c>
      <c r="Z136" s="157" t="str">
        <f t="shared" si="237"/>
        <v>Other CMP Network Roadways</v>
      </c>
      <c r="AA136" s="15">
        <f>VLOOKUP($T136,'2020_CapacityTable'!$B$49:$F$71,2)</f>
        <v>11700</v>
      </c>
      <c r="AB136" s="15">
        <f>VLOOKUP($T136,'2020_CapacityTable'!$B$49:$F$71,3)</f>
        <v>18000</v>
      </c>
      <c r="AC136" s="15">
        <f>VLOOKUP($T136,'2020_CapacityTable'!$B$49:$F$71,4)</f>
        <v>24200</v>
      </c>
      <c r="AD136" s="15">
        <f>VLOOKUP($T136,'2020_CapacityTable'!$B$49:$F$71,5)</f>
        <v>32600</v>
      </c>
      <c r="AE136" s="35"/>
      <c r="AF136" s="36" t="str">
        <f t="shared" si="238"/>
        <v/>
      </c>
      <c r="AG136" s="35" t="str">
        <f t="shared" si="233"/>
        <v/>
      </c>
      <c r="AH136" s="35" t="str">
        <f t="shared" si="224"/>
        <v/>
      </c>
      <c r="AI136" s="35"/>
      <c r="AJ136" s="36"/>
      <c r="AK136" s="15">
        <f t="shared" si="239"/>
        <v>11700</v>
      </c>
      <c r="AL136" s="15">
        <f t="shared" si="240"/>
        <v>18000</v>
      </c>
      <c r="AM136" s="15">
        <f t="shared" si="241"/>
        <v>24200</v>
      </c>
      <c r="AN136" s="15">
        <f t="shared" si="242"/>
        <v>32600</v>
      </c>
      <c r="AO136" s="3">
        <f t="shared" si="226"/>
        <v>24200</v>
      </c>
      <c r="AP136" s="138">
        <f>VLOOKUP($B136,'2022 counts'!$B$6:$R$304,17,FALSE)</f>
        <v>6286</v>
      </c>
      <c r="AQ136" s="11">
        <f t="shared" si="243"/>
        <v>0.26</v>
      </c>
      <c r="AR136" s="2" t="str">
        <f t="shared" si="244"/>
        <v>B</v>
      </c>
      <c r="AS136" s="26">
        <f t="shared" si="245"/>
        <v>4.05</v>
      </c>
      <c r="AT136" s="15">
        <f>VLOOKUP($T136,'2020_CapacityTable'!$B$23:$F$45,2)</f>
        <v>580</v>
      </c>
      <c r="AU136" s="15">
        <f>VLOOKUP($T136,'2020_CapacityTable'!$B$23:$F$45,3)</f>
        <v>890</v>
      </c>
      <c r="AV136" s="15">
        <f>VLOOKUP($T136,'2020_CapacityTable'!$B$23:$F$45,4)</f>
        <v>1200</v>
      </c>
      <c r="AW136" s="15">
        <f>VLOOKUP($T136,'2020_CapacityTable'!$B$23:$F$45,5)</f>
        <v>1610</v>
      </c>
      <c r="AX136" s="15">
        <f t="shared" si="246"/>
        <v>580</v>
      </c>
      <c r="AY136" s="15">
        <f t="shared" si="247"/>
        <v>890</v>
      </c>
      <c r="AZ136" s="15">
        <f t="shared" si="248"/>
        <v>1200</v>
      </c>
      <c r="BA136" s="15">
        <f t="shared" si="249"/>
        <v>1610</v>
      </c>
      <c r="BB136" s="3">
        <f t="shared" si="227"/>
        <v>1200</v>
      </c>
      <c r="BC136" s="138">
        <f>VLOOKUP($B136,'2022 counts'!$B$6:$AD$304,28,FALSE)</f>
        <v>231</v>
      </c>
      <c r="BD136" s="138">
        <f>VLOOKUP($B136,'2022 counts'!$B$6:$AD$304,29,FALSE)</f>
        <v>320</v>
      </c>
      <c r="BE136" s="11">
        <f t="shared" si="250"/>
        <v>0.27</v>
      </c>
      <c r="BF136" s="2" t="str">
        <f t="shared" si="251"/>
        <v>B</v>
      </c>
      <c r="BG136" s="135">
        <v>2.5000000000000001E-2</v>
      </c>
      <c r="BH136" s="135">
        <f>IF($AQ136="","",VLOOKUP($B136, '2022 counts'!$B$6:$T$304,19,FALSE))</f>
        <v>2.5000000000000001E-2</v>
      </c>
      <c r="BI136" s="38">
        <f t="shared" si="252"/>
        <v>2.5000000000000001E-2</v>
      </c>
      <c r="BJ136" s="39" t="str">
        <f t="shared" si="253"/>
        <v/>
      </c>
      <c r="BK136" s="15">
        <f>VLOOKUP($U136,'2020_CapacityTable'!$B$49:$F$71,2)</f>
        <v>11700</v>
      </c>
      <c r="BL136" s="15">
        <f>VLOOKUP($U136,'2020_CapacityTable'!$B$49:$F$71,3)</f>
        <v>18000</v>
      </c>
      <c r="BM136" s="15">
        <f>VLOOKUP($T136,'2020_CapacityTable'!$B$49:$F$71,4)</f>
        <v>24200</v>
      </c>
      <c r="BN136" s="15">
        <f>VLOOKUP($T136,'2020_CapacityTable'!$B$49:$F$71,5)</f>
        <v>32600</v>
      </c>
      <c r="BO136" s="15">
        <f t="shared" si="254"/>
        <v>11700</v>
      </c>
      <c r="BP136" s="15">
        <f t="shared" si="255"/>
        <v>18000</v>
      </c>
      <c r="BQ136" s="15">
        <f t="shared" si="256"/>
        <v>24200</v>
      </c>
      <c r="BR136" s="15">
        <f t="shared" si="257"/>
        <v>32600</v>
      </c>
      <c r="BS136" s="3">
        <f t="shared" si="228"/>
        <v>24200</v>
      </c>
      <c r="BT136" s="40">
        <f>'State of the System - Sumter Co'!AD136</f>
        <v>7112</v>
      </c>
      <c r="BU136" s="41">
        <f t="shared" si="258"/>
        <v>0.28999999999999998</v>
      </c>
      <c r="BV136" s="2" t="str">
        <f t="shared" si="259"/>
        <v>B</v>
      </c>
      <c r="BW136" s="2">
        <f t="shared" si="260"/>
        <v>4.59</v>
      </c>
      <c r="BX136" s="15">
        <f>VLOOKUP($U136,'2020_CapacityTable'!$B$23:$F$45,2)</f>
        <v>580</v>
      </c>
      <c r="BY136" s="15">
        <f>VLOOKUP($U136,'2020_CapacityTable'!$B$23:$F$45,3)</f>
        <v>890</v>
      </c>
      <c r="BZ136" s="15">
        <f>VLOOKUP($U136,'2020_CapacityTable'!$B$23:$F$45,4)</f>
        <v>1200</v>
      </c>
      <c r="CA136" s="15">
        <f>VLOOKUP($U136,'2020_CapacityTable'!$B$23:$F$45,5)</f>
        <v>1610</v>
      </c>
      <c r="CB136" s="15">
        <f t="shared" si="261"/>
        <v>580</v>
      </c>
      <c r="CC136" s="15">
        <f t="shared" si="262"/>
        <v>890</v>
      </c>
      <c r="CD136" s="15">
        <f t="shared" si="263"/>
        <v>1200</v>
      </c>
      <c r="CE136" s="15">
        <f t="shared" si="264"/>
        <v>1610</v>
      </c>
      <c r="CF136" s="3">
        <f t="shared" si="229"/>
        <v>1200</v>
      </c>
      <c r="CG136" s="2">
        <f>'State of the System - Sumter Co'!AH136</f>
        <v>261</v>
      </c>
      <c r="CH136" s="2">
        <f>'State of the System - Sumter Co'!AI136</f>
        <v>362</v>
      </c>
      <c r="CI136" s="11">
        <f t="shared" si="265"/>
        <v>0.3</v>
      </c>
      <c r="CJ136" s="2" t="str">
        <f t="shared" si="230"/>
        <v>B</v>
      </c>
      <c r="CK136" s="3">
        <f t="shared" si="266"/>
        <v>35208</v>
      </c>
      <c r="CL136" s="11">
        <f t="shared" si="267"/>
        <v>0.2</v>
      </c>
      <c r="CM136" s="11" t="str">
        <f t="shared" si="268"/>
        <v>NOT CONGESTED</v>
      </c>
      <c r="CN136" s="3">
        <f t="shared" si="269"/>
        <v>1739</v>
      </c>
      <c r="CO136" s="11">
        <f t="shared" si="270"/>
        <v>0.21</v>
      </c>
      <c r="CP136" s="156" t="str">
        <f t="shared" si="231"/>
        <v>NOT CONGESTED</v>
      </c>
      <c r="CQ136" s="3"/>
      <c r="CR136" s="3"/>
      <c r="CS136" s="11" t="str">
        <f t="shared" si="271"/>
        <v/>
      </c>
      <c r="CT136" s="11" t="str">
        <f t="shared" si="232"/>
        <v/>
      </c>
      <c r="CU136" s="11" t="str">
        <f t="shared" si="272"/>
        <v/>
      </c>
      <c r="CV136" s="11" t="str">
        <f t="shared" si="273"/>
        <v/>
      </c>
      <c r="CW136" s="2"/>
      <c r="CX136" s="1"/>
      <c r="CY136" s="145" t="str">
        <f t="shared" si="274"/>
        <v/>
      </c>
      <c r="CZ136" s="32" t="str">
        <f t="shared" si="275"/>
        <v/>
      </c>
    </row>
    <row r="137" spans="1:104" ht="12.75" customHeight="1">
      <c r="A137" s="1">
        <v>3555130</v>
      </c>
      <c r="B137" s="1" t="str">
        <f t="shared" si="276"/>
        <v>2020-105</v>
      </c>
      <c r="C137" s="1">
        <v>105</v>
      </c>
      <c r="D137" s="1" t="str">
        <f>VLOOKUP(C137,'2022 counts'!$A$6:$B$304,2,FALSE)</f>
        <v>2020-105</v>
      </c>
      <c r="E137" s="1"/>
      <c r="F137" s="2" t="s">
        <v>6</v>
      </c>
      <c r="G137" s="156">
        <v>45</v>
      </c>
      <c r="H137" s="11">
        <v>0.48251239132899998</v>
      </c>
      <c r="I137" s="10" t="s">
        <v>728</v>
      </c>
      <c r="J137" s="10" t="s">
        <v>87</v>
      </c>
      <c r="K137" s="10" t="s">
        <v>98</v>
      </c>
      <c r="L137" s="157">
        <v>4</v>
      </c>
      <c r="M137" s="1">
        <f>'State of the System - Sumter Co'!K137</f>
        <v>4</v>
      </c>
      <c r="N137" s="1" t="str">
        <f>IF('State of the System - Sumter Co'!L137="URBAN","U","R")</f>
        <v>U</v>
      </c>
      <c r="O137" s="1" t="str">
        <f>IF('State of the System - Sumter Co'!M137="UNDIVIDED","U",IF('State of the System - Sumter Co'!M137="DIVIDED","D","F"))</f>
        <v>D</v>
      </c>
      <c r="P137" s="1" t="str">
        <f>'State of the System - Sumter Co'!N137</f>
        <v>INTERRUPTED</v>
      </c>
      <c r="Q137" s="1" t="str">
        <f t="shared" si="234"/>
        <v/>
      </c>
      <c r="R137" s="1" t="str">
        <f>'State of the System - Sumter Co'!O137</f>
        <v/>
      </c>
      <c r="S137" s="1" t="str">
        <f t="shared" si="235"/>
        <v>-1</v>
      </c>
      <c r="T137" s="1" t="str">
        <f t="shared" si="236"/>
        <v>U-4D-1</v>
      </c>
      <c r="U137" s="1" t="str">
        <f t="shared" si="225"/>
        <v>U-4D-1</v>
      </c>
      <c r="V137" s="1" t="s">
        <v>10</v>
      </c>
      <c r="W137" s="1" t="s">
        <v>76</v>
      </c>
      <c r="X137" s="1" t="s">
        <v>12</v>
      </c>
      <c r="Y137" s="1" t="str">
        <f>'State of the System - Sumter Co'!R137</f>
        <v>D</v>
      </c>
      <c r="Z137" s="157" t="str">
        <f t="shared" si="237"/>
        <v>Other CMP Network Roadways</v>
      </c>
      <c r="AA137" s="15">
        <f>VLOOKUP($T137,'2020_CapacityTable'!$B$49:$F$71,2)</f>
        <v>0</v>
      </c>
      <c r="AB137" s="15">
        <f>VLOOKUP($T137,'2020_CapacityTable'!$B$49:$F$71,3)</f>
        <v>37900</v>
      </c>
      <c r="AC137" s="15">
        <f>VLOOKUP($T137,'2020_CapacityTable'!$B$49:$F$71,4)</f>
        <v>39800</v>
      </c>
      <c r="AD137" s="15">
        <f>VLOOKUP($T137,'2020_CapacityTable'!$B$49:$F$71,5)</f>
        <v>39800</v>
      </c>
      <c r="AE137" s="35">
        <f>IF(V137&lt;&gt;"STATE",-10%,"")</f>
        <v>-0.1</v>
      </c>
      <c r="AF137" s="36" t="str">
        <f t="shared" si="238"/>
        <v/>
      </c>
      <c r="AG137" s="35" t="str">
        <f t="shared" si="233"/>
        <v/>
      </c>
      <c r="AH137" s="35" t="str">
        <f t="shared" si="224"/>
        <v/>
      </c>
      <c r="AI137" s="35"/>
      <c r="AJ137" s="36"/>
      <c r="AK137" s="15">
        <f t="shared" si="239"/>
        <v>0</v>
      </c>
      <c r="AL137" s="15">
        <f t="shared" si="240"/>
        <v>34110</v>
      </c>
      <c r="AM137" s="15">
        <f t="shared" si="241"/>
        <v>35820</v>
      </c>
      <c r="AN137" s="15">
        <f t="shared" si="242"/>
        <v>35820</v>
      </c>
      <c r="AO137" s="3">
        <f t="shared" si="226"/>
        <v>35820</v>
      </c>
      <c r="AP137" s="138">
        <f>VLOOKUP($B137,'2022 counts'!$B$6:$R$304,17,FALSE)</f>
        <v>7397.5799999999581</v>
      </c>
      <c r="AQ137" s="11">
        <f t="shared" si="243"/>
        <v>0.21</v>
      </c>
      <c r="AR137" s="2" t="str">
        <f t="shared" si="244"/>
        <v>C</v>
      </c>
      <c r="AS137" s="26">
        <f t="shared" si="245"/>
        <v>1.3</v>
      </c>
      <c r="AT137" s="15">
        <f>VLOOKUP($T137,'2020_CapacityTable'!$B$23:$F$45,2)</f>
        <v>0</v>
      </c>
      <c r="AU137" s="15">
        <f>VLOOKUP($T137,'2020_CapacityTable'!$B$23:$F$45,3)</f>
        <v>1910</v>
      </c>
      <c r="AV137" s="15">
        <f>VLOOKUP($T137,'2020_CapacityTable'!$B$23:$F$45,4)</f>
        <v>2000</v>
      </c>
      <c r="AW137" s="15">
        <f>VLOOKUP($T137,'2020_CapacityTable'!$B$23:$F$45,5)</f>
        <v>2000</v>
      </c>
      <c r="AX137" s="15">
        <f t="shared" si="246"/>
        <v>0</v>
      </c>
      <c r="AY137" s="15">
        <f t="shared" si="247"/>
        <v>1719</v>
      </c>
      <c r="AZ137" s="15">
        <f t="shared" si="248"/>
        <v>1800</v>
      </c>
      <c r="BA137" s="15">
        <f t="shared" si="249"/>
        <v>1800</v>
      </c>
      <c r="BB137" s="3">
        <f t="shared" si="227"/>
        <v>1800</v>
      </c>
      <c r="BC137" s="138">
        <f>VLOOKUP($B137,'2022 counts'!$B$6:$AD$304,28,FALSE)</f>
        <v>349</v>
      </c>
      <c r="BD137" s="138">
        <f>VLOOKUP($B137,'2022 counts'!$B$6:$AD$304,29,FALSE)</f>
        <v>346</v>
      </c>
      <c r="BE137" s="11">
        <f t="shared" si="250"/>
        <v>0.19</v>
      </c>
      <c r="BF137" s="2" t="str">
        <f t="shared" si="251"/>
        <v>C</v>
      </c>
      <c r="BG137" s="135">
        <v>0</v>
      </c>
      <c r="BH137" s="135">
        <f>IF($AQ137="","",VLOOKUP($B137, '2022 counts'!$B$6:$T$304,19,FALSE))</f>
        <v>0</v>
      </c>
      <c r="BI137" s="38">
        <f t="shared" si="252"/>
        <v>0.01</v>
      </c>
      <c r="BJ137" s="39" t="str">
        <f t="shared" si="253"/>
        <v>minimum</v>
      </c>
      <c r="BK137" s="15">
        <f>VLOOKUP($U137,'2020_CapacityTable'!$B$49:$F$71,2)</f>
        <v>0</v>
      </c>
      <c r="BL137" s="15">
        <f>VLOOKUP($U137,'2020_CapacityTable'!$B$49:$F$71,3)</f>
        <v>37900</v>
      </c>
      <c r="BM137" s="15">
        <f>VLOOKUP($T137,'2020_CapacityTable'!$B$49:$F$71,4)</f>
        <v>39800</v>
      </c>
      <c r="BN137" s="15">
        <f>VLOOKUP($T137,'2020_CapacityTable'!$B$49:$F$71,5)</f>
        <v>39800</v>
      </c>
      <c r="BO137" s="15">
        <f t="shared" si="254"/>
        <v>0</v>
      </c>
      <c r="BP137" s="15">
        <f t="shared" si="255"/>
        <v>34110</v>
      </c>
      <c r="BQ137" s="15">
        <f t="shared" si="256"/>
        <v>35820</v>
      </c>
      <c r="BR137" s="15">
        <f t="shared" si="257"/>
        <v>35820</v>
      </c>
      <c r="BS137" s="3">
        <f t="shared" si="228"/>
        <v>35820</v>
      </c>
      <c r="BT137" s="40">
        <f>'State of the System - Sumter Co'!AD137</f>
        <v>7775</v>
      </c>
      <c r="BU137" s="41">
        <f t="shared" si="258"/>
        <v>0.22</v>
      </c>
      <c r="BV137" s="2" t="str">
        <f t="shared" si="259"/>
        <v>C</v>
      </c>
      <c r="BW137" s="2">
        <f t="shared" si="260"/>
        <v>1.37</v>
      </c>
      <c r="BX137" s="15">
        <f>VLOOKUP($U137,'2020_CapacityTable'!$B$23:$F$45,2)</f>
        <v>0</v>
      </c>
      <c r="BY137" s="15">
        <f>VLOOKUP($U137,'2020_CapacityTable'!$B$23:$F$45,3)</f>
        <v>1910</v>
      </c>
      <c r="BZ137" s="15">
        <f>VLOOKUP($U137,'2020_CapacityTable'!$B$23:$F$45,4)</f>
        <v>2000</v>
      </c>
      <c r="CA137" s="15">
        <f>VLOOKUP($U137,'2020_CapacityTable'!$B$23:$F$45,5)</f>
        <v>2000</v>
      </c>
      <c r="CB137" s="15">
        <f t="shared" si="261"/>
        <v>0</v>
      </c>
      <c r="CC137" s="15">
        <f t="shared" si="262"/>
        <v>1719</v>
      </c>
      <c r="CD137" s="15">
        <f t="shared" si="263"/>
        <v>1800</v>
      </c>
      <c r="CE137" s="15">
        <f t="shared" si="264"/>
        <v>1800</v>
      </c>
      <c r="CF137" s="3">
        <f t="shared" si="229"/>
        <v>1800</v>
      </c>
      <c r="CG137" s="2">
        <f>'State of the System - Sumter Co'!AH137</f>
        <v>367</v>
      </c>
      <c r="CH137" s="2">
        <f>'State of the System - Sumter Co'!AI137</f>
        <v>364</v>
      </c>
      <c r="CI137" s="11">
        <f t="shared" si="265"/>
        <v>0.2</v>
      </c>
      <c r="CJ137" s="2" t="str">
        <f t="shared" si="230"/>
        <v>C</v>
      </c>
      <c r="CK137" s="3">
        <f t="shared" si="266"/>
        <v>38686</v>
      </c>
      <c r="CL137" s="11">
        <f t="shared" si="267"/>
        <v>0.2</v>
      </c>
      <c r="CM137" s="11" t="str">
        <f t="shared" si="268"/>
        <v>NOT CONGESTED</v>
      </c>
      <c r="CN137" s="3">
        <f t="shared" si="269"/>
        <v>1944</v>
      </c>
      <c r="CO137" s="11">
        <f t="shared" si="270"/>
        <v>0.19</v>
      </c>
      <c r="CP137" s="156" t="str">
        <f t="shared" si="231"/>
        <v>NOT CONGESTED</v>
      </c>
      <c r="CQ137" s="3"/>
      <c r="CR137" s="3"/>
      <c r="CS137" s="11" t="str">
        <f t="shared" si="271"/>
        <v/>
      </c>
      <c r="CT137" s="11" t="str">
        <f t="shared" si="232"/>
        <v/>
      </c>
      <c r="CU137" s="11" t="str">
        <f t="shared" si="272"/>
        <v/>
      </c>
      <c r="CV137" s="11" t="str">
        <f t="shared" si="273"/>
        <v/>
      </c>
      <c r="CW137" s="2"/>
      <c r="CX137" s="1"/>
      <c r="CY137" s="145" t="str">
        <f t="shared" si="274"/>
        <v/>
      </c>
      <c r="CZ137" s="32" t="str">
        <f t="shared" si="275"/>
        <v/>
      </c>
    </row>
    <row r="138" spans="1:104" ht="12.75" customHeight="1">
      <c r="A138" s="1">
        <v>3556100</v>
      </c>
      <c r="B138" s="1">
        <f t="shared" si="276"/>
        <v>78</v>
      </c>
      <c r="C138" s="1">
        <v>100</v>
      </c>
      <c r="D138" s="1">
        <f>VLOOKUP(C138,'2022 counts'!$A$6:$B$304,2,FALSE)</f>
        <v>78</v>
      </c>
      <c r="E138" s="1"/>
      <c r="F138" s="2" t="s">
        <v>6</v>
      </c>
      <c r="G138" s="156">
        <v>35</v>
      </c>
      <c r="H138" s="11">
        <v>2.92678789074</v>
      </c>
      <c r="I138" s="10" t="s">
        <v>728</v>
      </c>
      <c r="J138" s="10" t="s">
        <v>715</v>
      </c>
      <c r="K138" s="10" t="s">
        <v>96</v>
      </c>
      <c r="L138" s="157">
        <v>2</v>
      </c>
      <c r="M138" s="1">
        <f>'State of the System - Sumter Co'!K138</f>
        <v>2</v>
      </c>
      <c r="N138" s="1" t="str">
        <f>IF('State of the System - Sumter Co'!L138="URBAN","U","R")</f>
        <v>U</v>
      </c>
      <c r="O138" s="1" t="str">
        <f>IF('State of the System - Sumter Co'!M138="UNDIVIDED","U",IF('State of the System - Sumter Co'!M138="DIVIDED","D","F"))</f>
        <v>U</v>
      </c>
      <c r="P138" s="1" t="str">
        <f>'State of the System - Sumter Co'!N138</f>
        <v>UNINTERRUPTED</v>
      </c>
      <c r="Q138" s="1" t="str">
        <f t="shared" si="234"/>
        <v/>
      </c>
      <c r="R138" s="1" t="str">
        <f>'State of the System - Sumter Co'!O138</f>
        <v/>
      </c>
      <c r="S138" s="1" t="str">
        <f t="shared" si="235"/>
        <v>-x</v>
      </c>
      <c r="T138" s="1" t="str">
        <f t="shared" si="236"/>
        <v>U-2U-x</v>
      </c>
      <c r="U138" s="1" t="str">
        <f t="shared" si="225"/>
        <v>U-2U-x</v>
      </c>
      <c r="V138" s="1" t="s">
        <v>10</v>
      </c>
      <c r="W138" s="1" t="s">
        <v>65</v>
      </c>
      <c r="X138" s="1" t="s">
        <v>12</v>
      </c>
      <c r="Y138" s="1" t="str">
        <f>'State of the System - Sumter Co'!R138</f>
        <v>D</v>
      </c>
      <c r="Z138" s="157" t="str">
        <f t="shared" si="237"/>
        <v>Other CMP Network Roadways</v>
      </c>
      <c r="AA138" s="15">
        <f>VLOOKUP($T138,'2020_CapacityTable'!$B$49:$F$71,2)</f>
        <v>11700</v>
      </c>
      <c r="AB138" s="15">
        <f>VLOOKUP($T138,'2020_CapacityTable'!$B$49:$F$71,3)</f>
        <v>18000</v>
      </c>
      <c r="AC138" s="15">
        <f>VLOOKUP($T138,'2020_CapacityTable'!$B$49:$F$71,4)</f>
        <v>24200</v>
      </c>
      <c r="AD138" s="15">
        <f>VLOOKUP($T138,'2020_CapacityTable'!$B$49:$F$71,5)</f>
        <v>32600</v>
      </c>
      <c r="AE138" s="35"/>
      <c r="AF138" s="36" t="str">
        <f t="shared" si="238"/>
        <v/>
      </c>
      <c r="AG138" s="35" t="str">
        <f t="shared" si="233"/>
        <v/>
      </c>
      <c r="AH138" s="35" t="str">
        <f t="shared" si="224"/>
        <v/>
      </c>
      <c r="AI138" s="35"/>
      <c r="AJ138" s="36"/>
      <c r="AK138" s="15">
        <f t="shared" si="239"/>
        <v>11700</v>
      </c>
      <c r="AL138" s="15">
        <f t="shared" si="240"/>
        <v>18000</v>
      </c>
      <c r="AM138" s="15">
        <f t="shared" si="241"/>
        <v>24200</v>
      </c>
      <c r="AN138" s="15">
        <f t="shared" si="242"/>
        <v>32600</v>
      </c>
      <c r="AO138" s="3">
        <f t="shared" si="226"/>
        <v>24200</v>
      </c>
      <c r="AP138" s="138">
        <f>VLOOKUP($B138,'2022 counts'!$B$6:$R$304,17,FALSE)</f>
        <v>5600</v>
      </c>
      <c r="AQ138" s="11">
        <f t="shared" si="243"/>
        <v>0.23</v>
      </c>
      <c r="AR138" s="2" t="str">
        <f t="shared" si="244"/>
        <v>B</v>
      </c>
      <c r="AS138" s="26">
        <f t="shared" si="245"/>
        <v>5.98</v>
      </c>
      <c r="AT138" s="15">
        <f>VLOOKUP($T138,'2020_CapacityTable'!$B$23:$F$45,2)</f>
        <v>580</v>
      </c>
      <c r="AU138" s="15">
        <f>VLOOKUP($T138,'2020_CapacityTable'!$B$23:$F$45,3)</f>
        <v>890</v>
      </c>
      <c r="AV138" s="15">
        <f>VLOOKUP($T138,'2020_CapacityTable'!$B$23:$F$45,4)</f>
        <v>1200</v>
      </c>
      <c r="AW138" s="15">
        <f>VLOOKUP($T138,'2020_CapacityTable'!$B$23:$F$45,5)</f>
        <v>1610</v>
      </c>
      <c r="AX138" s="15">
        <f t="shared" si="246"/>
        <v>580</v>
      </c>
      <c r="AY138" s="15">
        <f t="shared" si="247"/>
        <v>890</v>
      </c>
      <c r="AZ138" s="15">
        <f t="shared" si="248"/>
        <v>1200</v>
      </c>
      <c r="BA138" s="15">
        <f t="shared" si="249"/>
        <v>1610</v>
      </c>
      <c r="BB138" s="3">
        <f t="shared" si="227"/>
        <v>1200</v>
      </c>
      <c r="BC138" s="138">
        <f>VLOOKUP($B138,'2022 counts'!$B$6:$AD$304,28,FALSE)</f>
        <v>174</v>
      </c>
      <c r="BD138" s="138">
        <f>VLOOKUP($B138,'2022 counts'!$B$6:$AD$304,29,FALSE)</f>
        <v>299</v>
      </c>
      <c r="BE138" s="11">
        <f t="shared" si="250"/>
        <v>0.25</v>
      </c>
      <c r="BF138" s="2" t="str">
        <f t="shared" si="251"/>
        <v>B</v>
      </c>
      <c r="BG138" s="135">
        <v>1.2500000000000001E-2</v>
      </c>
      <c r="BH138" s="135">
        <f>IF($AQ138="","",VLOOKUP($B138, '2022 counts'!$B$6:$T$304,19,FALSE))</f>
        <v>1.2500000000000001E-2</v>
      </c>
      <c r="BI138" s="38">
        <f t="shared" si="252"/>
        <v>1.2500000000000001E-2</v>
      </c>
      <c r="BJ138" s="39" t="str">
        <f t="shared" si="253"/>
        <v/>
      </c>
      <c r="BK138" s="15">
        <f>VLOOKUP($U138,'2020_CapacityTable'!$B$49:$F$71,2)</f>
        <v>11700</v>
      </c>
      <c r="BL138" s="15">
        <f>VLOOKUP($U138,'2020_CapacityTable'!$B$49:$F$71,3)</f>
        <v>18000</v>
      </c>
      <c r="BM138" s="15">
        <f>VLOOKUP($T138,'2020_CapacityTable'!$B$49:$F$71,4)</f>
        <v>24200</v>
      </c>
      <c r="BN138" s="15">
        <f>VLOOKUP($T138,'2020_CapacityTable'!$B$49:$F$71,5)</f>
        <v>32600</v>
      </c>
      <c r="BO138" s="15">
        <f t="shared" si="254"/>
        <v>11700</v>
      </c>
      <c r="BP138" s="15">
        <f t="shared" si="255"/>
        <v>18000</v>
      </c>
      <c r="BQ138" s="15">
        <f t="shared" si="256"/>
        <v>24200</v>
      </c>
      <c r="BR138" s="15">
        <f t="shared" si="257"/>
        <v>32600</v>
      </c>
      <c r="BS138" s="3">
        <f t="shared" si="228"/>
        <v>24200</v>
      </c>
      <c r="BT138" s="40">
        <f>'State of the System - Sumter Co'!AD138</f>
        <v>5959</v>
      </c>
      <c r="BU138" s="41">
        <f t="shared" si="258"/>
        <v>0.25</v>
      </c>
      <c r="BV138" s="2" t="str">
        <f t="shared" si="259"/>
        <v>B</v>
      </c>
      <c r="BW138" s="2">
        <f t="shared" si="260"/>
        <v>6.37</v>
      </c>
      <c r="BX138" s="15">
        <f>VLOOKUP($U138,'2020_CapacityTable'!$B$23:$F$45,2)</f>
        <v>580</v>
      </c>
      <c r="BY138" s="15">
        <f>VLOOKUP($U138,'2020_CapacityTable'!$B$23:$F$45,3)</f>
        <v>890</v>
      </c>
      <c r="BZ138" s="15">
        <f>VLOOKUP($U138,'2020_CapacityTable'!$B$23:$F$45,4)</f>
        <v>1200</v>
      </c>
      <c r="CA138" s="15">
        <f>VLOOKUP($U138,'2020_CapacityTable'!$B$23:$F$45,5)</f>
        <v>1610</v>
      </c>
      <c r="CB138" s="15">
        <f t="shared" si="261"/>
        <v>580</v>
      </c>
      <c r="CC138" s="15">
        <f t="shared" si="262"/>
        <v>890</v>
      </c>
      <c r="CD138" s="15">
        <f t="shared" si="263"/>
        <v>1200</v>
      </c>
      <c r="CE138" s="15">
        <f t="shared" si="264"/>
        <v>1610</v>
      </c>
      <c r="CF138" s="3">
        <f t="shared" si="229"/>
        <v>1200</v>
      </c>
      <c r="CG138" s="2">
        <f>'State of the System - Sumter Co'!AH138</f>
        <v>185</v>
      </c>
      <c r="CH138" s="2">
        <f>'State of the System - Sumter Co'!AI138</f>
        <v>318</v>
      </c>
      <c r="CI138" s="11">
        <f t="shared" si="265"/>
        <v>0.27</v>
      </c>
      <c r="CJ138" s="2" t="str">
        <f t="shared" si="230"/>
        <v>B</v>
      </c>
      <c r="CK138" s="3">
        <f t="shared" si="266"/>
        <v>35208</v>
      </c>
      <c r="CL138" s="11">
        <f t="shared" si="267"/>
        <v>0.17</v>
      </c>
      <c r="CM138" s="11" t="str">
        <f t="shared" si="268"/>
        <v>NOT CONGESTED</v>
      </c>
      <c r="CN138" s="3">
        <f t="shared" si="269"/>
        <v>1739</v>
      </c>
      <c r="CO138" s="11">
        <f t="shared" si="270"/>
        <v>0.18</v>
      </c>
      <c r="CP138" s="156" t="str">
        <f t="shared" si="231"/>
        <v>NOT CONGESTED</v>
      </c>
      <c r="CQ138" s="3"/>
      <c r="CR138" s="3"/>
      <c r="CS138" s="11" t="str">
        <f t="shared" si="271"/>
        <v/>
      </c>
      <c r="CT138" s="11" t="str">
        <f t="shared" si="232"/>
        <v/>
      </c>
      <c r="CU138" s="11" t="str">
        <f t="shared" si="272"/>
        <v/>
      </c>
      <c r="CV138" s="11" t="str">
        <f t="shared" si="273"/>
        <v/>
      </c>
      <c r="CW138" s="2"/>
      <c r="CX138" s="1"/>
      <c r="CY138" s="145" t="str">
        <f t="shared" si="274"/>
        <v/>
      </c>
      <c r="CZ138" s="32" t="str">
        <f t="shared" si="275"/>
        <v/>
      </c>
    </row>
    <row r="139" spans="1:104" ht="12.75" customHeight="1">
      <c r="A139" s="1">
        <v>3556110</v>
      </c>
      <c r="B139" s="1">
        <f t="shared" si="276"/>
        <v>79</v>
      </c>
      <c r="C139" s="1">
        <v>101</v>
      </c>
      <c r="D139" s="1">
        <f>VLOOKUP(C139,'2022 counts'!$A$6:$B$304,2,FALSE)</f>
        <v>79</v>
      </c>
      <c r="E139" s="1"/>
      <c r="F139" s="2" t="s">
        <v>6</v>
      </c>
      <c r="G139" s="156">
        <v>55</v>
      </c>
      <c r="H139" s="11">
        <v>0.19543974130799999</v>
      </c>
      <c r="I139" s="10" t="s">
        <v>728</v>
      </c>
      <c r="J139" s="10" t="s">
        <v>96</v>
      </c>
      <c r="K139" s="10" t="s">
        <v>56</v>
      </c>
      <c r="L139" s="157">
        <v>2</v>
      </c>
      <c r="M139" s="1">
        <f>'State of the System - Sumter Co'!K139</f>
        <v>2</v>
      </c>
      <c r="N139" s="1" t="str">
        <f>IF('State of the System - Sumter Co'!L139="URBAN","U","R")</f>
        <v>U</v>
      </c>
      <c r="O139" s="1" t="str">
        <f>IF('State of the System - Sumter Co'!M139="UNDIVIDED","U",IF('State of the System - Sumter Co'!M139="DIVIDED","D","F"))</f>
        <v>U</v>
      </c>
      <c r="P139" s="1" t="str">
        <f>'State of the System - Sumter Co'!N139</f>
        <v>UNINTERRUPTED</v>
      </c>
      <c r="Q139" s="1" t="str">
        <f t="shared" si="234"/>
        <v/>
      </c>
      <c r="R139" s="1" t="str">
        <f>'State of the System - Sumter Co'!O139</f>
        <v/>
      </c>
      <c r="S139" s="1" t="str">
        <f t="shared" si="235"/>
        <v>-x</v>
      </c>
      <c r="T139" s="1" t="str">
        <f t="shared" si="236"/>
        <v>U-2U-x</v>
      </c>
      <c r="U139" s="1" t="str">
        <f t="shared" si="225"/>
        <v>U-2U-x</v>
      </c>
      <c r="V139" s="1" t="s">
        <v>10</v>
      </c>
      <c r="W139" s="1" t="s">
        <v>11</v>
      </c>
      <c r="X139" s="1" t="s">
        <v>12</v>
      </c>
      <c r="Y139" s="1" t="str">
        <f>'State of the System - Sumter Co'!R139</f>
        <v>D</v>
      </c>
      <c r="Z139" s="157" t="str">
        <f t="shared" si="237"/>
        <v>Other CMP Network Roadways</v>
      </c>
      <c r="AA139" s="15">
        <f>VLOOKUP($T139,'2020_CapacityTable'!$B$49:$F$71,2)</f>
        <v>11700</v>
      </c>
      <c r="AB139" s="15">
        <f>VLOOKUP($T139,'2020_CapacityTable'!$B$49:$F$71,3)</f>
        <v>18000</v>
      </c>
      <c r="AC139" s="15">
        <f>VLOOKUP($T139,'2020_CapacityTable'!$B$49:$F$71,4)</f>
        <v>24200</v>
      </c>
      <c r="AD139" s="15">
        <f>VLOOKUP($T139,'2020_CapacityTable'!$B$49:$F$71,5)</f>
        <v>32600</v>
      </c>
      <c r="AE139" s="35"/>
      <c r="AF139" s="36" t="str">
        <f t="shared" si="238"/>
        <v/>
      </c>
      <c r="AG139" s="35" t="str">
        <f t="shared" si="233"/>
        <v/>
      </c>
      <c r="AH139" s="35" t="str">
        <f t="shared" si="224"/>
        <v/>
      </c>
      <c r="AI139" s="35"/>
      <c r="AJ139" s="36"/>
      <c r="AK139" s="15">
        <f t="shared" si="239"/>
        <v>11700</v>
      </c>
      <c r="AL139" s="15">
        <f t="shared" si="240"/>
        <v>18000</v>
      </c>
      <c r="AM139" s="15">
        <f t="shared" si="241"/>
        <v>24200</v>
      </c>
      <c r="AN139" s="15">
        <f t="shared" si="242"/>
        <v>32600</v>
      </c>
      <c r="AO139" s="3">
        <f t="shared" si="226"/>
        <v>24200</v>
      </c>
      <c r="AP139" s="138">
        <f>VLOOKUP($B139,'2022 counts'!$B$6:$R$304,17,FALSE)</f>
        <v>4221</v>
      </c>
      <c r="AQ139" s="11">
        <f t="shared" si="243"/>
        <v>0.17</v>
      </c>
      <c r="AR139" s="2" t="str">
        <f t="shared" si="244"/>
        <v>B</v>
      </c>
      <c r="AS139" s="26">
        <f t="shared" si="245"/>
        <v>0.3</v>
      </c>
      <c r="AT139" s="15">
        <f>VLOOKUP($T139,'2020_CapacityTable'!$B$23:$F$45,2)</f>
        <v>580</v>
      </c>
      <c r="AU139" s="15">
        <f>VLOOKUP($T139,'2020_CapacityTable'!$B$23:$F$45,3)</f>
        <v>890</v>
      </c>
      <c r="AV139" s="15">
        <f>VLOOKUP($T139,'2020_CapacityTable'!$B$23:$F$45,4)</f>
        <v>1200</v>
      </c>
      <c r="AW139" s="15">
        <f>VLOOKUP($T139,'2020_CapacityTable'!$B$23:$F$45,5)</f>
        <v>1610</v>
      </c>
      <c r="AX139" s="15">
        <f t="shared" si="246"/>
        <v>580</v>
      </c>
      <c r="AY139" s="15">
        <f t="shared" si="247"/>
        <v>890</v>
      </c>
      <c r="AZ139" s="15">
        <f t="shared" si="248"/>
        <v>1200</v>
      </c>
      <c r="BA139" s="15">
        <f t="shared" si="249"/>
        <v>1610</v>
      </c>
      <c r="BB139" s="3">
        <f t="shared" si="227"/>
        <v>1200</v>
      </c>
      <c r="BC139" s="138">
        <f>VLOOKUP($B139,'2022 counts'!$B$6:$AD$304,28,FALSE)</f>
        <v>118</v>
      </c>
      <c r="BD139" s="138">
        <f>VLOOKUP($B139,'2022 counts'!$B$6:$AD$304,29,FALSE)</f>
        <v>231</v>
      </c>
      <c r="BE139" s="11">
        <f t="shared" si="250"/>
        <v>0.19</v>
      </c>
      <c r="BF139" s="2" t="str">
        <f t="shared" si="251"/>
        <v>B</v>
      </c>
      <c r="BG139" s="135">
        <v>0.02</v>
      </c>
      <c r="BH139" s="135">
        <f>IF($AQ139="","",VLOOKUP($B139, '2022 counts'!$B$6:$T$304,19,FALSE))</f>
        <v>0.02</v>
      </c>
      <c r="BI139" s="38">
        <f t="shared" si="252"/>
        <v>0.02</v>
      </c>
      <c r="BJ139" s="39" t="str">
        <f t="shared" si="253"/>
        <v/>
      </c>
      <c r="BK139" s="15">
        <f>VLOOKUP($U139,'2020_CapacityTable'!$B$49:$F$71,2)</f>
        <v>11700</v>
      </c>
      <c r="BL139" s="15">
        <f>VLOOKUP($U139,'2020_CapacityTable'!$B$49:$F$71,3)</f>
        <v>18000</v>
      </c>
      <c r="BM139" s="15">
        <f>VLOOKUP($T139,'2020_CapacityTable'!$B$49:$F$71,4)</f>
        <v>24200</v>
      </c>
      <c r="BN139" s="15">
        <f>VLOOKUP($T139,'2020_CapacityTable'!$B$49:$F$71,5)</f>
        <v>32600</v>
      </c>
      <c r="BO139" s="15">
        <f t="shared" si="254"/>
        <v>11700</v>
      </c>
      <c r="BP139" s="15">
        <f t="shared" si="255"/>
        <v>18000</v>
      </c>
      <c r="BQ139" s="15">
        <f t="shared" si="256"/>
        <v>24200</v>
      </c>
      <c r="BR139" s="15">
        <f t="shared" si="257"/>
        <v>32600</v>
      </c>
      <c r="BS139" s="3">
        <f t="shared" si="228"/>
        <v>24200</v>
      </c>
      <c r="BT139" s="40">
        <f>'State of the System - Sumter Co'!AD139</f>
        <v>4660</v>
      </c>
      <c r="BU139" s="41">
        <f t="shared" si="258"/>
        <v>0.19</v>
      </c>
      <c r="BV139" s="2" t="str">
        <f t="shared" si="259"/>
        <v>B</v>
      </c>
      <c r="BW139" s="2">
        <f t="shared" si="260"/>
        <v>0.33</v>
      </c>
      <c r="BX139" s="15">
        <f>VLOOKUP($U139,'2020_CapacityTable'!$B$23:$F$45,2)</f>
        <v>580</v>
      </c>
      <c r="BY139" s="15">
        <f>VLOOKUP($U139,'2020_CapacityTable'!$B$23:$F$45,3)</f>
        <v>890</v>
      </c>
      <c r="BZ139" s="15">
        <f>VLOOKUP($U139,'2020_CapacityTable'!$B$23:$F$45,4)</f>
        <v>1200</v>
      </c>
      <c r="CA139" s="15">
        <f>VLOOKUP($U139,'2020_CapacityTable'!$B$23:$F$45,5)</f>
        <v>1610</v>
      </c>
      <c r="CB139" s="15">
        <f t="shared" si="261"/>
        <v>580</v>
      </c>
      <c r="CC139" s="15">
        <f t="shared" si="262"/>
        <v>890</v>
      </c>
      <c r="CD139" s="15">
        <f t="shared" si="263"/>
        <v>1200</v>
      </c>
      <c r="CE139" s="15">
        <f t="shared" si="264"/>
        <v>1610</v>
      </c>
      <c r="CF139" s="3">
        <f t="shared" si="229"/>
        <v>1200</v>
      </c>
      <c r="CG139" s="2">
        <f>'State of the System - Sumter Co'!AH139</f>
        <v>130</v>
      </c>
      <c r="CH139" s="2">
        <f>'State of the System - Sumter Co'!AI139</f>
        <v>255</v>
      </c>
      <c r="CI139" s="11">
        <f t="shared" si="265"/>
        <v>0.21</v>
      </c>
      <c r="CJ139" s="2" t="str">
        <f t="shared" si="230"/>
        <v>B</v>
      </c>
      <c r="CK139" s="3">
        <f t="shared" si="266"/>
        <v>35208</v>
      </c>
      <c r="CL139" s="11">
        <f t="shared" si="267"/>
        <v>0.13</v>
      </c>
      <c r="CM139" s="11" t="str">
        <f t="shared" si="268"/>
        <v>NOT CONGESTED</v>
      </c>
      <c r="CN139" s="3">
        <f t="shared" si="269"/>
        <v>1739</v>
      </c>
      <c r="CO139" s="11">
        <f t="shared" si="270"/>
        <v>0.15</v>
      </c>
      <c r="CP139" s="156" t="str">
        <f t="shared" si="231"/>
        <v>NOT CONGESTED</v>
      </c>
      <c r="CQ139" s="3"/>
      <c r="CR139" s="3"/>
      <c r="CS139" s="11" t="str">
        <f t="shared" si="271"/>
        <v/>
      </c>
      <c r="CT139" s="11" t="str">
        <f t="shared" si="232"/>
        <v/>
      </c>
      <c r="CU139" s="11" t="str">
        <f t="shared" si="272"/>
        <v/>
      </c>
      <c r="CV139" s="11" t="str">
        <f t="shared" si="273"/>
        <v/>
      </c>
      <c r="CW139" s="2"/>
      <c r="CX139" s="1"/>
      <c r="CY139" s="145" t="str">
        <f t="shared" si="274"/>
        <v/>
      </c>
      <c r="CZ139" s="32" t="str">
        <f t="shared" si="275"/>
        <v/>
      </c>
    </row>
    <row r="140" spans="1:104" ht="12.75" customHeight="1">
      <c r="A140" s="1">
        <v>3557110</v>
      </c>
      <c r="B140" s="1">
        <f t="shared" si="276"/>
        <v>36</v>
      </c>
      <c r="C140" s="1">
        <v>53</v>
      </c>
      <c r="D140" s="1">
        <f>VLOOKUP(C140,'2022 counts'!$A$6:$B$304,2,FALSE)</f>
        <v>36</v>
      </c>
      <c r="E140" s="1"/>
      <c r="F140" s="2" t="s">
        <v>6</v>
      </c>
      <c r="G140" s="156">
        <v>45</v>
      </c>
      <c r="H140" s="11">
        <v>1.0200028108999999</v>
      </c>
      <c r="I140" s="10" t="s">
        <v>744</v>
      </c>
      <c r="J140" s="10" t="s">
        <v>40</v>
      </c>
      <c r="K140" s="10" t="s">
        <v>58</v>
      </c>
      <c r="L140" s="157">
        <v>4</v>
      </c>
      <c r="M140" s="1">
        <f>'State of the System - Sumter Co'!K140</f>
        <v>4</v>
      </c>
      <c r="N140" s="1" t="str">
        <f>IF('State of the System - Sumter Co'!L140="URBAN","U","R")</f>
        <v>R</v>
      </c>
      <c r="O140" s="1" t="str">
        <f>IF('State of the System - Sumter Co'!M140="UNDIVIDED","U",IF('State of the System - Sumter Co'!M140="DIVIDED","D","F"))</f>
        <v>D</v>
      </c>
      <c r="P140" s="1" t="str">
        <f>'State of the System - Sumter Co'!N140</f>
        <v>INTERRUPTED</v>
      </c>
      <c r="Q140" s="1" t="str">
        <f t="shared" si="234"/>
        <v/>
      </c>
      <c r="R140" s="1" t="str">
        <f>'State of the System - Sumter Co'!O140</f>
        <v/>
      </c>
      <c r="S140" s="1" t="str">
        <f t="shared" si="235"/>
        <v/>
      </c>
      <c r="T140" s="1" t="str">
        <f t="shared" si="236"/>
        <v>R-4D</v>
      </c>
      <c r="U140" s="1" t="str">
        <f t="shared" si="225"/>
        <v>R-4D</v>
      </c>
      <c r="V140" s="1" t="s">
        <v>10</v>
      </c>
      <c r="W140" s="1" t="s">
        <v>25</v>
      </c>
      <c r="X140" s="1" t="s">
        <v>21</v>
      </c>
      <c r="Y140" s="1" t="str">
        <f>'State of the System - Sumter Co'!R140</f>
        <v>D</v>
      </c>
      <c r="Z140" s="157" t="str">
        <f t="shared" si="237"/>
        <v>Other CMP Network Roadways</v>
      </c>
      <c r="AA140" s="15">
        <f>VLOOKUP($T140,'2020_CapacityTable'!$B$49:$F$71,2)</f>
        <v>0</v>
      </c>
      <c r="AB140" s="15">
        <f>VLOOKUP($T140,'2020_CapacityTable'!$B$49:$F$71,3)</f>
        <v>29300</v>
      </c>
      <c r="AC140" s="15">
        <f>VLOOKUP($T140,'2020_CapacityTable'!$B$49:$F$71,4)</f>
        <v>30400</v>
      </c>
      <c r="AD140" s="15">
        <f>VLOOKUP($T140,'2020_CapacityTable'!$B$49:$F$71,5)</f>
        <v>30400</v>
      </c>
      <c r="AE140" s="35">
        <f t="shared" ref="AE140:AE154" si="277">IF(V140&lt;&gt;"STATE",-10%,"")</f>
        <v>-0.1</v>
      </c>
      <c r="AF140" s="36" t="str">
        <f t="shared" si="238"/>
        <v/>
      </c>
      <c r="AG140" s="35" t="str">
        <f t="shared" si="233"/>
        <v/>
      </c>
      <c r="AH140" s="35" t="str">
        <f t="shared" si="224"/>
        <v/>
      </c>
      <c r="AI140" s="35"/>
      <c r="AJ140" s="36"/>
      <c r="AK140" s="15">
        <f t="shared" si="239"/>
        <v>0</v>
      </c>
      <c r="AL140" s="15">
        <f t="shared" si="240"/>
        <v>26370</v>
      </c>
      <c r="AM140" s="15">
        <f t="shared" si="241"/>
        <v>27360</v>
      </c>
      <c r="AN140" s="15">
        <f t="shared" si="242"/>
        <v>27360</v>
      </c>
      <c r="AO140" s="3">
        <f t="shared" si="226"/>
        <v>27360</v>
      </c>
      <c r="AP140" s="138">
        <f>VLOOKUP($B140,'2022 counts'!$B$6:$R$304,17,FALSE)</f>
        <v>11776</v>
      </c>
      <c r="AQ140" s="11">
        <f t="shared" si="243"/>
        <v>0.43</v>
      </c>
      <c r="AR140" s="2" t="str">
        <f t="shared" si="244"/>
        <v>C</v>
      </c>
      <c r="AS140" s="26">
        <f t="shared" si="245"/>
        <v>4.38</v>
      </c>
      <c r="AT140" s="15">
        <f>VLOOKUP($T140,'2020_CapacityTable'!$B$23:$F$45,2)</f>
        <v>0</v>
      </c>
      <c r="AU140" s="15">
        <f>VLOOKUP($T140,'2020_CapacityTable'!$B$23:$F$45,3)</f>
        <v>1530</v>
      </c>
      <c r="AV140" s="15">
        <f>VLOOKUP($T140,'2020_CapacityTable'!$B$23:$F$45,4)</f>
        <v>1580</v>
      </c>
      <c r="AW140" s="15">
        <f>VLOOKUP($T140,'2020_CapacityTable'!$B$23:$F$45,5)</f>
        <v>1580</v>
      </c>
      <c r="AX140" s="15">
        <f t="shared" si="246"/>
        <v>0</v>
      </c>
      <c r="AY140" s="15">
        <f t="shared" si="247"/>
        <v>1377</v>
      </c>
      <c r="AZ140" s="15">
        <f t="shared" si="248"/>
        <v>1422</v>
      </c>
      <c r="BA140" s="15">
        <f t="shared" si="249"/>
        <v>1422</v>
      </c>
      <c r="BB140" s="3">
        <f t="shared" si="227"/>
        <v>1422</v>
      </c>
      <c r="BC140" s="138">
        <f>VLOOKUP($B140,'2022 counts'!$B$6:$AD$304,28,FALSE)</f>
        <v>477</v>
      </c>
      <c r="BD140" s="138">
        <f>VLOOKUP($B140,'2022 counts'!$B$6:$AD$304,29,FALSE)</f>
        <v>568</v>
      </c>
      <c r="BE140" s="11">
        <f t="shared" si="250"/>
        <v>0.4</v>
      </c>
      <c r="BF140" s="2" t="str">
        <f t="shared" si="251"/>
        <v>C</v>
      </c>
      <c r="BG140" s="135">
        <v>5.7500000000000002E-2</v>
      </c>
      <c r="BH140" s="135">
        <f>IF($AQ140="","",VLOOKUP($B140, '2022 counts'!$B$6:$T$304,19,FALSE))</f>
        <v>5.7500000000000002E-2</v>
      </c>
      <c r="BI140" s="38">
        <f t="shared" si="252"/>
        <v>5.7500000000000002E-2</v>
      </c>
      <c r="BJ140" s="39" t="str">
        <f t="shared" si="253"/>
        <v/>
      </c>
      <c r="BK140" s="15">
        <f>VLOOKUP($U140,'2020_CapacityTable'!$B$49:$F$71,2)</f>
        <v>0</v>
      </c>
      <c r="BL140" s="15">
        <f>VLOOKUP($U140,'2020_CapacityTable'!$B$49:$F$71,3)</f>
        <v>29300</v>
      </c>
      <c r="BM140" s="15">
        <f>VLOOKUP($T140,'2020_CapacityTable'!$B$49:$F$71,4)</f>
        <v>30400</v>
      </c>
      <c r="BN140" s="15">
        <f>VLOOKUP($T140,'2020_CapacityTable'!$B$49:$F$71,5)</f>
        <v>30400</v>
      </c>
      <c r="BO140" s="15">
        <f t="shared" si="254"/>
        <v>0</v>
      </c>
      <c r="BP140" s="15">
        <f t="shared" si="255"/>
        <v>26370</v>
      </c>
      <c r="BQ140" s="15">
        <f t="shared" si="256"/>
        <v>27360</v>
      </c>
      <c r="BR140" s="15">
        <f t="shared" si="257"/>
        <v>27360</v>
      </c>
      <c r="BS140" s="3">
        <f t="shared" si="228"/>
        <v>27360</v>
      </c>
      <c r="BT140" s="40">
        <f>'State of the System - Sumter Co'!AD140</f>
        <v>15574</v>
      </c>
      <c r="BU140" s="41">
        <f t="shared" si="258"/>
        <v>0.56999999999999995</v>
      </c>
      <c r="BV140" s="2" t="str">
        <f t="shared" si="259"/>
        <v>C</v>
      </c>
      <c r="BW140" s="2">
        <f t="shared" si="260"/>
        <v>5.8</v>
      </c>
      <c r="BX140" s="15">
        <f>VLOOKUP($U140,'2020_CapacityTable'!$B$23:$F$45,2)</f>
        <v>0</v>
      </c>
      <c r="BY140" s="15">
        <f>VLOOKUP($U140,'2020_CapacityTable'!$B$23:$F$45,3)</f>
        <v>1530</v>
      </c>
      <c r="BZ140" s="15">
        <f>VLOOKUP($U140,'2020_CapacityTable'!$B$23:$F$45,4)</f>
        <v>1580</v>
      </c>
      <c r="CA140" s="15">
        <f>VLOOKUP($U140,'2020_CapacityTable'!$B$23:$F$45,5)</f>
        <v>1580</v>
      </c>
      <c r="CB140" s="15">
        <f t="shared" si="261"/>
        <v>0</v>
      </c>
      <c r="CC140" s="15">
        <f t="shared" si="262"/>
        <v>1377</v>
      </c>
      <c r="CD140" s="15">
        <f t="shared" si="263"/>
        <v>1422</v>
      </c>
      <c r="CE140" s="15">
        <f t="shared" si="264"/>
        <v>1422</v>
      </c>
      <c r="CF140" s="3">
        <f t="shared" si="229"/>
        <v>1422</v>
      </c>
      <c r="CG140" s="2">
        <f>'State of the System - Sumter Co'!AH140</f>
        <v>631</v>
      </c>
      <c r="CH140" s="2">
        <f>'State of the System - Sumter Co'!AI140</f>
        <v>751</v>
      </c>
      <c r="CI140" s="11">
        <f t="shared" si="265"/>
        <v>0.53</v>
      </c>
      <c r="CJ140" s="2" t="str">
        <f t="shared" si="230"/>
        <v>C</v>
      </c>
      <c r="CK140" s="3">
        <f t="shared" si="266"/>
        <v>29549</v>
      </c>
      <c r="CL140" s="11">
        <f t="shared" si="267"/>
        <v>0.53</v>
      </c>
      <c r="CM140" s="11" t="str">
        <f t="shared" si="268"/>
        <v>NOT CONGESTED</v>
      </c>
      <c r="CN140" s="3">
        <f t="shared" si="269"/>
        <v>1536</v>
      </c>
      <c r="CO140" s="11">
        <f t="shared" si="270"/>
        <v>0.49</v>
      </c>
      <c r="CP140" s="156" t="str">
        <f t="shared" si="231"/>
        <v>NOT CONGESTED</v>
      </c>
      <c r="CQ140" s="3"/>
      <c r="CR140" s="3"/>
      <c r="CS140" s="11" t="str">
        <f t="shared" si="271"/>
        <v/>
      </c>
      <c r="CT140" s="11" t="str">
        <f t="shared" si="232"/>
        <v/>
      </c>
      <c r="CU140" s="11" t="str">
        <f t="shared" si="272"/>
        <v/>
      </c>
      <c r="CV140" s="11" t="str">
        <f t="shared" si="273"/>
        <v/>
      </c>
      <c r="CW140" s="2"/>
      <c r="CX140" s="1"/>
      <c r="CY140" s="145" t="str">
        <f t="shared" si="274"/>
        <v/>
      </c>
      <c r="CZ140" s="32" t="str">
        <f t="shared" si="275"/>
        <v/>
      </c>
    </row>
    <row r="141" spans="1:104" ht="12.75" customHeight="1">
      <c r="A141" s="1">
        <v>3557120</v>
      </c>
      <c r="B141" s="1" t="str">
        <f t="shared" si="276"/>
        <v>2020-52</v>
      </c>
      <c r="C141" s="1">
        <v>52</v>
      </c>
      <c r="D141" s="1" t="str">
        <f>VLOOKUP(C141,'2022 counts'!$A$6:$B$304,2,FALSE)</f>
        <v>2020-52</v>
      </c>
      <c r="E141" s="1"/>
      <c r="F141" s="3" t="s">
        <v>6</v>
      </c>
      <c r="G141" s="156">
        <v>55</v>
      </c>
      <c r="H141" s="11">
        <v>1.7443452427999999</v>
      </c>
      <c r="I141" s="10" t="s">
        <v>744</v>
      </c>
      <c r="J141" s="10" t="s">
        <v>58</v>
      </c>
      <c r="K141" s="10" t="s">
        <v>59</v>
      </c>
      <c r="L141" s="157">
        <v>4</v>
      </c>
      <c r="M141" s="1">
        <f>'State of the System - Sumter Co'!K141</f>
        <v>4</v>
      </c>
      <c r="N141" s="1" t="str">
        <f>IF('State of the System - Sumter Co'!L141="URBAN","U","R")</f>
        <v>R</v>
      </c>
      <c r="O141" s="1" t="str">
        <f>IF('State of the System - Sumter Co'!M141="UNDIVIDED","U",IF('State of the System - Sumter Co'!M141="DIVIDED","D","F"))</f>
        <v>D</v>
      </c>
      <c r="P141" s="1" t="str">
        <f>'State of the System - Sumter Co'!N141</f>
        <v>INTERRUPTED</v>
      </c>
      <c r="Q141" s="1" t="str">
        <f t="shared" si="234"/>
        <v/>
      </c>
      <c r="R141" s="1" t="str">
        <f>'State of the System - Sumter Co'!O141</f>
        <v/>
      </c>
      <c r="S141" s="1" t="str">
        <f t="shared" si="235"/>
        <v/>
      </c>
      <c r="T141" s="1" t="str">
        <f t="shared" si="236"/>
        <v>R-4D</v>
      </c>
      <c r="U141" s="1" t="str">
        <f t="shared" si="225"/>
        <v>R-4D</v>
      </c>
      <c r="V141" s="1" t="s">
        <v>10</v>
      </c>
      <c r="W141" s="1" t="s">
        <v>25</v>
      </c>
      <c r="X141" s="1" t="s">
        <v>21</v>
      </c>
      <c r="Y141" s="1" t="str">
        <f>'State of the System - Sumter Co'!R141</f>
        <v>D</v>
      </c>
      <c r="Z141" s="157" t="str">
        <f t="shared" si="237"/>
        <v>Other CMP Network Roadways</v>
      </c>
      <c r="AA141" s="15">
        <f>VLOOKUP($T141,'2020_CapacityTable'!$B$49:$F$71,2)</f>
        <v>0</v>
      </c>
      <c r="AB141" s="15">
        <f>VLOOKUP($T141,'2020_CapacityTable'!$B$49:$F$71,3)</f>
        <v>29300</v>
      </c>
      <c r="AC141" s="15">
        <f>VLOOKUP($T141,'2020_CapacityTable'!$B$49:$F$71,4)</f>
        <v>30400</v>
      </c>
      <c r="AD141" s="15">
        <f>VLOOKUP($T141,'2020_CapacityTable'!$B$49:$F$71,5)</f>
        <v>30400</v>
      </c>
      <c r="AE141" s="35">
        <f t="shared" si="277"/>
        <v>-0.1</v>
      </c>
      <c r="AF141" s="36" t="str">
        <f t="shared" si="238"/>
        <v/>
      </c>
      <c r="AG141" s="35" t="str">
        <f t="shared" si="233"/>
        <v/>
      </c>
      <c r="AH141" s="35" t="str">
        <f t="shared" si="224"/>
        <v/>
      </c>
      <c r="AI141" s="35"/>
      <c r="AJ141" s="36"/>
      <c r="AK141" s="15">
        <f t="shared" si="239"/>
        <v>0</v>
      </c>
      <c r="AL141" s="15">
        <f t="shared" si="240"/>
        <v>26370</v>
      </c>
      <c r="AM141" s="15">
        <f t="shared" si="241"/>
        <v>27360</v>
      </c>
      <c r="AN141" s="15">
        <f t="shared" si="242"/>
        <v>27360</v>
      </c>
      <c r="AO141" s="3">
        <f t="shared" si="226"/>
        <v>27360</v>
      </c>
      <c r="AP141" s="138">
        <f>VLOOKUP($B141,'2022 counts'!$B$6:$R$304,17,FALSE)</f>
        <v>15106.620000000112</v>
      </c>
      <c r="AQ141" s="11">
        <f t="shared" si="243"/>
        <v>0.55000000000000004</v>
      </c>
      <c r="AR141" s="2" t="str">
        <f t="shared" si="244"/>
        <v>C</v>
      </c>
      <c r="AS141" s="26">
        <f t="shared" si="245"/>
        <v>9.6199999999999992</v>
      </c>
      <c r="AT141" s="15">
        <f>VLOOKUP($T141,'2020_CapacityTable'!$B$23:$F$45,2)</f>
        <v>0</v>
      </c>
      <c r="AU141" s="15">
        <f>VLOOKUP($T141,'2020_CapacityTable'!$B$23:$F$45,3)</f>
        <v>1530</v>
      </c>
      <c r="AV141" s="15">
        <f>VLOOKUP($T141,'2020_CapacityTable'!$B$23:$F$45,4)</f>
        <v>1580</v>
      </c>
      <c r="AW141" s="15">
        <f>VLOOKUP($T141,'2020_CapacityTable'!$B$23:$F$45,5)</f>
        <v>1580</v>
      </c>
      <c r="AX141" s="15">
        <f t="shared" si="246"/>
        <v>0</v>
      </c>
      <c r="AY141" s="15">
        <f t="shared" si="247"/>
        <v>1377</v>
      </c>
      <c r="AZ141" s="15">
        <f t="shared" si="248"/>
        <v>1422</v>
      </c>
      <c r="BA141" s="15">
        <f t="shared" si="249"/>
        <v>1422</v>
      </c>
      <c r="BB141" s="3">
        <f t="shared" si="227"/>
        <v>1422</v>
      </c>
      <c r="BC141" s="138">
        <f>VLOOKUP($B141,'2022 counts'!$B$6:$AD$304,28,FALSE)</f>
        <v>378</v>
      </c>
      <c r="BD141" s="138">
        <f>VLOOKUP($B141,'2022 counts'!$B$6:$AD$304,29,FALSE)</f>
        <v>548</v>
      </c>
      <c r="BE141" s="11">
        <f t="shared" si="250"/>
        <v>0.39</v>
      </c>
      <c r="BF141" s="2" t="str">
        <f t="shared" si="251"/>
        <v>C</v>
      </c>
      <c r="BG141" s="135">
        <v>7.7499999999999999E-2</v>
      </c>
      <c r="BH141" s="135">
        <f>IF($AQ141="","",VLOOKUP($B141, '2022 counts'!$B$6:$T$304,19,FALSE))</f>
        <v>7.7499999999999999E-2</v>
      </c>
      <c r="BI141" s="38">
        <f t="shared" si="252"/>
        <v>7.7499999999999999E-2</v>
      </c>
      <c r="BJ141" s="39" t="str">
        <f t="shared" si="253"/>
        <v/>
      </c>
      <c r="BK141" s="15">
        <f>VLOOKUP($U141,'2020_CapacityTable'!$B$49:$F$71,2)</f>
        <v>0</v>
      </c>
      <c r="BL141" s="15">
        <f>VLOOKUP($U141,'2020_CapacityTable'!$B$49:$F$71,3)</f>
        <v>29300</v>
      </c>
      <c r="BM141" s="15">
        <f>VLOOKUP($T141,'2020_CapacityTable'!$B$49:$F$71,4)</f>
        <v>30400</v>
      </c>
      <c r="BN141" s="15">
        <f>VLOOKUP($T141,'2020_CapacityTable'!$B$49:$F$71,5)</f>
        <v>30400</v>
      </c>
      <c r="BO141" s="15">
        <f t="shared" si="254"/>
        <v>0</v>
      </c>
      <c r="BP141" s="15">
        <f t="shared" si="255"/>
        <v>26370</v>
      </c>
      <c r="BQ141" s="15">
        <f t="shared" si="256"/>
        <v>27360</v>
      </c>
      <c r="BR141" s="15">
        <f t="shared" si="257"/>
        <v>27360</v>
      </c>
      <c r="BS141" s="3">
        <f t="shared" si="228"/>
        <v>27360</v>
      </c>
      <c r="BT141" s="40">
        <f>'State of the System - Sumter Co'!AD141</f>
        <v>21941</v>
      </c>
      <c r="BU141" s="41">
        <f t="shared" si="258"/>
        <v>0.8</v>
      </c>
      <c r="BV141" s="2" t="str">
        <f t="shared" si="259"/>
        <v>C</v>
      </c>
      <c r="BW141" s="2">
        <f t="shared" si="260"/>
        <v>13.97</v>
      </c>
      <c r="BX141" s="15">
        <f>VLOOKUP($U141,'2020_CapacityTable'!$B$23:$F$45,2)</f>
        <v>0</v>
      </c>
      <c r="BY141" s="15">
        <f>VLOOKUP($U141,'2020_CapacityTable'!$B$23:$F$45,3)</f>
        <v>1530</v>
      </c>
      <c r="BZ141" s="15">
        <f>VLOOKUP($U141,'2020_CapacityTable'!$B$23:$F$45,4)</f>
        <v>1580</v>
      </c>
      <c r="CA141" s="15">
        <f>VLOOKUP($U141,'2020_CapacityTable'!$B$23:$F$45,5)</f>
        <v>1580</v>
      </c>
      <c r="CB141" s="15">
        <f t="shared" si="261"/>
        <v>0</v>
      </c>
      <c r="CC141" s="15">
        <f t="shared" si="262"/>
        <v>1377</v>
      </c>
      <c r="CD141" s="15">
        <f t="shared" si="263"/>
        <v>1422</v>
      </c>
      <c r="CE141" s="15">
        <f t="shared" si="264"/>
        <v>1422</v>
      </c>
      <c r="CF141" s="3">
        <f t="shared" si="229"/>
        <v>1422</v>
      </c>
      <c r="CG141" s="2">
        <f>'State of the System - Sumter Co'!AH141</f>
        <v>549</v>
      </c>
      <c r="CH141" s="2">
        <f>'State of the System - Sumter Co'!AI141</f>
        <v>796</v>
      </c>
      <c r="CI141" s="11">
        <f t="shared" si="265"/>
        <v>0.56000000000000005</v>
      </c>
      <c r="CJ141" s="2" t="str">
        <f t="shared" si="230"/>
        <v>C</v>
      </c>
      <c r="CK141" s="3">
        <f t="shared" si="266"/>
        <v>29549</v>
      </c>
      <c r="CL141" s="11">
        <f t="shared" si="267"/>
        <v>0.74</v>
      </c>
      <c r="CM141" s="11" t="str">
        <f t="shared" si="268"/>
        <v>NOT CONGESTED</v>
      </c>
      <c r="CN141" s="3">
        <f t="shared" si="269"/>
        <v>1536</v>
      </c>
      <c r="CO141" s="11">
        <f t="shared" si="270"/>
        <v>0.52</v>
      </c>
      <c r="CP141" s="156" t="str">
        <f t="shared" si="231"/>
        <v>NOT CONGESTED</v>
      </c>
      <c r="CQ141" s="3"/>
      <c r="CR141" s="3"/>
      <c r="CS141" s="11" t="str">
        <f t="shared" si="271"/>
        <v/>
      </c>
      <c r="CT141" s="11" t="str">
        <f t="shared" si="232"/>
        <v/>
      </c>
      <c r="CU141" s="11" t="str">
        <f t="shared" si="272"/>
        <v/>
      </c>
      <c r="CV141" s="11" t="str">
        <f t="shared" si="273"/>
        <v/>
      </c>
      <c r="CW141" s="2"/>
      <c r="CX141" s="1"/>
      <c r="CY141" s="145" t="str">
        <f t="shared" si="274"/>
        <v/>
      </c>
      <c r="CZ141" s="32" t="str">
        <f t="shared" si="275"/>
        <v/>
      </c>
    </row>
    <row r="142" spans="1:104" ht="12.75" customHeight="1">
      <c r="A142" s="1">
        <v>3557130</v>
      </c>
      <c r="B142" s="1">
        <f t="shared" si="276"/>
        <v>35</v>
      </c>
      <c r="C142" s="1">
        <v>51</v>
      </c>
      <c r="D142" s="1">
        <f>VLOOKUP(C142,'2022 counts'!$A$6:$B$304,2,FALSE)</f>
        <v>35</v>
      </c>
      <c r="E142" s="1"/>
      <c r="F142" s="2" t="s">
        <v>6</v>
      </c>
      <c r="G142" s="156">
        <v>55</v>
      </c>
      <c r="H142" s="11">
        <v>2.00142694004</v>
      </c>
      <c r="I142" s="10" t="s">
        <v>763</v>
      </c>
      <c r="J142" s="10" t="s">
        <v>59</v>
      </c>
      <c r="K142" s="10" t="s">
        <v>60</v>
      </c>
      <c r="L142" s="157">
        <v>4</v>
      </c>
      <c r="M142" s="1">
        <f>'State of the System - Sumter Co'!K142</f>
        <v>4</v>
      </c>
      <c r="N142" s="1" t="str">
        <f>IF('State of the System - Sumter Co'!L142="URBAN","U","R")</f>
        <v>R</v>
      </c>
      <c r="O142" s="1" t="str">
        <f>IF('State of the System - Sumter Co'!M142="UNDIVIDED","U",IF('State of the System - Sumter Co'!M142="DIVIDED","D","F"))</f>
        <v>D</v>
      </c>
      <c r="P142" s="1" t="str">
        <f>'State of the System - Sumter Co'!N142</f>
        <v>INTERRUPTED</v>
      </c>
      <c r="Q142" s="1" t="str">
        <f t="shared" si="234"/>
        <v/>
      </c>
      <c r="R142" s="1" t="str">
        <f>'State of the System - Sumter Co'!O142</f>
        <v/>
      </c>
      <c r="S142" s="1" t="str">
        <f t="shared" si="235"/>
        <v/>
      </c>
      <c r="T142" s="1" t="str">
        <f t="shared" si="236"/>
        <v>R-4D</v>
      </c>
      <c r="U142" s="1" t="str">
        <f t="shared" si="225"/>
        <v>R-4D</v>
      </c>
      <c r="V142" s="1" t="s">
        <v>10</v>
      </c>
      <c r="W142" s="1" t="s">
        <v>11</v>
      </c>
      <c r="X142" s="1" t="s">
        <v>21</v>
      </c>
      <c r="Y142" s="1" t="str">
        <f>'State of the System - Sumter Co'!R142</f>
        <v>D</v>
      </c>
      <c r="Z142" s="157" t="str">
        <f t="shared" si="237"/>
        <v>Other CMP Network Roadways</v>
      </c>
      <c r="AA142" s="15">
        <f>VLOOKUP($T142,'2020_CapacityTable'!$B$49:$F$71,2)</f>
        <v>0</v>
      </c>
      <c r="AB142" s="15">
        <f>VLOOKUP($T142,'2020_CapacityTable'!$B$49:$F$71,3)</f>
        <v>29300</v>
      </c>
      <c r="AC142" s="15">
        <f>VLOOKUP($T142,'2020_CapacityTable'!$B$49:$F$71,4)</f>
        <v>30400</v>
      </c>
      <c r="AD142" s="15">
        <f>VLOOKUP($T142,'2020_CapacityTable'!$B$49:$F$71,5)</f>
        <v>30400</v>
      </c>
      <c r="AE142" s="35">
        <f t="shared" si="277"/>
        <v>-0.1</v>
      </c>
      <c r="AF142" s="36" t="str">
        <f t="shared" si="238"/>
        <v/>
      </c>
      <c r="AG142" s="35" t="str">
        <f t="shared" si="233"/>
        <v/>
      </c>
      <c r="AH142" s="35" t="str">
        <f t="shared" si="224"/>
        <v/>
      </c>
      <c r="AI142" s="35"/>
      <c r="AJ142" s="36">
        <v>0.05</v>
      </c>
      <c r="AK142" s="15">
        <f t="shared" si="239"/>
        <v>0</v>
      </c>
      <c r="AL142" s="15">
        <f t="shared" si="240"/>
        <v>27835</v>
      </c>
      <c r="AM142" s="15">
        <f t="shared" si="241"/>
        <v>28880</v>
      </c>
      <c r="AN142" s="15">
        <f t="shared" si="242"/>
        <v>28880</v>
      </c>
      <c r="AO142" s="3">
        <f t="shared" si="226"/>
        <v>28880</v>
      </c>
      <c r="AP142" s="138">
        <f>VLOOKUP($B142,'2022 counts'!$B$6:$R$304,17,FALSE)</f>
        <v>24291</v>
      </c>
      <c r="AQ142" s="11">
        <f t="shared" si="243"/>
        <v>0.84</v>
      </c>
      <c r="AR142" s="2" t="str">
        <f t="shared" si="244"/>
        <v>C</v>
      </c>
      <c r="AS142" s="26">
        <f t="shared" si="245"/>
        <v>17.75</v>
      </c>
      <c r="AT142" s="15">
        <f>VLOOKUP($T142,'2020_CapacityTable'!$B$23:$F$45,2)</f>
        <v>0</v>
      </c>
      <c r="AU142" s="15">
        <f>VLOOKUP($T142,'2020_CapacityTable'!$B$23:$F$45,3)</f>
        <v>1530</v>
      </c>
      <c r="AV142" s="15">
        <f>VLOOKUP($T142,'2020_CapacityTable'!$B$23:$F$45,4)</f>
        <v>1580</v>
      </c>
      <c r="AW142" s="15">
        <f>VLOOKUP($T142,'2020_CapacityTable'!$B$23:$F$45,5)</f>
        <v>1580</v>
      </c>
      <c r="AX142" s="15">
        <f t="shared" si="246"/>
        <v>0</v>
      </c>
      <c r="AY142" s="15">
        <f t="shared" si="247"/>
        <v>1454</v>
      </c>
      <c r="AZ142" s="15">
        <f t="shared" si="248"/>
        <v>1501</v>
      </c>
      <c r="BA142" s="15">
        <f t="shared" si="249"/>
        <v>1501</v>
      </c>
      <c r="BB142" s="3">
        <f t="shared" si="227"/>
        <v>1501</v>
      </c>
      <c r="BC142" s="138">
        <f>VLOOKUP($B142,'2022 counts'!$B$6:$AD$304,28,FALSE)</f>
        <v>1092</v>
      </c>
      <c r="BD142" s="138">
        <f>VLOOKUP($B142,'2022 counts'!$B$6:$AD$304,29,FALSE)</f>
        <v>1078</v>
      </c>
      <c r="BE142" s="11">
        <f t="shared" si="250"/>
        <v>0.73</v>
      </c>
      <c r="BF142" s="2" t="str">
        <f t="shared" si="251"/>
        <v>C</v>
      </c>
      <c r="BG142" s="135">
        <v>7.4999999999999997E-2</v>
      </c>
      <c r="BH142" s="135">
        <f>IF($AQ142="","",VLOOKUP($B142, '2022 counts'!$B$6:$T$304,19,FALSE))</f>
        <v>7.4999999999999997E-2</v>
      </c>
      <c r="BI142" s="38">
        <v>0.02</v>
      </c>
      <c r="BJ142" s="386">
        <v>-2</v>
      </c>
      <c r="BK142" s="15">
        <f>VLOOKUP($U142,'2020_CapacityTable'!$B$49:$F$71,2)</f>
        <v>0</v>
      </c>
      <c r="BL142" s="15">
        <f>VLOOKUP($U142,'2020_CapacityTable'!$B$49:$F$71,3)</f>
        <v>29300</v>
      </c>
      <c r="BM142" s="15">
        <f>VLOOKUP($T142,'2020_CapacityTable'!$B$49:$F$71,4)</f>
        <v>30400</v>
      </c>
      <c r="BN142" s="15">
        <f>VLOOKUP($T142,'2020_CapacityTable'!$B$49:$F$71,5)</f>
        <v>30400</v>
      </c>
      <c r="BO142" s="15">
        <f t="shared" si="254"/>
        <v>0</v>
      </c>
      <c r="BP142" s="15">
        <f t="shared" si="255"/>
        <v>27835</v>
      </c>
      <c r="BQ142" s="15">
        <f t="shared" si="256"/>
        <v>28880</v>
      </c>
      <c r="BR142" s="15">
        <f t="shared" si="257"/>
        <v>28880</v>
      </c>
      <c r="BS142" s="3">
        <f t="shared" si="228"/>
        <v>28880</v>
      </c>
      <c r="BT142" s="40">
        <f>'State of the System - Sumter Co'!AD142</f>
        <v>26819</v>
      </c>
      <c r="BU142" s="41">
        <f t="shared" si="258"/>
        <v>0.93</v>
      </c>
      <c r="BV142" s="2" t="str">
        <f t="shared" si="259"/>
        <v>C</v>
      </c>
      <c r="BW142" s="2">
        <f t="shared" si="260"/>
        <v>19.59</v>
      </c>
      <c r="BX142" s="15">
        <f>VLOOKUP($U142,'2020_CapacityTable'!$B$23:$F$45,2)</f>
        <v>0</v>
      </c>
      <c r="BY142" s="15">
        <f>VLOOKUP($U142,'2020_CapacityTable'!$B$23:$F$45,3)</f>
        <v>1530</v>
      </c>
      <c r="BZ142" s="15">
        <f>VLOOKUP($U142,'2020_CapacityTable'!$B$23:$F$45,4)</f>
        <v>1580</v>
      </c>
      <c r="CA142" s="15">
        <f>VLOOKUP($U142,'2020_CapacityTable'!$B$23:$F$45,5)</f>
        <v>1580</v>
      </c>
      <c r="CB142" s="15">
        <f t="shared" si="261"/>
        <v>0</v>
      </c>
      <c r="CC142" s="15">
        <f t="shared" si="262"/>
        <v>1454</v>
      </c>
      <c r="CD142" s="15">
        <f t="shared" si="263"/>
        <v>1501</v>
      </c>
      <c r="CE142" s="15">
        <f t="shared" si="264"/>
        <v>1501</v>
      </c>
      <c r="CF142" s="3">
        <f t="shared" si="229"/>
        <v>1501</v>
      </c>
      <c r="CG142" s="2">
        <f>'State of the System - Sumter Co'!AH142</f>
        <v>1206</v>
      </c>
      <c r="CH142" s="2">
        <f>'State of the System - Sumter Co'!AI142</f>
        <v>1190</v>
      </c>
      <c r="CI142" s="11">
        <f t="shared" si="265"/>
        <v>0.8</v>
      </c>
      <c r="CJ142" s="2" t="str">
        <f t="shared" si="230"/>
        <v>C</v>
      </c>
      <c r="CK142" s="3">
        <f t="shared" si="266"/>
        <v>31190</v>
      </c>
      <c r="CL142" s="11">
        <f t="shared" si="267"/>
        <v>0.86</v>
      </c>
      <c r="CM142" s="11" t="str">
        <f t="shared" si="268"/>
        <v>APPROACHING CONGESTION</v>
      </c>
      <c r="CN142" s="3">
        <f t="shared" si="269"/>
        <v>1621</v>
      </c>
      <c r="CO142" s="11">
        <f t="shared" si="270"/>
        <v>0.74</v>
      </c>
      <c r="CP142" s="156" t="str">
        <f t="shared" si="231"/>
        <v>NOT CONGESTED</v>
      </c>
      <c r="CQ142" s="3"/>
      <c r="CR142" s="3"/>
      <c r="CS142" s="11" t="str">
        <f t="shared" si="271"/>
        <v/>
      </c>
      <c r="CT142" s="11" t="str">
        <f t="shared" si="232"/>
        <v/>
      </c>
      <c r="CU142" s="11" t="str">
        <f t="shared" si="272"/>
        <v/>
      </c>
      <c r="CV142" s="11" t="str">
        <f t="shared" si="273"/>
        <v/>
      </c>
      <c r="CW142" s="2"/>
      <c r="CX142" s="1"/>
      <c r="CY142" s="145" t="str">
        <f t="shared" si="274"/>
        <v/>
      </c>
      <c r="CZ142" s="32" t="str">
        <f t="shared" si="275"/>
        <v/>
      </c>
    </row>
    <row r="143" spans="1:104" ht="12.75" customHeight="1">
      <c r="A143" s="1">
        <v>3557140</v>
      </c>
      <c r="B143" s="1">
        <f t="shared" si="276"/>
        <v>34</v>
      </c>
      <c r="C143" s="1">
        <v>50</v>
      </c>
      <c r="D143" s="1">
        <f>VLOOKUP(C143,'2022 counts'!$A$6:$B$304,2,FALSE)</f>
        <v>34</v>
      </c>
      <c r="E143" s="1"/>
      <c r="F143" s="2" t="s">
        <v>6</v>
      </c>
      <c r="G143" s="156">
        <v>45</v>
      </c>
      <c r="H143" s="11">
        <v>0.89764077691699995</v>
      </c>
      <c r="I143" s="10" t="s">
        <v>744</v>
      </c>
      <c r="J143" s="10" t="s">
        <v>60</v>
      </c>
      <c r="K143" s="10" t="s">
        <v>23</v>
      </c>
      <c r="L143" s="157">
        <v>4</v>
      </c>
      <c r="M143" s="1">
        <f>'State of the System - Sumter Co'!K143</f>
        <v>4</v>
      </c>
      <c r="N143" s="1" t="str">
        <f>IF('State of the System - Sumter Co'!L143="URBAN","U","R")</f>
        <v>U</v>
      </c>
      <c r="O143" s="1" t="str">
        <f>IF('State of the System - Sumter Co'!M143="UNDIVIDED","U",IF('State of the System - Sumter Co'!M143="DIVIDED","D","F"))</f>
        <v>D</v>
      </c>
      <c r="P143" s="1" t="str">
        <f>'State of the System - Sumter Co'!N143</f>
        <v>INTERRUPTED</v>
      </c>
      <c r="Q143" s="1" t="str">
        <f t="shared" si="234"/>
        <v/>
      </c>
      <c r="R143" s="1" t="str">
        <f>'State of the System - Sumter Co'!O143</f>
        <v/>
      </c>
      <c r="S143" s="1" t="str">
        <f t="shared" si="235"/>
        <v>-1</v>
      </c>
      <c r="T143" s="1" t="str">
        <f t="shared" si="236"/>
        <v>U-4D-1</v>
      </c>
      <c r="U143" s="1" t="str">
        <f t="shared" si="225"/>
        <v>U-4D-1</v>
      </c>
      <c r="V143" s="1" t="s">
        <v>10</v>
      </c>
      <c r="W143" s="1" t="s">
        <v>25</v>
      </c>
      <c r="X143" s="1" t="s">
        <v>21</v>
      </c>
      <c r="Y143" s="1" t="str">
        <f>'State of the System - Sumter Co'!R143</f>
        <v>D</v>
      </c>
      <c r="Z143" s="157" t="str">
        <f t="shared" si="237"/>
        <v>Other CMP Network Roadways</v>
      </c>
      <c r="AA143" s="15">
        <f>VLOOKUP($T143,'2020_CapacityTable'!$B$49:$F$71,2)</f>
        <v>0</v>
      </c>
      <c r="AB143" s="15">
        <f>VLOOKUP($T143,'2020_CapacityTable'!$B$49:$F$71,3)</f>
        <v>37900</v>
      </c>
      <c r="AC143" s="15">
        <f>VLOOKUP($T143,'2020_CapacityTable'!$B$49:$F$71,4)</f>
        <v>39800</v>
      </c>
      <c r="AD143" s="15">
        <f>VLOOKUP($T143,'2020_CapacityTable'!$B$49:$F$71,5)</f>
        <v>39800</v>
      </c>
      <c r="AE143" s="35">
        <f t="shared" si="277"/>
        <v>-0.1</v>
      </c>
      <c r="AF143" s="36" t="str">
        <f t="shared" si="238"/>
        <v/>
      </c>
      <c r="AG143" s="35" t="str">
        <f t="shared" si="233"/>
        <v/>
      </c>
      <c r="AH143" s="35" t="str">
        <f t="shared" si="224"/>
        <v/>
      </c>
      <c r="AI143" s="35"/>
      <c r="AJ143" s="36">
        <v>0.05</v>
      </c>
      <c r="AK143" s="15">
        <f t="shared" si="239"/>
        <v>0</v>
      </c>
      <c r="AL143" s="15">
        <f t="shared" si="240"/>
        <v>36005</v>
      </c>
      <c r="AM143" s="15">
        <f t="shared" si="241"/>
        <v>37810</v>
      </c>
      <c r="AN143" s="15">
        <f t="shared" si="242"/>
        <v>37810</v>
      </c>
      <c r="AO143" s="3">
        <f t="shared" si="226"/>
        <v>37810</v>
      </c>
      <c r="AP143" s="138">
        <f>VLOOKUP($B143,'2022 counts'!$B$6:$R$304,17,FALSE)</f>
        <v>24892</v>
      </c>
      <c r="AQ143" s="11">
        <f t="shared" si="243"/>
        <v>0.66</v>
      </c>
      <c r="AR143" s="2" t="str">
        <f t="shared" si="244"/>
        <v>C</v>
      </c>
      <c r="AS143" s="26">
        <f t="shared" si="245"/>
        <v>8.16</v>
      </c>
      <c r="AT143" s="15">
        <f>VLOOKUP($T143,'2020_CapacityTable'!$B$23:$F$45,2)</f>
        <v>0</v>
      </c>
      <c r="AU143" s="15">
        <f>VLOOKUP($T143,'2020_CapacityTable'!$B$23:$F$45,3)</f>
        <v>1910</v>
      </c>
      <c r="AV143" s="15">
        <f>VLOOKUP($T143,'2020_CapacityTable'!$B$23:$F$45,4)</f>
        <v>2000</v>
      </c>
      <c r="AW143" s="15">
        <f>VLOOKUP($T143,'2020_CapacityTable'!$B$23:$F$45,5)</f>
        <v>2000</v>
      </c>
      <c r="AX143" s="15">
        <f t="shared" si="246"/>
        <v>0</v>
      </c>
      <c r="AY143" s="15">
        <f t="shared" si="247"/>
        <v>1815</v>
      </c>
      <c r="AZ143" s="15">
        <f t="shared" si="248"/>
        <v>1900</v>
      </c>
      <c r="BA143" s="15">
        <f t="shared" si="249"/>
        <v>1900</v>
      </c>
      <c r="BB143" s="3">
        <f t="shared" si="227"/>
        <v>1900</v>
      </c>
      <c r="BC143" s="138">
        <f>VLOOKUP($B143,'2022 counts'!$B$6:$AD$304,28,FALSE)</f>
        <v>1125</v>
      </c>
      <c r="BD143" s="138">
        <f>VLOOKUP($B143,'2022 counts'!$B$6:$AD$304,29,FALSE)</f>
        <v>1003</v>
      </c>
      <c r="BE143" s="11">
        <f t="shared" si="250"/>
        <v>0.59</v>
      </c>
      <c r="BF143" s="2" t="str">
        <f t="shared" si="251"/>
        <v>C</v>
      </c>
      <c r="BG143" s="135">
        <v>7.0000000000000007E-2</v>
      </c>
      <c r="BH143" s="135">
        <f>IF($AQ143="","",VLOOKUP($B143, '2022 counts'!$B$6:$T$304,19,FALSE))</f>
        <v>7.0000000000000007E-2</v>
      </c>
      <c r="BI143" s="38">
        <f t="shared" si="252"/>
        <v>7.0000000000000007E-2</v>
      </c>
      <c r="BJ143" s="39" t="str">
        <f t="shared" si="253"/>
        <v/>
      </c>
      <c r="BK143" s="15">
        <f>VLOOKUP($U143,'2020_CapacityTable'!$B$49:$F$71,2)</f>
        <v>0</v>
      </c>
      <c r="BL143" s="15">
        <f>VLOOKUP($U143,'2020_CapacityTable'!$B$49:$F$71,3)</f>
        <v>37900</v>
      </c>
      <c r="BM143" s="15">
        <f>VLOOKUP($T143,'2020_CapacityTable'!$B$49:$F$71,4)</f>
        <v>39800</v>
      </c>
      <c r="BN143" s="15">
        <f>VLOOKUP($T143,'2020_CapacityTable'!$B$49:$F$71,5)</f>
        <v>39800</v>
      </c>
      <c r="BO143" s="15">
        <f t="shared" si="254"/>
        <v>0</v>
      </c>
      <c r="BP143" s="15">
        <f t="shared" si="255"/>
        <v>36005</v>
      </c>
      <c r="BQ143" s="15">
        <f t="shared" si="256"/>
        <v>37810</v>
      </c>
      <c r="BR143" s="15">
        <f t="shared" si="257"/>
        <v>37810</v>
      </c>
      <c r="BS143" s="3">
        <f t="shared" si="228"/>
        <v>37810</v>
      </c>
      <c r="BT143" s="40">
        <f>'State of the System - Sumter Co'!AD143</f>
        <v>34912</v>
      </c>
      <c r="BU143" s="41">
        <f t="shared" si="258"/>
        <v>0.92</v>
      </c>
      <c r="BV143" s="2" t="str">
        <f t="shared" si="259"/>
        <v>C</v>
      </c>
      <c r="BW143" s="2">
        <f t="shared" si="260"/>
        <v>11.44</v>
      </c>
      <c r="BX143" s="15">
        <f>VLOOKUP($U143,'2020_CapacityTable'!$B$23:$F$45,2)</f>
        <v>0</v>
      </c>
      <c r="BY143" s="15">
        <f>VLOOKUP($U143,'2020_CapacityTable'!$B$23:$F$45,3)</f>
        <v>1910</v>
      </c>
      <c r="BZ143" s="15">
        <f>VLOOKUP($U143,'2020_CapacityTable'!$B$23:$F$45,4)</f>
        <v>2000</v>
      </c>
      <c r="CA143" s="15">
        <f>VLOOKUP($U143,'2020_CapacityTable'!$B$23:$F$45,5)</f>
        <v>2000</v>
      </c>
      <c r="CB143" s="15">
        <f t="shared" si="261"/>
        <v>0</v>
      </c>
      <c r="CC143" s="15">
        <f t="shared" si="262"/>
        <v>1815</v>
      </c>
      <c r="CD143" s="15">
        <f t="shared" si="263"/>
        <v>1900</v>
      </c>
      <c r="CE143" s="15">
        <f t="shared" si="264"/>
        <v>1900</v>
      </c>
      <c r="CF143" s="3">
        <f t="shared" si="229"/>
        <v>1900</v>
      </c>
      <c r="CG143" s="2">
        <f>'State of the System - Sumter Co'!AH143</f>
        <v>1578</v>
      </c>
      <c r="CH143" s="2">
        <f>'State of the System - Sumter Co'!AI143</f>
        <v>1407</v>
      </c>
      <c r="CI143" s="11">
        <f t="shared" si="265"/>
        <v>0.83</v>
      </c>
      <c r="CJ143" s="2" t="str">
        <f t="shared" si="230"/>
        <v>C</v>
      </c>
      <c r="CK143" s="3">
        <f t="shared" si="266"/>
        <v>40835</v>
      </c>
      <c r="CL143" s="11">
        <f t="shared" si="267"/>
        <v>0.85</v>
      </c>
      <c r="CM143" s="11" t="str">
        <f t="shared" si="268"/>
        <v>APPROACHING CONGESTION</v>
      </c>
      <c r="CN143" s="3">
        <f t="shared" si="269"/>
        <v>2052</v>
      </c>
      <c r="CO143" s="11">
        <f t="shared" si="270"/>
        <v>0.77</v>
      </c>
      <c r="CP143" s="156" t="str">
        <f t="shared" si="231"/>
        <v>NOT CONGESTED</v>
      </c>
      <c r="CQ143" s="3"/>
      <c r="CR143" s="3"/>
      <c r="CS143" s="11" t="str">
        <f t="shared" si="271"/>
        <v/>
      </c>
      <c r="CT143" s="11" t="str">
        <f t="shared" si="232"/>
        <v/>
      </c>
      <c r="CU143" s="11" t="str">
        <f t="shared" si="272"/>
        <v/>
      </c>
      <c r="CV143" s="11" t="str">
        <f t="shared" si="273"/>
        <v/>
      </c>
      <c r="CW143" s="2"/>
      <c r="CX143" s="1"/>
      <c r="CY143" s="145" t="str">
        <f t="shared" si="274"/>
        <v/>
      </c>
      <c r="CZ143" s="32" t="str">
        <f t="shared" si="275"/>
        <v/>
      </c>
    </row>
    <row r="144" spans="1:104" ht="12.75" customHeight="1">
      <c r="A144" s="1">
        <v>3558110</v>
      </c>
      <c r="B144" s="1">
        <f t="shared" si="276"/>
        <v>180061</v>
      </c>
      <c r="C144" s="1">
        <v>404</v>
      </c>
      <c r="D144" s="1" t="str">
        <f>VLOOKUP(C144,'2022 counts'!$A$6:$B$304,2,FALSE)</f>
        <v>STATE</v>
      </c>
      <c r="E144" s="1">
        <v>180061</v>
      </c>
      <c r="F144" s="2" t="s">
        <v>136</v>
      </c>
      <c r="G144" s="156">
        <v>35</v>
      </c>
      <c r="H144" s="11">
        <v>0.25853301292600001</v>
      </c>
      <c r="I144" s="10" t="s">
        <v>81</v>
      </c>
      <c r="J144" s="10" t="s">
        <v>749</v>
      </c>
      <c r="K144" s="10" t="s">
        <v>762</v>
      </c>
      <c r="L144" s="157">
        <v>2</v>
      </c>
      <c r="M144" s="1">
        <f>'State of the System - Sumter Co'!K144</f>
        <v>2</v>
      </c>
      <c r="N144" s="1" t="str">
        <f>IF('State of the System - Sumter Co'!L144="URBAN","U","R")</f>
        <v>U</v>
      </c>
      <c r="O144" s="1" t="str">
        <f>IF('State of the System - Sumter Co'!M144="UNDIVIDED","U",IF('State of the System - Sumter Co'!M144="DIVIDED","D","F"))</f>
        <v>U</v>
      </c>
      <c r="P144" s="1" t="str">
        <f>'State of the System - Sumter Co'!N144</f>
        <v>UNINTERRUPTED</v>
      </c>
      <c r="Q144" s="1" t="str">
        <f t="shared" si="234"/>
        <v/>
      </c>
      <c r="R144" s="1" t="str">
        <f>'State of the System - Sumter Co'!O144</f>
        <v/>
      </c>
      <c r="S144" s="1" t="str">
        <f t="shared" si="235"/>
        <v>-x</v>
      </c>
      <c r="T144" s="1" t="str">
        <f t="shared" si="236"/>
        <v>U-2U-x</v>
      </c>
      <c r="U144" s="1" t="str">
        <f t="shared" si="225"/>
        <v>U-2U-x</v>
      </c>
      <c r="V144" s="1" t="s">
        <v>137</v>
      </c>
      <c r="W144" s="1" t="s">
        <v>90</v>
      </c>
      <c r="X144" s="1" t="s">
        <v>138</v>
      </c>
      <c r="Y144" s="1" t="str">
        <f>'State of the System - Sumter Co'!R144</f>
        <v>D</v>
      </c>
      <c r="Z144" s="157" t="str">
        <f t="shared" si="237"/>
        <v>NHS Non-Interstate</v>
      </c>
      <c r="AA144" s="15">
        <f>VLOOKUP($T144,'2020_CapacityTable'!$B$49:$F$71,2)</f>
        <v>11700</v>
      </c>
      <c r="AB144" s="15">
        <f>VLOOKUP($T144,'2020_CapacityTable'!$B$49:$F$71,3)</f>
        <v>18000</v>
      </c>
      <c r="AC144" s="15">
        <f>VLOOKUP($T144,'2020_CapacityTable'!$B$49:$F$71,4)</f>
        <v>24200</v>
      </c>
      <c r="AD144" s="15">
        <f>VLOOKUP($T144,'2020_CapacityTable'!$B$49:$F$71,5)</f>
        <v>32600</v>
      </c>
      <c r="AE144" s="35" t="str">
        <f t="shared" si="277"/>
        <v/>
      </c>
      <c r="AF144" s="36" t="str">
        <f t="shared" si="238"/>
        <v/>
      </c>
      <c r="AG144" s="35" t="str">
        <f t="shared" si="233"/>
        <v/>
      </c>
      <c r="AH144" s="35" t="str">
        <f t="shared" si="224"/>
        <v/>
      </c>
      <c r="AI144" s="35"/>
      <c r="AJ144" s="36"/>
      <c r="AK144" s="15">
        <f t="shared" si="239"/>
        <v>11700</v>
      </c>
      <c r="AL144" s="15">
        <f t="shared" si="240"/>
        <v>18000</v>
      </c>
      <c r="AM144" s="15">
        <f t="shared" si="241"/>
        <v>24200</v>
      </c>
      <c r="AN144" s="15">
        <f t="shared" si="242"/>
        <v>32600</v>
      </c>
      <c r="AO144" s="3">
        <f t="shared" si="226"/>
        <v>24200</v>
      </c>
      <c r="AP144" s="138">
        <f>VLOOKUP($B144,'2022 counts'!$B$6:$R$304,17,FALSE)</f>
        <v>7631.428571428638</v>
      </c>
      <c r="AQ144" s="11">
        <f t="shared" si="243"/>
        <v>0.32</v>
      </c>
      <c r="AR144" s="2" t="str">
        <f t="shared" si="244"/>
        <v>B</v>
      </c>
      <c r="AS144" s="26">
        <f t="shared" si="245"/>
        <v>0.72</v>
      </c>
      <c r="AT144" s="15">
        <f>VLOOKUP($T144,'2020_CapacityTable'!$B$23:$F$45,2)</f>
        <v>580</v>
      </c>
      <c r="AU144" s="15">
        <f>VLOOKUP($T144,'2020_CapacityTable'!$B$23:$F$45,3)</f>
        <v>890</v>
      </c>
      <c r="AV144" s="15">
        <f>VLOOKUP($T144,'2020_CapacityTable'!$B$23:$F$45,4)</f>
        <v>1200</v>
      </c>
      <c r="AW144" s="15">
        <f>VLOOKUP($T144,'2020_CapacityTable'!$B$23:$F$45,5)</f>
        <v>1610</v>
      </c>
      <c r="AX144" s="15">
        <f t="shared" si="246"/>
        <v>580</v>
      </c>
      <c r="AY144" s="15">
        <f t="shared" si="247"/>
        <v>890</v>
      </c>
      <c r="AZ144" s="15">
        <f t="shared" si="248"/>
        <v>1200</v>
      </c>
      <c r="BA144" s="15">
        <f t="shared" si="249"/>
        <v>1610</v>
      </c>
      <c r="BB144" s="3">
        <f t="shared" si="227"/>
        <v>1200</v>
      </c>
      <c r="BC144" s="138">
        <f>VLOOKUP($B144,'2022 counts'!$B$6:$AD$304,28,FALSE)</f>
        <v>384</v>
      </c>
      <c r="BD144" s="138">
        <f>VLOOKUP($B144,'2022 counts'!$B$6:$AD$304,29,FALSE)</f>
        <v>341</v>
      </c>
      <c r="BE144" s="11">
        <f t="shared" si="250"/>
        <v>0.32</v>
      </c>
      <c r="BF144" s="2" t="str">
        <f t="shared" si="251"/>
        <v>B</v>
      </c>
      <c r="BG144" s="135">
        <v>4.2500000000000003E-2</v>
      </c>
      <c r="BH144" s="135">
        <f>IF($AQ144="","",VLOOKUP($B144, '2022 counts'!$B$6:$T$304,19,FALSE))</f>
        <v>0.01</v>
      </c>
      <c r="BI144" s="38">
        <f t="shared" si="252"/>
        <v>0.01</v>
      </c>
      <c r="BJ144" s="39" t="str">
        <f t="shared" si="253"/>
        <v>(1)</v>
      </c>
      <c r="BK144" s="15">
        <f>VLOOKUP($U144,'2020_CapacityTable'!$B$49:$F$71,2)</f>
        <v>11700</v>
      </c>
      <c r="BL144" s="15">
        <f>VLOOKUP($U144,'2020_CapacityTable'!$B$49:$F$71,3)</f>
        <v>18000</v>
      </c>
      <c r="BM144" s="15">
        <f>VLOOKUP($T144,'2020_CapacityTable'!$B$49:$F$71,4)</f>
        <v>24200</v>
      </c>
      <c r="BN144" s="15">
        <f>VLOOKUP($T144,'2020_CapacityTable'!$B$49:$F$71,5)</f>
        <v>32600</v>
      </c>
      <c r="BO144" s="15">
        <f t="shared" si="254"/>
        <v>11700</v>
      </c>
      <c r="BP144" s="15">
        <f t="shared" si="255"/>
        <v>18000</v>
      </c>
      <c r="BQ144" s="15">
        <f t="shared" si="256"/>
        <v>24200</v>
      </c>
      <c r="BR144" s="15">
        <f t="shared" si="257"/>
        <v>32600</v>
      </c>
      <c r="BS144" s="3">
        <f t="shared" si="228"/>
        <v>24200</v>
      </c>
      <c r="BT144" s="40">
        <f>'State of the System - Sumter Co'!AD144</f>
        <v>8021</v>
      </c>
      <c r="BU144" s="41">
        <f t="shared" si="258"/>
        <v>0.33</v>
      </c>
      <c r="BV144" s="2" t="str">
        <f t="shared" si="259"/>
        <v>B</v>
      </c>
      <c r="BW144" s="2">
        <f t="shared" si="260"/>
        <v>0.76</v>
      </c>
      <c r="BX144" s="15">
        <f>VLOOKUP($U144,'2020_CapacityTable'!$B$23:$F$45,2)</f>
        <v>580</v>
      </c>
      <c r="BY144" s="15">
        <f>VLOOKUP($U144,'2020_CapacityTable'!$B$23:$F$45,3)</f>
        <v>890</v>
      </c>
      <c r="BZ144" s="15">
        <f>VLOOKUP($U144,'2020_CapacityTable'!$B$23:$F$45,4)</f>
        <v>1200</v>
      </c>
      <c r="CA144" s="15">
        <f>VLOOKUP($U144,'2020_CapacityTable'!$B$23:$F$45,5)</f>
        <v>1610</v>
      </c>
      <c r="CB144" s="15">
        <f t="shared" si="261"/>
        <v>580</v>
      </c>
      <c r="CC144" s="15">
        <f t="shared" si="262"/>
        <v>890</v>
      </c>
      <c r="CD144" s="15">
        <f t="shared" si="263"/>
        <v>1200</v>
      </c>
      <c r="CE144" s="15">
        <f t="shared" si="264"/>
        <v>1610</v>
      </c>
      <c r="CF144" s="3">
        <f t="shared" si="229"/>
        <v>1200</v>
      </c>
      <c r="CG144" s="2">
        <f>'State of the System - Sumter Co'!AH144</f>
        <v>404</v>
      </c>
      <c r="CH144" s="2">
        <f>'State of the System - Sumter Co'!AI144</f>
        <v>358</v>
      </c>
      <c r="CI144" s="11">
        <f t="shared" si="265"/>
        <v>0.34</v>
      </c>
      <c r="CJ144" s="2" t="str">
        <f t="shared" si="230"/>
        <v>B</v>
      </c>
      <c r="CK144" s="3">
        <f t="shared" si="266"/>
        <v>35208</v>
      </c>
      <c r="CL144" s="11">
        <f t="shared" si="267"/>
        <v>0.23</v>
      </c>
      <c r="CM144" s="11" t="str">
        <f t="shared" si="268"/>
        <v>NOT CONGESTED</v>
      </c>
      <c r="CN144" s="3">
        <f t="shared" si="269"/>
        <v>1739</v>
      </c>
      <c r="CO144" s="11">
        <f t="shared" si="270"/>
        <v>0.23</v>
      </c>
      <c r="CP144" s="156" t="str">
        <f t="shared" si="231"/>
        <v>NOT CONGESTED</v>
      </c>
      <c r="CQ144" s="3"/>
      <c r="CR144" s="3"/>
      <c r="CS144" s="11" t="str">
        <f t="shared" si="271"/>
        <v/>
      </c>
      <c r="CT144" s="11" t="str">
        <f t="shared" si="232"/>
        <v/>
      </c>
      <c r="CU144" s="11" t="str">
        <f t="shared" si="272"/>
        <v/>
      </c>
      <c r="CV144" s="11" t="str">
        <f t="shared" si="273"/>
        <v/>
      </c>
      <c r="CW144" s="2" t="s">
        <v>586</v>
      </c>
      <c r="CX144" s="1"/>
      <c r="CY144" s="145" t="str">
        <f t="shared" si="274"/>
        <v/>
      </c>
      <c r="CZ144" s="32" t="str">
        <f t="shared" si="275"/>
        <v/>
      </c>
    </row>
    <row r="145" spans="1:104" ht="12.75" customHeight="1">
      <c r="A145" s="1">
        <v>3558120</v>
      </c>
      <c r="B145" s="1">
        <f t="shared" si="276"/>
        <v>181001</v>
      </c>
      <c r="C145" s="1">
        <v>406</v>
      </c>
      <c r="D145" s="1" t="str">
        <f>VLOOKUP(C145,'2022 counts'!$A$6:$B$304,2,FALSE)</f>
        <v>STATE</v>
      </c>
      <c r="E145" s="1">
        <v>181001</v>
      </c>
      <c r="F145" s="2" t="s">
        <v>136</v>
      </c>
      <c r="G145" s="156">
        <v>35</v>
      </c>
      <c r="H145" s="11">
        <v>1.2568887956599999</v>
      </c>
      <c r="I145" s="10" t="s">
        <v>81</v>
      </c>
      <c r="J145" s="10" t="s">
        <v>750</v>
      </c>
      <c r="K145" s="10" t="s">
        <v>145</v>
      </c>
      <c r="L145" s="157">
        <v>2</v>
      </c>
      <c r="M145" s="1">
        <f>'State of the System - Sumter Co'!K145</f>
        <v>2</v>
      </c>
      <c r="N145" s="1" t="str">
        <f>IF('State of the System - Sumter Co'!L145="URBAN","U","R")</f>
        <v>U</v>
      </c>
      <c r="O145" s="1" t="str">
        <f>IF('State of the System - Sumter Co'!M145="UNDIVIDED","U",IF('State of the System - Sumter Co'!M145="DIVIDED","D","F"))</f>
        <v>U</v>
      </c>
      <c r="P145" s="1" t="str">
        <f>'State of the System - Sumter Co'!N145</f>
        <v>UNINTERRUPTED</v>
      </c>
      <c r="Q145" s="1" t="str">
        <f t="shared" si="234"/>
        <v/>
      </c>
      <c r="R145" s="1" t="str">
        <f>'State of the System - Sumter Co'!O145</f>
        <v/>
      </c>
      <c r="S145" s="1" t="str">
        <f t="shared" si="235"/>
        <v>-x</v>
      </c>
      <c r="T145" s="1" t="str">
        <f t="shared" si="236"/>
        <v>U-2U-x</v>
      </c>
      <c r="U145" s="1" t="str">
        <f t="shared" si="225"/>
        <v>U-2U-x</v>
      </c>
      <c r="V145" s="1" t="s">
        <v>137</v>
      </c>
      <c r="W145" s="1" t="s">
        <v>90</v>
      </c>
      <c r="X145" s="1" t="s">
        <v>138</v>
      </c>
      <c r="Y145" s="1" t="str">
        <f>'State of the System - Sumter Co'!R145</f>
        <v>D</v>
      </c>
      <c r="Z145" s="157" t="str">
        <f t="shared" si="237"/>
        <v>NHS Non-Interstate</v>
      </c>
      <c r="AA145" s="15">
        <f>VLOOKUP($T145,'2020_CapacityTable'!$B$49:$F$71,2)</f>
        <v>11700</v>
      </c>
      <c r="AB145" s="15">
        <f>VLOOKUP($T145,'2020_CapacityTable'!$B$49:$F$71,3)</f>
        <v>18000</v>
      </c>
      <c r="AC145" s="15">
        <f>VLOOKUP($T145,'2020_CapacityTable'!$B$49:$F$71,4)</f>
        <v>24200</v>
      </c>
      <c r="AD145" s="15">
        <f>VLOOKUP($T145,'2020_CapacityTable'!$B$49:$F$71,5)</f>
        <v>32600</v>
      </c>
      <c r="AE145" s="35" t="str">
        <f t="shared" si="277"/>
        <v/>
      </c>
      <c r="AF145" s="36" t="str">
        <f t="shared" si="238"/>
        <v/>
      </c>
      <c r="AG145" s="35" t="str">
        <f t="shared" si="233"/>
        <v/>
      </c>
      <c r="AH145" s="35" t="str">
        <f t="shared" si="224"/>
        <v/>
      </c>
      <c r="AI145" s="35"/>
      <c r="AJ145" s="36"/>
      <c r="AK145" s="15">
        <f t="shared" si="239"/>
        <v>11700</v>
      </c>
      <c r="AL145" s="15">
        <f t="shared" si="240"/>
        <v>18000</v>
      </c>
      <c r="AM145" s="15">
        <f t="shared" si="241"/>
        <v>24200</v>
      </c>
      <c r="AN145" s="15">
        <f t="shared" si="242"/>
        <v>32600</v>
      </c>
      <c r="AO145" s="3">
        <f t="shared" si="226"/>
        <v>24200</v>
      </c>
      <c r="AP145" s="138">
        <f>VLOOKUP($B145,'2022 counts'!$B$6:$R$304,17,FALSE)</f>
        <v>7400</v>
      </c>
      <c r="AQ145" s="11">
        <f t="shared" si="243"/>
        <v>0.31</v>
      </c>
      <c r="AR145" s="2" t="str">
        <f t="shared" si="244"/>
        <v>B</v>
      </c>
      <c r="AS145" s="26">
        <f t="shared" si="245"/>
        <v>3.39</v>
      </c>
      <c r="AT145" s="15">
        <f>VLOOKUP($T145,'2020_CapacityTable'!$B$23:$F$45,2)</f>
        <v>580</v>
      </c>
      <c r="AU145" s="15">
        <f>VLOOKUP($T145,'2020_CapacityTable'!$B$23:$F$45,3)</f>
        <v>890</v>
      </c>
      <c r="AV145" s="15">
        <f>VLOOKUP($T145,'2020_CapacityTable'!$B$23:$F$45,4)</f>
        <v>1200</v>
      </c>
      <c r="AW145" s="15">
        <f>VLOOKUP($T145,'2020_CapacityTable'!$B$23:$F$45,5)</f>
        <v>1610</v>
      </c>
      <c r="AX145" s="15">
        <f t="shared" si="246"/>
        <v>580</v>
      </c>
      <c r="AY145" s="15">
        <f t="shared" si="247"/>
        <v>890</v>
      </c>
      <c r="AZ145" s="15">
        <f t="shared" si="248"/>
        <v>1200</v>
      </c>
      <c r="BA145" s="15">
        <f t="shared" si="249"/>
        <v>1610</v>
      </c>
      <c r="BB145" s="3">
        <f t="shared" si="227"/>
        <v>1200</v>
      </c>
      <c r="BC145" s="138">
        <f>VLOOKUP($B145,'2022 counts'!$B$6:$AD$304,28,FALSE)</f>
        <v>373</v>
      </c>
      <c r="BD145" s="138">
        <f>VLOOKUP($B145,'2022 counts'!$B$6:$AD$304,29,FALSE)</f>
        <v>330</v>
      </c>
      <c r="BE145" s="11">
        <f t="shared" si="250"/>
        <v>0.31</v>
      </c>
      <c r="BF145" s="2" t="str">
        <f t="shared" si="251"/>
        <v>B</v>
      </c>
      <c r="BG145" s="135">
        <v>0</v>
      </c>
      <c r="BH145" s="135">
        <f>IF($AQ145="","",VLOOKUP($B145, '2022 counts'!$B$6:$T$304,19,FALSE))</f>
        <v>0</v>
      </c>
      <c r="BI145" s="38">
        <f t="shared" si="252"/>
        <v>0.01</v>
      </c>
      <c r="BJ145" s="39" t="str">
        <f t="shared" si="253"/>
        <v>minimum</v>
      </c>
      <c r="BK145" s="15">
        <f>VLOOKUP($U145,'2020_CapacityTable'!$B$49:$F$71,2)</f>
        <v>11700</v>
      </c>
      <c r="BL145" s="15">
        <f>VLOOKUP($U145,'2020_CapacityTable'!$B$49:$F$71,3)</f>
        <v>18000</v>
      </c>
      <c r="BM145" s="15">
        <f>VLOOKUP($T145,'2020_CapacityTable'!$B$49:$F$71,4)</f>
        <v>24200</v>
      </c>
      <c r="BN145" s="15">
        <f>VLOOKUP($T145,'2020_CapacityTable'!$B$49:$F$71,5)</f>
        <v>32600</v>
      </c>
      <c r="BO145" s="15">
        <f t="shared" si="254"/>
        <v>11700</v>
      </c>
      <c r="BP145" s="15">
        <f t="shared" si="255"/>
        <v>18000</v>
      </c>
      <c r="BQ145" s="15">
        <f t="shared" si="256"/>
        <v>24200</v>
      </c>
      <c r="BR145" s="15">
        <f t="shared" si="257"/>
        <v>32600</v>
      </c>
      <c r="BS145" s="3">
        <f t="shared" si="228"/>
        <v>24200</v>
      </c>
      <c r="BT145" s="40">
        <f>'State of the System - Sumter Co'!AD145</f>
        <v>7777</v>
      </c>
      <c r="BU145" s="41">
        <f t="shared" si="258"/>
        <v>0.32</v>
      </c>
      <c r="BV145" s="2" t="str">
        <f t="shared" si="259"/>
        <v>B</v>
      </c>
      <c r="BW145" s="2">
        <f t="shared" si="260"/>
        <v>3.57</v>
      </c>
      <c r="BX145" s="15">
        <f>VLOOKUP($U145,'2020_CapacityTable'!$B$23:$F$45,2)</f>
        <v>580</v>
      </c>
      <c r="BY145" s="15">
        <f>VLOOKUP($U145,'2020_CapacityTable'!$B$23:$F$45,3)</f>
        <v>890</v>
      </c>
      <c r="BZ145" s="15">
        <f>VLOOKUP($U145,'2020_CapacityTable'!$B$23:$F$45,4)</f>
        <v>1200</v>
      </c>
      <c r="CA145" s="15">
        <f>VLOOKUP($U145,'2020_CapacityTable'!$B$23:$F$45,5)</f>
        <v>1610</v>
      </c>
      <c r="CB145" s="15">
        <f t="shared" si="261"/>
        <v>580</v>
      </c>
      <c r="CC145" s="15">
        <f t="shared" si="262"/>
        <v>890</v>
      </c>
      <c r="CD145" s="15">
        <f t="shared" si="263"/>
        <v>1200</v>
      </c>
      <c r="CE145" s="15">
        <f t="shared" si="264"/>
        <v>1610</v>
      </c>
      <c r="CF145" s="3">
        <f t="shared" si="229"/>
        <v>1200</v>
      </c>
      <c r="CG145" s="2">
        <f>'State of the System - Sumter Co'!AH145</f>
        <v>392</v>
      </c>
      <c r="CH145" s="2">
        <f>'State of the System - Sumter Co'!AI145</f>
        <v>347</v>
      </c>
      <c r="CI145" s="11">
        <f t="shared" si="265"/>
        <v>0.33</v>
      </c>
      <c r="CJ145" s="2" t="str">
        <f t="shared" si="230"/>
        <v>B</v>
      </c>
      <c r="CK145" s="3">
        <f t="shared" si="266"/>
        <v>35208</v>
      </c>
      <c r="CL145" s="11">
        <f t="shared" si="267"/>
        <v>0.22</v>
      </c>
      <c r="CM145" s="11" t="str">
        <f t="shared" si="268"/>
        <v>NOT CONGESTED</v>
      </c>
      <c r="CN145" s="3">
        <f t="shared" si="269"/>
        <v>1739</v>
      </c>
      <c r="CO145" s="11">
        <f t="shared" si="270"/>
        <v>0.23</v>
      </c>
      <c r="CP145" s="156" t="str">
        <f t="shared" si="231"/>
        <v>NOT CONGESTED</v>
      </c>
      <c r="CQ145" s="2"/>
      <c r="CR145" s="42"/>
      <c r="CS145" s="11" t="str">
        <f t="shared" si="271"/>
        <v/>
      </c>
      <c r="CT145" s="11" t="str">
        <f t="shared" si="232"/>
        <v/>
      </c>
      <c r="CU145" s="11" t="str">
        <f t="shared" si="272"/>
        <v/>
      </c>
      <c r="CV145" s="11" t="str">
        <f t="shared" si="273"/>
        <v/>
      </c>
      <c r="CW145" s="2" t="s">
        <v>586</v>
      </c>
      <c r="CX145" s="1"/>
      <c r="CY145" s="145" t="str">
        <f t="shared" si="274"/>
        <v/>
      </c>
      <c r="CZ145" s="32" t="str">
        <f t="shared" si="275"/>
        <v/>
      </c>
    </row>
    <row r="146" spans="1:104" ht="12.75" customHeight="1">
      <c r="A146" s="1">
        <v>3558140</v>
      </c>
      <c r="B146" s="1">
        <f t="shared" si="276"/>
        <v>181001</v>
      </c>
      <c r="C146" s="1">
        <v>181001</v>
      </c>
      <c r="D146" s="1">
        <f>VLOOKUP(C146,'2022 counts'!$A$6:$B$304,2,FALSE)</f>
        <v>181001</v>
      </c>
      <c r="E146" s="1">
        <v>181001</v>
      </c>
      <c r="F146" s="2" t="s">
        <v>136</v>
      </c>
      <c r="G146" s="156">
        <v>55</v>
      </c>
      <c r="H146" s="11">
        <v>1.2552941360300001</v>
      </c>
      <c r="I146" s="10" t="s">
        <v>81</v>
      </c>
      <c r="J146" s="10" t="s">
        <v>145</v>
      </c>
      <c r="K146" s="10" t="s">
        <v>751</v>
      </c>
      <c r="L146" s="157">
        <v>2</v>
      </c>
      <c r="M146" s="1">
        <f>'State of the System - Sumter Co'!K146</f>
        <v>2</v>
      </c>
      <c r="N146" s="1" t="str">
        <f>IF('State of the System - Sumter Co'!L146="URBAN","U","R")</f>
        <v>U</v>
      </c>
      <c r="O146" s="1" t="str">
        <f>IF('State of the System - Sumter Co'!M146="UNDIVIDED","U",IF('State of the System - Sumter Co'!M146="DIVIDED","D","F"))</f>
        <v>U</v>
      </c>
      <c r="P146" s="1" t="str">
        <f>'State of the System - Sumter Co'!N146</f>
        <v>UNINTERRUPTED</v>
      </c>
      <c r="Q146" s="1" t="str">
        <f t="shared" si="234"/>
        <v/>
      </c>
      <c r="R146" s="1" t="str">
        <f>'State of the System - Sumter Co'!O146</f>
        <v/>
      </c>
      <c r="S146" s="1" t="str">
        <f t="shared" si="235"/>
        <v>-x</v>
      </c>
      <c r="T146" s="1" t="str">
        <f t="shared" si="236"/>
        <v>U-2U-x</v>
      </c>
      <c r="U146" s="1" t="str">
        <f t="shared" si="225"/>
        <v>U-2U-x</v>
      </c>
      <c r="V146" s="1" t="s">
        <v>137</v>
      </c>
      <c r="W146" s="1" t="s">
        <v>11</v>
      </c>
      <c r="X146" s="1" t="s">
        <v>138</v>
      </c>
      <c r="Y146" s="1" t="str">
        <f>'State of the System - Sumter Co'!R146</f>
        <v>D</v>
      </c>
      <c r="Z146" s="157" t="str">
        <f t="shared" si="237"/>
        <v>NHS Non-Interstate</v>
      </c>
      <c r="AA146" s="15">
        <f>VLOOKUP($T146,'2020_CapacityTable'!$B$49:$F$71,2)</f>
        <v>11700</v>
      </c>
      <c r="AB146" s="15">
        <f>VLOOKUP($T146,'2020_CapacityTable'!$B$49:$F$71,3)</f>
        <v>18000</v>
      </c>
      <c r="AC146" s="15">
        <f>VLOOKUP($T146,'2020_CapacityTable'!$B$49:$F$71,4)</f>
        <v>24200</v>
      </c>
      <c r="AD146" s="15">
        <f>VLOOKUP($T146,'2020_CapacityTable'!$B$49:$F$71,5)</f>
        <v>32600</v>
      </c>
      <c r="AE146" s="35" t="str">
        <f t="shared" si="277"/>
        <v/>
      </c>
      <c r="AF146" s="36" t="str">
        <f t="shared" si="238"/>
        <v/>
      </c>
      <c r="AG146" s="35" t="str">
        <f t="shared" si="233"/>
        <v/>
      </c>
      <c r="AH146" s="35" t="str">
        <f t="shared" si="224"/>
        <v/>
      </c>
      <c r="AI146" s="35"/>
      <c r="AJ146" s="36"/>
      <c r="AK146" s="15">
        <f t="shared" si="239"/>
        <v>11700</v>
      </c>
      <c r="AL146" s="15">
        <f t="shared" si="240"/>
        <v>18000</v>
      </c>
      <c r="AM146" s="15">
        <f t="shared" si="241"/>
        <v>24200</v>
      </c>
      <c r="AN146" s="15">
        <f t="shared" si="242"/>
        <v>32600</v>
      </c>
      <c r="AO146" s="3">
        <f t="shared" si="226"/>
        <v>24200</v>
      </c>
      <c r="AP146" s="138">
        <f>VLOOKUP($B146,'2022 counts'!$B$6:$R$304,17,FALSE)</f>
        <v>7400</v>
      </c>
      <c r="AQ146" s="11">
        <f t="shared" si="243"/>
        <v>0.31</v>
      </c>
      <c r="AR146" s="2" t="str">
        <f t="shared" si="244"/>
        <v>B</v>
      </c>
      <c r="AS146" s="26">
        <f t="shared" si="245"/>
        <v>3.39</v>
      </c>
      <c r="AT146" s="15">
        <f>VLOOKUP($T146,'2020_CapacityTable'!$B$23:$F$45,2)</f>
        <v>580</v>
      </c>
      <c r="AU146" s="15">
        <f>VLOOKUP($T146,'2020_CapacityTable'!$B$23:$F$45,3)</f>
        <v>890</v>
      </c>
      <c r="AV146" s="15">
        <f>VLOOKUP($T146,'2020_CapacityTable'!$B$23:$F$45,4)</f>
        <v>1200</v>
      </c>
      <c r="AW146" s="15">
        <f>VLOOKUP($T146,'2020_CapacityTable'!$B$23:$F$45,5)</f>
        <v>1610</v>
      </c>
      <c r="AX146" s="15">
        <f t="shared" si="246"/>
        <v>580</v>
      </c>
      <c r="AY146" s="15">
        <f t="shared" si="247"/>
        <v>890</v>
      </c>
      <c r="AZ146" s="15">
        <f t="shared" si="248"/>
        <v>1200</v>
      </c>
      <c r="BA146" s="15">
        <f t="shared" si="249"/>
        <v>1610</v>
      </c>
      <c r="BB146" s="3">
        <f t="shared" si="227"/>
        <v>1200</v>
      </c>
      <c r="BC146" s="138">
        <f>VLOOKUP($B146,'2022 counts'!$B$6:$AD$304,28,FALSE)</f>
        <v>373</v>
      </c>
      <c r="BD146" s="138">
        <f>VLOOKUP($B146,'2022 counts'!$B$6:$AD$304,29,FALSE)</f>
        <v>330</v>
      </c>
      <c r="BE146" s="11">
        <f t="shared" si="250"/>
        <v>0.31</v>
      </c>
      <c r="BF146" s="2" t="str">
        <f t="shared" si="251"/>
        <v>B</v>
      </c>
      <c r="BG146" s="135">
        <v>0</v>
      </c>
      <c r="BH146" s="135">
        <f>IF($AQ146="","",VLOOKUP($B146, '2022 counts'!$B$6:$T$304,19,FALSE))</f>
        <v>0</v>
      </c>
      <c r="BI146" s="38">
        <f t="shared" si="252"/>
        <v>0.01</v>
      </c>
      <c r="BJ146" s="39" t="str">
        <f t="shared" si="253"/>
        <v>minimum</v>
      </c>
      <c r="BK146" s="15">
        <f>VLOOKUP($U146,'2020_CapacityTable'!$B$49:$F$71,2)</f>
        <v>11700</v>
      </c>
      <c r="BL146" s="15">
        <f>VLOOKUP($U146,'2020_CapacityTable'!$B$49:$F$71,3)</f>
        <v>18000</v>
      </c>
      <c r="BM146" s="15">
        <f>VLOOKUP($T146,'2020_CapacityTable'!$B$49:$F$71,4)</f>
        <v>24200</v>
      </c>
      <c r="BN146" s="15">
        <f>VLOOKUP($T146,'2020_CapacityTable'!$B$49:$F$71,5)</f>
        <v>32600</v>
      </c>
      <c r="BO146" s="15">
        <f t="shared" si="254"/>
        <v>11700</v>
      </c>
      <c r="BP146" s="15">
        <f t="shared" si="255"/>
        <v>18000</v>
      </c>
      <c r="BQ146" s="15">
        <f t="shared" si="256"/>
        <v>24200</v>
      </c>
      <c r="BR146" s="15">
        <f t="shared" si="257"/>
        <v>32600</v>
      </c>
      <c r="BS146" s="3">
        <f t="shared" si="228"/>
        <v>24200</v>
      </c>
      <c r="BT146" s="40">
        <f>'State of the System - Sumter Co'!AD146</f>
        <v>7777</v>
      </c>
      <c r="BU146" s="41">
        <f t="shared" si="258"/>
        <v>0.32</v>
      </c>
      <c r="BV146" s="2" t="str">
        <f t="shared" si="259"/>
        <v>B</v>
      </c>
      <c r="BW146" s="2">
        <f t="shared" si="260"/>
        <v>3.56</v>
      </c>
      <c r="BX146" s="15">
        <f>VLOOKUP($U146,'2020_CapacityTable'!$B$23:$F$45,2)</f>
        <v>580</v>
      </c>
      <c r="BY146" s="15">
        <f>VLOOKUP($U146,'2020_CapacityTable'!$B$23:$F$45,3)</f>
        <v>890</v>
      </c>
      <c r="BZ146" s="15">
        <f>VLOOKUP($U146,'2020_CapacityTable'!$B$23:$F$45,4)</f>
        <v>1200</v>
      </c>
      <c r="CA146" s="15">
        <f>VLOOKUP($U146,'2020_CapacityTable'!$B$23:$F$45,5)</f>
        <v>1610</v>
      </c>
      <c r="CB146" s="15">
        <f t="shared" si="261"/>
        <v>580</v>
      </c>
      <c r="CC146" s="15">
        <f t="shared" si="262"/>
        <v>890</v>
      </c>
      <c r="CD146" s="15">
        <f t="shared" si="263"/>
        <v>1200</v>
      </c>
      <c r="CE146" s="15">
        <f t="shared" si="264"/>
        <v>1610</v>
      </c>
      <c r="CF146" s="3">
        <f t="shared" si="229"/>
        <v>1200</v>
      </c>
      <c r="CG146" s="2">
        <f>'State of the System - Sumter Co'!AH146</f>
        <v>392</v>
      </c>
      <c r="CH146" s="2">
        <f>'State of the System - Sumter Co'!AI146</f>
        <v>347</v>
      </c>
      <c r="CI146" s="11">
        <f t="shared" si="265"/>
        <v>0.33</v>
      </c>
      <c r="CJ146" s="2" t="str">
        <f t="shared" si="230"/>
        <v>B</v>
      </c>
      <c r="CK146" s="3">
        <f t="shared" si="266"/>
        <v>35208</v>
      </c>
      <c r="CL146" s="11">
        <f t="shared" si="267"/>
        <v>0.22</v>
      </c>
      <c r="CM146" s="11" t="str">
        <f t="shared" si="268"/>
        <v>NOT CONGESTED</v>
      </c>
      <c r="CN146" s="3">
        <f t="shared" si="269"/>
        <v>1739</v>
      </c>
      <c r="CO146" s="11">
        <f t="shared" si="270"/>
        <v>0.23</v>
      </c>
      <c r="CP146" s="156" t="str">
        <f t="shared" si="231"/>
        <v>NOT CONGESTED</v>
      </c>
      <c r="CQ146" s="2"/>
      <c r="CR146" s="42"/>
      <c r="CS146" s="11" t="str">
        <f t="shared" si="271"/>
        <v/>
      </c>
      <c r="CT146" s="11" t="str">
        <f t="shared" si="232"/>
        <v/>
      </c>
      <c r="CU146" s="11" t="str">
        <f t="shared" si="272"/>
        <v/>
      </c>
      <c r="CV146" s="11" t="str">
        <f t="shared" si="273"/>
        <v/>
      </c>
      <c r="CW146" s="2" t="s">
        <v>586</v>
      </c>
      <c r="CX146" s="1"/>
      <c r="CY146" s="145" t="str">
        <f t="shared" si="274"/>
        <v/>
      </c>
      <c r="CZ146" s="32" t="str">
        <f t="shared" si="275"/>
        <v/>
      </c>
    </row>
    <row r="147" spans="1:104" ht="12.75" customHeight="1">
      <c r="A147" s="1">
        <v>3558150</v>
      </c>
      <c r="B147" s="1">
        <f t="shared" si="276"/>
        <v>181003</v>
      </c>
      <c r="C147" s="1">
        <v>181003</v>
      </c>
      <c r="D147" s="1">
        <f>VLOOKUP(C147,'2022 counts'!$A$6:$B$304,2,FALSE)</f>
        <v>181003</v>
      </c>
      <c r="E147" s="1">
        <v>181003</v>
      </c>
      <c r="F147" s="2" t="s">
        <v>136</v>
      </c>
      <c r="G147" s="156">
        <v>55</v>
      </c>
      <c r="H147" s="11">
        <v>1.00502017404</v>
      </c>
      <c r="I147" s="10" t="s">
        <v>81</v>
      </c>
      <c r="J147" s="10" t="s">
        <v>751</v>
      </c>
      <c r="K147" s="10" t="s">
        <v>730</v>
      </c>
      <c r="L147" s="157">
        <v>2</v>
      </c>
      <c r="M147" s="1">
        <f>'State of the System - Sumter Co'!K147</f>
        <v>2</v>
      </c>
      <c r="N147" s="1" t="str">
        <f>IF('State of the System - Sumter Co'!L147="URBAN","U","R")</f>
        <v>U</v>
      </c>
      <c r="O147" s="1" t="str">
        <f>IF('State of the System - Sumter Co'!M147="UNDIVIDED","U",IF('State of the System - Sumter Co'!M147="DIVIDED","D","F"))</f>
        <v>U</v>
      </c>
      <c r="P147" s="1" t="str">
        <f>'State of the System - Sumter Co'!N147</f>
        <v>UNINTERRUPTED</v>
      </c>
      <c r="Q147" s="1" t="str">
        <f t="shared" si="234"/>
        <v/>
      </c>
      <c r="R147" s="1" t="str">
        <f>'State of the System - Sumter Co'!O147</f>
        <v/>
      </c>
      <c r="S147" s="1" t="str">
        <f t="shared" si="235"/>
        <v>-x</v>
      </c>
      <c r="T147" s="1" t="str">
        <f t="shared" si="236"/>
        <v>U-2U-x</v>
      </c>
      <c r="U147" s="1" t="str">
        <f t="shared" si="225"/>
        <v>U-2U-x</v>
      </c>
      <c r="V147" s="1" t="s">
        <v>137</v>
      </c>
      <c r="W147" s="1" t="s">
        <v>11</v>
      </c>
      <c r="X147" s="1" t="s">
        <v>138</v>
      </c>
      <c r="Y147" s="1" t="str">
        <f>'State of the System - Sumter Co'!R147</f>
        <v>D</v>
      </c>
      <c r="Z147" s="157" t="str">
        <f t="shared" si="237"/>
        <v>NHS Non-Interstate</v>
      </c>
      <c r="AA147" s="15">
        <f>VLOOKUP($T147,'2020_CapacityTable'!$B$49:$F$71,2)</f>
        <v>11700</v>
      </c>
      <c r="AB147" s="15">
        <f>VLOOKUP($T147,'2020_CapacityTable'!$B$49:$F$71,3)</f>
        <v>18000</v>
      </c>
      <c r="AC147" s="15">
        <f>VLOOKUP($T147,'2020_CapacityTable'!$B$49:$F$71,4)</f>
        <v>24200</v>
      </c>
      <c r="AD147" s="15">
        <f>VLOOKUP($T147,'2020_CapacityTable'!$B$49:$F$71,5)</f>
        <v>32600</v>
      </c>
      <c r="AE147" s="35" t="str">
        <f t="shared" si="277"/>
        <v/>
      </c>
      <c r="AF147" s="36" t="str">
        <f t="shared" si="238"/>
        <v/>
      </c>
      <c r="AG147" s="35" t="str">
        <f t="shared" si="233"/>
        <v/>
      </c>
      <c r="AH147" s="35" t="str">
        <f t="shared" ref="AH147:AH167" si="278">IF($O147="U",IF($L147&gt;2,"LOOK",""),"")</f>
        <v/>
      </c>
      <c r="AI147" s="35"/>
      <c r="AJ147" s="36"/>
      <c r="AK147" s="15">
        <f t="shared" si="239"/>
        <v>11700</v>
      </c>
      <c r="AL147" s="15">
        <f t="shared" si="240"/>
        <v>18000</v>
      </c>
      <c r="AM147" s="15">
        <f t="shared" si="241"/>
        <v>24200</v>
      </c>
      <c r="AN147" s="15">
        <f t="shared" si="242"/>
        <v>32600</v>
      </c>
      <c r="AO147" s="3">
        <f t="shared" si="226"/>
        <v>24200</v>
      </c>
      <c r="AP147" s="138">
        <f>VLOOKUP($B147,'2022 counts'!$B$6:$R$304,17,FALSE)</f>
        <v>7220</v>
      </c>
      <c r="AQ147" s="11">
        <f t="shared" si="243"/>
        <v>0.3</v>
      </c>
      <c r="AR147" s="2" t="str">
        <f t="shared" si="244"/>
        <v>B</v>
      </c>
      <c r="AS147" s="26">
        <f t="shared" si="245"/>
        <v>2.65</v>
      </c>
      <c r="AT147" s="15">
        <f>VLOOKUP($T147,'2020_CapacityTable'!$B$23:$F$45,2)</f>
        <v>580</v>
      </c>
      <c r="AU147" s="15">
        <f>VLOOKUP($T147,'2020_CapacityTable'!$B$23:$F$45,3)</f>
        <v>890</v>
      </c>
      <c r="AV147" s="15">
        <f>VLOOKUP($T147,'2020_CapacityTable'!$B$23:$F$45,4)</f>
        <v>1200</v>
      </c>
      <c r="AW147" s="15">
        <f>VLOOKUP($T147,'2020_CapacityTable'!$B$23:$F$45,5)</f>
        <v>1610</v>
      </c>
      <c r="AX147" s="15">
        <f t="shared" si="246"/>
        <v>580</v>
      </c>
      <c r="AY147" s="15">
        <f t="shared" si="247"/>
        <v>890</v>
      </c>
      <c r="AZ147" s="15">
        <f t="shared" si="248"/>
        <v>1200</v>
      </c>
      <c r="BA147" s="15">
        <f t="shared" si="249"/>
        <v>1610</v>
      </c>
      <c r="BB147" s="3">
        <f t="shared" si="227"/>
        <v>1200</v>
      </c>
      <c r="BC147" s="138">
        <f>VLOOKUP($B147,'2022 counts'!$B$6:$AD$304,28,FALSE)</f>
        <v>255</v>
      </c>
      <c r="BD147" s="138">
        <f>VLOOKUP($B147,'2022 counts'!$B$6:$AD$304,29,FALSE)</f>
        <v>340</v>
      </c>
      <c r="BE147" s="11">
        <f t="shared" si="250"/>
        <v>0.28000000000000003</v>
      </c>
      <c r="BF147" s="2" t="str">
        <f t="shared" si="251"/>
        <v>B</v>
      </c>
      <c r="BG147" s="135">
        <v>4.7500000000000001E-2</v>
      </c>
      <c r="BH147" s="135">
        <f>IF($AQ147="","",VLOOKUP($B147, '2022 counts'!$B$6:$T$304,19,FALSE))</f>
        <v>4.7500000000000001E-2</v>
      </c>
      <c r="BI147" s="38">
        <f t="shared" si="252"/>
        <v>4.7500000000000001E-2</v>
      </c>
      <c r="BJ147" s="39" t="str">
        <f t="shared" si="253"/>
        <v/>
      </c>
      <c r="BK147" s="15">
        <f>VLOOKUP($U147,'2020_CapacityTable'!$B$49:$F$71,2)</f>
        <v>11700</v>
      </c>
      <c r="BL147" s="15">
        <f>VLOOKUP($U147,'2020_CapacityTable'!$B$49:$F$71,3)</f>
        <v>18000</v>
      </c>
      <c r="BM147" s="15">
        <f>VLOOKUP($T147,'2020_CapacityTable'!$B$49:$F$71,4)</f>
        <v>24200</v>
      </c>
      <c r="BN147" s="15">
        <f>VLOOKUP($T147,'2020_CapacityTable'!$B$49:$F$71,5)</f>
        <v>32600</v>
      </c>
      <c r="BO147" s="15">
        <f t="shared" si="254"/>
        <v>11700</v>
      </c>
      <c r="BP147" s="15">
        <f t="shared" si="255"/>
        <v>18000</v>
      </c>
      <c r="BQ147" s="15">
        <f t="shared" si="256"/>
        <v>24200</v>
      </c>
      <c r="BR147" s="15">
        <f t="shared" si="257"/>
        <v>32600</v>
      </c>
      <c r="BS147" s="3">
        <f t="shared" si="228"/>
        <v>24200</v>
      </c>
      <c r="BT147" s="40">
        <f>'State of the System - Sumter Co'!AD147</f>
        <v>9106</v>
      </c>
      <c r="BU147" s="41">
        <f t="shared" si="258"/>
        <v>0.38</v>
      </c>
      <c r="BV147" s="2" t="str">
        <f t="shared" si="259"/>
        <v>B</v>
      </c>
      <c r="BW147" s="2">
        <f t="shared" si="260"/>
        <v>3.34</v>
      </c>
      <c r="BX147" s="15">
        <f>VLOOKUP($U147,'2020_CapacityTable'!$B$23:$F$45,2)</f>
        <v>580</v>
      </c>
      <c r="BY147" s="15">
        <f>VLOOKUP($U147,'2020_CapacityTable'!$B$23:$F$45,3)</f>
        <v>890</v>
      </c>
      <c r="BZ147" s="15">
        <f>VLOOKUP($U147,'2020_CapacityTable'!$B$23:$F$45,4)</f>
        <v>1200</v>
      </c>
      <c r="CA147" s="15">
        <f>VLOOKUP($U147,'2020_CapacityTable'!$B$23:$F$45,5)</f>
        <v>1610</v>
      </c>
      <c r="CB147" s="15">
        <f t="shared" si="261"/>
        <v>580</v>
      </c>
      <c r="CC147" s="15">
        <f t="shared" si="262"/>
        <v>890</v>
      </c>
      <c r="CD147" s="15">
        <f t="shared" si="263"/>
        <v>1200</v>
      </c>
      <c r="CE147" s="15">
        <f t="shared" si="264"/>
        <v>1610</v>
      </c>
      <c r="CF147" s="3">
        <f t="shared" si="229"/>
        <v>1200</v>
      </c>
      <c r="CG147" s="2">
        <f>'State of the System - Sumter Co'!AH147</f>
        <v>322</v>
      </c>
      <c r="CH147" s="2">
        <f>'State of the System - Sumter Co'!AI147</f>
        <v>429</v>
      </c>
      <c r="CI147" s="11">
        <f t="shared" si="265"/>
        <v>0.36</v>
      </c>
      <c r="CJ147" s="2" t="str">
        <f t="shared" si="230"/>
        <v>B</v>
      </c>
      <c r="CK147" s="3">
        <f t="shared" si="266"/>
        <v>35208</v>
      </c>
      <c r="CL147" s="11">
        <f t="shared" si="267"/>
        <v>0.26</v>
      </c>
      <c r="CM147" s="11" t="str">
        <f t="shared" si="268"/>
        <v>NOT CONGESTED</v>
      </c>
      <c r="CN147" s="3">
        <f t="shared" si="269"/>
        <v>1739</v>
      </c>
      <c r="CO147" s="11">
        <f t="shared" si="270"/>
        <v>0.25</v>
      </c>
      <c r="CP147" s="156" t="str">
        <f t="shared" si="231"/>
        <v>NOT CONGESTED</v>
      </c>
      <c r="CQ147" s="3"/>
      <c r="CR147" s="3"/>
      <c r="CS147" s="11" t="str">
        <f t="shared" si="271"/>
        <v/>
      </c>
      <c r="CT147" s="11" t="str">
        <f t="shared" si="232"/>
        <v/>
      </c>
      <c r="CU147" s="11" t="str">
        <f t="shared" si="272"/>
        <v/>
      </c>
      <c r="CV147" s="11" t="str">
        <f t="shared" si="273"/>
        <v/>
      </c>
      <c r="CW147" s="2" t="s">
        <v>586</v>
      </c>
      <c r="CX147" s="1"/>
      <c r="CY147" s="145" t="str">
        <f t="shared" si="274"/>
        <v/>
      </c>
      <c r="CZ147" s="32" t="str">
        <f t="shared" si="275"/>
        <v/>
      </c>
    </row>
    <row r="148" spans="1:104" ht="12.75" customHeight="1">
      <c r="A148" s="1">
        <v>3558170</v>
      </c>
      <c r="B148" s="1">
        <f t="shared" si="276"/>
        <v>180020</v>
      </c>
      <c r="C148" s="1">
        <v>180020</v>
      </c>
      <c r="D148" s="1">
        <f>VLOOKUP(C148,'2022 counts'!$A$6:$B$304,2,FALSE)</f>
        <v>180020</v>
      </c>
      <c r="E148" s="1">
        <v>180020</v>
      </c>
      <c r="F148" s="2" t="s">
        <v>136</v>
      </c>
      <c r="G148" s="156">
        <v>55</v>
      </c>
      <c r="H148" s="11">
        <v>2.2673269594400001</v>
      </c>
      <c r="I148" s="10" t="s">
        <v>81</v>
      </c>
      <c r="J148" s="10" t="s">
        <v>62</v>
      </c>
      <c r="K148" s="10" t="s">
        <v>120</v>
      </c>
      <c r="L148" s="157">
        <v>2</v>
      </c>
      <c r="M148" s="1">
        <f>'State of the System - Sumter Co'!K148</f>
        <v>2</v>
      </c>
      <c r="N148" s="1" t="str">
        <f>IF('State of the System - Sumter Co'!L148="URBAN","U","R")</f>
        <v>R</v>
      </c>
      <c r="O148" s="1" t="str">
        <f>IF('State of the System - Sumter Co'!M148="UNDIVIDED","U",IF('State of the System - Sumter Co'!M148="DIVIDED","D","F"))</f>
        <v>U</v>
      </c>
      <c r="P148" s="1" t="str">
        <f>'State of the System - Sumter Co'!N148</f>
        <v>UNINTERRUPTED</v>
      </c>
      <c r="Q148" s="1" t="str">
        <f t="shared" si="234"/>
        <v>z</v>
      </c>
      <c r="R148" s="1" t="str">
        <f>'State of the System - Sumter Co'!O148</f>
        <v>UNDEVELOPED</v>
      </c>
      <c r="S148" s="1" t="str">
        <f t="shared" si="235"/>
        <v/>
      </c>
      <c r="T148" s="1" t="str">
        <f t="shared" si="236"/>
        <v>R-2Uz</v>
      </c>
      <c r="U148" s="1" t="str">
        <f t="shared" si="225"/>
        <v>R-2Uz</v>
      </c>
      <c r="V148" s="1" t="s">
        <v>137</v>
      </c>
      <c r="W148" s="1" t="s">
        <v>11</v>
      </c>
      <c r="X148" s="1" t="s">
        <v>138</v>
      </c>
      <c r="Y148" s="1" t="str">
        <f>'State of the System - Sumter Co'!R148</f>
        <v>C</v>
      </c>
      <c r="Z148" s="157" t="str">
        <f t="shared" si="237"/>
        <v>NHS Non-Interstate</v>
      </c>
      <c r="AA148" s="15">
        <f>VLOOKUP($T148,'2020_CapacityTable'!$B$49:$F$71,2)</f>
        <v>4600</v>
      </c>
      <c r="AB148" s="15">
        <f>VLOOKUP($T148,'2020_CapacityTable'!$B$49:$F$71,3)</f>
        <v>8600</v>
      </c>
      <c r="AC148" s="15">
        <f>VLOOKUP($T148,'2020_CapacityTable'!$B$49:$F$71,4)</f>
        <v>14000</v>
      </c>
      <c r="AD148" s="15">
        <f>VLOOKUP($T148,'2020_CapacityTable'!$B$49:$F$71,5)</f>
        <v>28500</v>
      </c>
      <c r="AE148" s="35" t="str">
        <f t="shared" si="277"/>
        <v/>
      </c>
      <c r="AF148" s="36" t="str">
        <f t="shared" si="238"/>
        <v/>
      </c>
      <c r="AG148" s="35" t="str">
        <f t="shared" si="233"/>
        <v/>
      </c>
      <c r="AH148" s="35" t="str">
        <f t="shared" si="278"/>
        <v/>
      </c>
      <c r="AI148" s="35"/>
      <c r="AJ148" s="36"/>
      <c r="AK148" s="15">
        <f t="shared" si="239"/>
        <v>4600</v>
      </c>
      <c r="AL148" s="15">
        <f t="shared" si="240"/>
        <v>8600</v>
      </c>
      <c r="AM148" s="15">
        <f t="shared" si="241"/>
        <v>14000</v>
      </c>
      <c r="AN148" s="15">
        <f t="shared" si="242"/>
        <v>28500</v>
      </c>
      <c r="AO148" s="3">
        <f t="shared" si="226"/>
        <v>8600</v>
      </c>
      <c r="AP148" s="138">
        <f>VLOOKUP($B148,'2022 counts'!$B$6:$R$304,17,FALSE)</f>
        <v>6250</v>
      </c>
      <c r="AQ148" s="11">
        <f t="shared" si="243"/>
        <v>0.73</v>
      </c>
      <c r="AR148" s="2" t="str">
        <f t="shared" si="244"/>
        <v>C</v>
      </c>
      <c r="AS148" s="26">
        <f t="shared" si="245"/>
        <v>5.17</v>
      </c>
      <c r="AT148" s="15">
        <f>VLOOKUP($T148,'2020_CapacityTable'!$B$23:$F$45,2)</f>
        <v>240</v>
      </c>
      <c r="AU148" s="15">
        <f>VLOOKUP($T148,'2020_CapacityTable'!$B$23:$F$45,3)</f>
        <v>450</v>
      </c>
      <c r="AV148" s="15">
        <f>VLOOKUP($T148,'2020_CapacityTable'!$B$23:$F$45,4)</f>
        <v>730</v>
      </c>
      <c r="AW148" s="15">
        <f>VLOOKUP($T148,'2020_CapacityTable'!$B$23:$F$45,5)</f>
        <v>1490</v>
      </c>
      <c r="AX148" s="15">
        <f t="shared" si="246"/>
        <v>240</v>
      </c>
      <c r="AY148" s="15">
        <f t="shared" si="247"/>
        <v>450</v>
      </c>
      <c r="AZ148" s="15">
        <f t="shared" si="248"/>
        <v>730</v>
      </c>
      <c r="BA148" s="15">
        <f t="shared" si="249"/>
        <v>1490</v>
      </c>
      <c r="BB148" s="3">
        <f t="shared" si="227"/>
        <v>450</v>
      </c>
      <c r="BC148" s="138">
        <f>VLOOKUP($B148,'2022 counts'!$B$6:$AD$304,28,FALSE)</f>
        <v>315</v>
      </c>
      <c r="BD148" s="138">
        <f>VLOOKUP($B148,'2022 counts'!$B$6:$AD$304,29,FALSE)</f>
        <v>279</v>
      </c>
      <c r="BE148" s="11">
        <f t="shared" si="250"/>
        <v>0.7</v>
      </c>
      <c r="BF148" s="2" t="str">
        <f t="shared" si="251"/>
        <v>C</v>
      </c>
      <c r="BG148" s="135">
        <v>2.75E-2</v>
      </c>
      <c r="BH148" s="135">
        <f>IF($AQ148="","",VLOOKUP($B148, '2022 counts'!$B$6:$T$304,19,FALSE))</f>
        <v>2.75E-2</v>
      </c>
      <c r="BI148" s="38">
        <f t="shared" si="252"/>
        <v>2.75E-2</v>
      </c>
      <c r="BJ148" s="39" t="str">
        <f t="shared" si="253"/>
        <v/>
      </c>
      <c r="BK148" s="15">
        <f>VLOOKUP($U148,'2020_CapacityTable'!$B$49:$F$71,2)</f>
        <v>4600</v>
      </c>
      <c r="BL148" s="15">
        <f>VLOOKUP($U148,'2020_CapacityTable'!$B$49:$F$71,3)</f>
        <v>8600</v>
      </c>
      <c r="BM148" s="15">
        <f>VLOOKUP($T148,'2020_CapacityTable'!$B$49:$F$71,4)</f>
        <v>14000</v>
      </c>
      <c r="BN148" s="15">
        <f>VLOOKUP($T148,'2020_CapacityTable'!$B$49:$F$71,5)</f>
        <v>28500</v>
      </c>
      <c r="BO148" s="15">
        <f t="shared" si="254"/>
        <v>4600</v>
      </c>
      <c r="BP148" s="15">
        <f t="shared" si="255"/>
        <v>8600</v>
      </c>
      <c r="BQ148" s="15">
        <f t="shared" si="256"/>
        <v>14000</v>
      </c>
      <c r="BR148" s="15">
        <f t="shared" si="257"/>
        <v>28500</v>
      </c>
      <c r="BS148" s="3">
        <f t="shared" si="228"/>
        <v>8600</v>
      </c>
      <c r="BT148" s="40">
        <f>'State of the System - Sumter Co'!AD148</f>
        <v>7158</v>
      </c>
      <c r="BU148" s="41">
        <f t="shared" si="258"/>
        <v>0.83</v>
      </c>
      <c r="BV148" s="2" t="str">
        <f t="shared" si="259"/>
        <v>C</v>
      </c>
      <c r="BW148" s="2">
        <f t="shared" si="260"/>
        <v>5.92</v>
      </c>
      <c r="BX148" s="15">
        <f>VLOOKUP($U148,'2020_CapacityTable'!$B$23:$F$45,2)</f>
        <v>240</v>
      </c>
      <c r="BY148" s="15">
        <f>VLOOKUP($U148,'2020_CapacityTable'!$B$23:$F$45,3)</f>
        <v>450</v>
      </c>
      <c r="BZ148" s="15">
        <f>VLOOKUP($U148,'2020_CapacityTable'!$B$23:$F$45,4)</f>
        <v>730</v>
      </c>
      <c r="CA148" s="15">
        <f>VLOOKUP($U148,'2020_CapacityTable'!$B$23:$F$45,5)</f>
        <v>1490</v>
      </c>
      <c r="CB148" s="15">
        <f t="shared" si="261"/>
        <v>240</v>
      </c>
      <c r="CC148" s="15">
        <f t="shared" si="262"/>
        <v>450</v>
      </c>
      <c r="CD148" s="15">
        <f t="shared" si="263"/>
        <v>730</v>
      </c>
      <c r="CE148" s="15">
        <f t="shared" si="264"/>
        <v>1490</v>
      </c>
      <c r="CF148" s="3">
        <f t="shared" si="229"/>
        <v>450</v>
      </c>
      <c r="CG148" s="2">
        <f>'State of the System - Sumter Co'!AH148</f>
        <v>361</v>
      </c>
      <c r="CH148" s="2">
        <f>'State of the System - Sumter Co'!AI148</f>
        <v>320</v>
      </c>
      <c r="CI148" s="11">
        <f t="shared" si="265"/>
        <v>0.8</v>
      </c>
      <c r="CJ148" s="2" t="str">
        <f t="shared" si="230"/>
        <v>C</v>
      </c>
      <c r="CK148" s="3">
        <f t="shared" si="266"/>
        <v>30780</v>
      </c>
      <c r="CL148" s="11">
        <f t="shared" si="267"/>
        <v>0.23</v>
      </c>
      <c r="CM148" s="11" t="str">
        <f t="shared" si="268"/>
        <v>NOT CONGESTED</v>
      </c>
      <c r="CN148" s="3">
        <f t="shared" si="269"/>
        <v>1609</v>
      </c>
      <c r="CO148" s="11">
        <f t="shared" si="270"/>
        <v>0.22</v>
      </c>
      <c r="CP148" s="156" t="str">
        <f t="shared" si="231"/>
        <v>NOT CONGESTED</v>
      </c>
      <c r="CQ148" s="3"/>
      <c r="CR148" s="3"/>
      <c r="CS148" s="11" t="str">
        <f t="shared" si="271"/>
        <v/>
      </c>
      <c r="CT148" s="11" t="str">
        <f t="shared" si="232"/>
        <v/>
      </c>
      <c r="CU148" s="11" t="str">
        <f t="shared" si="272"/>
        <v/>
      </c>
      <c r="CV148" s="11" t="str">
        <f t="shared" si="273"/>
        <v/>
      </c>
      <c r="CW148" s="2"/>
      <c r="CX148" s="1"/>
      <c r="CY148" s="145" t="str">
        <f t="shared" si="274"/>
        <v/>
      </c>
      <c r="CZ148" s="32" t="str">
        <f t="shared" si="275"/>
        <v/>
      </c>
    </row>
    <row r="149" spans="1:104" ht="12.75" customHeight="1">
      <c r="A149" s="1">
        <v>3558180</v>
      </c>
      <c r="B149" s="1">
        <f t="shared" si="276"/>
        <v>180061</v>
      </c>
      <c r="C149" s="1">
        <v>180061</v>
      </c>
      <c r="D149" s="1">
        <f>VLOOKUP(C149,'2022 counts'!$A$6:$B$304,2,FALSE)</f>
        <v>180061</v>
      </c>
      <c r="E149" s="1">
        <v>180061</v>
      </c>
      <c r="F149" s="2" t="s">
        <v>136</v>
      </c>
      <c r="G149" s="156">
        <v>55</v>
      </c>
      <c r="H149" s="11">
        <v>1.0076077724600001</v>
      </c>
      <c r="I149" s="10" t="s">
        <v>81</v>
      </c>
      <c r="J149" s="10" t="s">
        <v>120</v>
      </c>
      <c r="K149" s="10" t="s">
        <v>734</v>
      </c>
      <c r="L149" s="157">
        <v>2</v>
      </c>
      <c r="M149" s="1">
        <f>'State of the System - Sumter Co'!K149</f>
        <v>2</v>
      </c>
      <c r="N149" s="1" t="str">
        <f>IF('State of the System - Sumter Co'!L149="URBAN","U","R")</f>
        <v>U</v>
      </c>
      <c r="O149" s="1" t="str">
        <f>IF('State of the System - Sumter Co'!M149="UNDIVIDED","U",IF('State of the System - Sumter Co'!M149="DIVIDED","D","F"))</f>
        <v>U</v>
      </c>
      <c r="P149" s="1" t="str">
        <f>'State of the System - Sumter Co'!N149</f>
        <v>UNINTERRUPTED</v>
      </c>
      <c r="Q149" s="1" t="str">
        <f t="shared" si="234"/>
        <v/>
      </c>
      <c r="R149" s="1" t="str">
        <f>'State of the System - Sumter Co'!O149</f>
        <v/>
      </c>
      <c r="S149" s="1" t="str">
        <f t="shared" si="235"/>
        <v>-x</v>
      </c>
      <c r="T149" s="1" t="str">
        <f t="shared" si="236"/>
        <v>U-2U-x</v>
      </c>
      <c r="U149" s="1" t="str">
        <f t="shared" si="225"/>
        <v>U-2U-x</v>
      </c>
      <c r="V149" s="1" t="s">
        <v>137</v>
      </c>
      <c r="W149" s="1" t="s">
        <v>11</v>
      </c>
      <c r="X149" s="1" t="s">
        <v>138</v>
      </c>
      <c r="Y149" s="1" t="str">
        <f>'State of the System - Sumter Co'!R149</f>
        <v>D</v>
      </c>
      <c r="Z149" s="157" t="str">
        <f t="shared" si="237"/>
        <v>NHS Non-Interstate</v>
      </c>
      <c r="AA149" s="15">
        <f>VLOOKUP($T149,'2020_CapacityTable'!$B$49:$F$71,2)</f>
        <v>11700</v>
      </c>
      <c r="AB149" s="15">
        <f>VLOOKUP($T149,'2020_CapacityTable'!$B$49:$F$71,3)</f>
        <v>18000</v>
      </c>
      <c r="AC149" s="15">
        <f>VLOOKUP($T149,'2020_CapacityTable'!$B$49:$F$71,4)</f>
        <v>24200</v>
      </c>
      <c r="AD149" s="15">
        <f>VLOOKUP($T149,'2020_CapacityTable'!$B$49:$F$71,5)</f>
        <v>32600</v>
      </c>
      <c r="AE149" s="35" t="str">
        <f t="shared" si="277"/>
        <v/>
      </c>
      <c r="AF149" s="36" t="str">
        <f t="shared" si="238"/>
        <v/>
      </c>
      <c r="AG149" s="35" t="str">
        <f t="shared" si="233"/>
        <v/>
      </c>
      <c r="AH149" s="35" t="str">
        <f t="shared" si="278"/>
        <v/>
      </c>
      <c r="AI149" s="35"/>
      <c r="AJ149" s="36"/>
      <c r="AK149" s="15">
        <f t="shared" si="239"/>
        <v>11700</v>
      </c>
      <c r="AL149" s="15">
        <f t="shared" si="240"/>
        <v>18000</v>
      </c>
      <c r="AM149" s="15">
        <f t="shared" si="241"/>
        <v>24200</v>
      </c>
      <c r="AN149" s="15">
        <f t="shared" si="242"/>
        <v>32600</v>
      </c>
      <c r="AO149" s="3">
        <f t="shared" si="226"/>
        <v>24200</v>
      </c>
      <c r="AP149" s="138">
        <f>VLOOKUP($B149,'2022 counts'!$B$6:$R$304,17,FALSE)</f>
        <v>7631.428571428638</v>
      </c>
      <c r="AQ149" s="11">
        <f t="shared" si="243"/>
        <v>0.32</v>
      </c>
      <c r="AR149" s="2" t="str">
        <f t="shared" si="244"/>
        <v>B</v>
      </c>
      <c r="AS149" s="26">
        <f t="shared" si="245"/>
        <v>2.81</v>
      </c>
      <c r="AT149" s="15">
        <f>VLOOKUP($T149,'2020_CapacityTable'!$B$23:$F$45,2)</f>
        <v>580</v>
      </c>
      <c r="AU149" s="15">
        <f>VLOOKUP($T149,'2020_CapacityTable'!$B$23:$F$45,3)</f>
        <v>890</v>
      </c>
      <c r="AV149" s="15">
        <f>VLOOKUP($T149,'2020_CapacityTable'!$B$23:$F$45,4)</f>
        <v>1200</v>
      </c>
      <c r="AW149" s="15">
        <f>VLOOKUP($T149,'2020_CapacityTable'!$B$23:$F$45,5)</f>
        <v>1610</v>
      </c>
      <c r="AX149" s="15">
        <f t="shared" si="246"/>
        <v>580</v>
      </c>
      <c r="AY149" s="15">
        <f t="shared" si="247"/>
        <v>890</v>
      </c>
      <c r="AZ149" s="15">
        <f t="shared" si="248"/>
        <v>1200</v>
      </c>
      <c r="BA149" s="15">
        <f t="shared" si="249"/>
        <v>1610</v>
      </c>
      <c r="BB149" s="3">
        <f t="shared" si="227"/>
        <v>1200</v>
      </c>
      <c r="BC149" s="138">
        <f>VLOOKUP($B149,'2022 counts'!$B$6:$AD$304,28,FALSE)</f>
        <v>384</v>
      </c>
      <c r="BD149" s="138">
        <f>VLOOKUP($B149,'2022 counts'!$B$6:$AD$304,29,FALSE)</f>
        <v>341</v>
      </c>
      <c r="BE149" s="11">
        <f t="shared" si="250"/>
        <v>0.32</v>
      </c>
      <c r="BF149" s="2" t="str">
        <f t="shared" si="251"/>
        <v>B</v>
      </c>
      <c r="BG149" s="135">
        <v>4.2500000000000003E-2</v>
      </c>
      <c r="BH149" s="135">
        <f>IF($AQ149="","",VLOOKUP($B149, '2022 counts'!$B$6:$T$304,19,FALSE))</f>
        <v>0.01</v>
      </c>
      <c r="BI149" s="38">
        <f t="shared" si="252"/>
        <v>0.01</v>
      </c>
      <c r="BJ149" s="39" t="str">
        <f t="shared" si="253"/>
        <v>(1)</v>
      </c>
      <c r="BK149" s="15">
        <f>VLOOKUP($U149,'2020_CapacityTable'!$B$49:$F$71,2)</f>
        <v>11700</v>
      </c>
      <c r="BL149" s="15">
        <f>VLOOKUP($U149,'2020_CapacityTable'!$B$49:$F$71,3)</f>
        <v>18000</v>
      </c>
      <c r="BM149" s="15">
        <f>VLOOKUP($T149,'2020_CapacityTable'!$B$49:$F$71,4)</f>
        <v>24200</v>
      </c>
      <c r="BN149" s="15">
        <f>VLOOKUP($T149,'2020_CapacityTable'!$B$49:$F$71,5)</f>
        <v>32600</v>
      </c>
      <c r="BO149" s="15">
        <f t="shared" si="254"/>
        <v>11700</v>
      </c>
      <c r="BP149" s="15">
        <f t="shared" si="255"/>
        <v>18000</v>
      </c>
      <c r="BQ149" s="15">
        <f t="shared" si="256"/>
        <v>24200</v>
      </c>
      <c r="BR149" s="15">
        <f t="shared" si="257"/>
        <v>32600</v>
      </c>
      <c r="BS149" s="3">
        <f t="shared" si="228"/>
        <v>24200</v>
      </c>
      <c r="BT149" s="40">
        <f>'State of the System - Sumter Co'!AD149</f>
        <v>8021</v>
      </c>
      <c r="BU149" s="41">
        <f t="shared" si="258"/>
        <v>0.33</v>
      </c>
      <c r="BV149" s="2" t="str">
        <f t="shared" si="259"/>
        <v>B</v>
      </c>
      <c r="BW149" s="2">
        <f t="shared" si="260"/>
        <v>2.95</v>
      </c>
      <c r="BX149" s="15">
        <f>VLOOKUP($U149,'2020_CapacityTable'!$B$23:$F$45,2)</f>
        <v>580</v>
      </c>
      <c r="BY149" s="15">
        <f>VLOOKUP($U149,'2020_CapacityTable'!$B$23:$F$45,3)</f>
        <v>890</v>
      </c>
      <c r="BZ149" s="15">
        <f>VLOOKUP($U149,'2020_CapacityTable'!$B$23:$F$45,4)</f>
        <v>1200</v>
      </c>
      <c r="CA149" s="15">
        <f>VLOOKUP($U149,'2020_CapacityTable'!$B$23:$F$45,5)</f>
        <v>1610</v>
      </c>
      <c r="CB149" s="15">
        <f t="shared" si="261"/>
        <v>580</v>
      </c>
      <c r="CC149" s="15">
        <f t="shared" si="262"/>
        <v>890</v>
      </c>
      <c r="CD149" s="15">
        <f t="shared" si="263"/>
        <v>1200</v>
      </c>
      <c r="CE149" s="15">
        <f t="shared" si="264"/>
        <v>1610</v>
      </c>
      <c r="CF149" s="3">
        <f t="shared" si="229"/>
        <v>1200</v>
      </c>
      <c r="CG149" s="2">
        <f>'State of the System - Sumter Co'!AH149</f>
        <v>404</v>
      </c>
      <c r="CH149" s="2">
        <f>'State of the System - Sumter Co'!AI149</f>
        <v>358</v>
      </c>
      <c r="CI149" s="11">
        <f t="shared" si="265"/>
        <v>0.34</v>
      </c>
      <c r="CJ149" s="2" t="str">
        <f t="shared" si="230"/>
        <v>B</v>
      </c>
      <c r="CK149" s="3">
        <f t="shared" si="266"/>
        <v>35208</v>
      </c>
      <c r="CL149" s="11">
        <f t="shared" si="267"/>
        <v>0.23</v>
      </c>
      <c r="CM149" s="11" t="str">
        <f t="shared" si="268"/>
        <v>NOT CONGESTED</v>
      </c>
      <c r="CN149" s="3">
        <f t="shared" si="269"/>
        <v>1739</v>
      </c>
      <c r="CO149" s="11">
        <f t="shared" si="270"/>
        <v>0.23</v>
      </c>
      <c r="CP149" s="156" t="str">
        <f t="shared" si="231"/>
        <v>NOT CONGESTED</v>
      </c>
      <c r="CQ149" s="3"/>
      <c r="CR149" s="3"/>
      <c r="CS149" s="11" t="str">
        <f t="shared" si="271"/>
        <v/>
      </c>
      <c r="CT149" s="11" t="str">
        <f t="shared" si="232"/>
        <v/>
      </c>
      <c r="CU149" s="11" t="str">
        <f t="shared" si="272"/>
        <v/>
      </c>
      <c r="CV149" s="11" t="str">
        <f t="shared" si="273"/>
        <v/>
      </c>
      <c r="CW149" s="2"/>
      <c r="CX149" s="1"/>
      <c r="CY149" s="145" t="str">
        <f t="shared" si="274"/>
        <v/>
      </c>
      <c r="CZ149" s="32" t="str">
        <f t="shared" si="275"/>
        <v/>
      </c>
    </row>
    <row r="150" spans="1:104" ht="12.75" customHeight="1">
      <c r="A150" s="1">
        <v>3558190</v>
      </c>
      <c r="B150" s="1">
        <f t="shared" si="276"/>
        <v>180061</v>
      </c>
      <c r="C150" s="1">
        <v>402</v>
      </c>
      <c r="D150" s="1" t="str">
        <f>VLOOKUP(C150,'2022 counts'!$A$6:$B$304,2,FALSE)</f>
        <v>STATE</v>
      </c>
      <c r="E150" s="1">
        <v>180061</v>
      </c>
      <c r="F150" s="2" t="s">
        <v>136</v>
      </c>
      <c r="G150" s="156">
        <v>35</v>
      </c>
      <c r="H150" s="11">
        <v>0.49531475136500003</v>
      </c>
      <c r="I150" s="10" t="s">
        <v>81</v>
      </c>
      <c r="J150" s="10" t="s">
        <v>734</v>
      </c>
      <c r="K150" s="10" t="s">
        <v>749</v>
      </c>
      <c r="L150" s="157">
        <v>2</v>
      </c>
      <c r="M150" s="1">
        <f>'State of the System - Sumter Co'!K150</f>
        <v>2</v>
      </c>
      <c r="N150" s="1" t="str">
        <f>IF('State of the System - Sumter Co'!L150="URBAN","U","R")</f>
        <v>U</v>
      </c>
      <c r="O150" s="1" t="str">
        <f>IF('State of the System - Sumter Co'!M150="UNDIVIDED","U",IF('State of the System - Sumter Co'!M150="DIVIDED","D","F"))</f>
        <v>U</v>
      </c>
      <c r="P150" s="1" t="str">
        <f>'State of the System - Sumter Co'!N150</f>
        <v>UNINTERRUPTED</v>
      </c>
      <c r="Q150" s="1" t="str">
        <f t="shared" si="234"/>
        <v/>
      </c>
      <c r="R150" s="1" t="str">
        <f>'State of the System - Sumter Co'!O150</f>
        <v/>
      </c>
      <c r="S150" s="1" t="str">
        <f t="shared" si="235"/>
        <v>-x</v>
      </c>
      <c r="T150" s="1" t="str">
        <f t="shared" si="236"/>
        <v>U-2U-x</v>
      </c>
      <c r="U150" s="1" t="str">
        <f t="shared" si="225"/>
        <v>U-2U-x</v>
      </c>
      <c r="V150" s="1" t="s">
        <v>137</v>
      </c>
      <c r="W150" s="1" t="s">
        <v>90</v>
      </c>
      <c r="X150" s="1" t="s">
        <v>138</v>
      </c>
      <c r="Y150" s="1" t="str">
        <f>'State of the System - Sumter Co'!R150</f>
        <v>D</v>
      </c>
      <c r="Z150" s="157" t="str">
        <f t="shared" si="237"/>
        <v>NHS Non-Interstate</v>
      </c>
      <c r="AA150" s="15">
        <f>VLOOKUP($T150,'2020_CapacityTable'!$B$49:$F$71,2)</f>
        <v>11700</v>
      </c>
      <c r="AB150" s="15">
        <f>VLOOKUP($T150,'2020_CapacityTable'!$B$49:$F$71,3)</f>
        <v>18000</v>
      </c>
      <c r="AC150" s="15">
        <f>VLOOKUP($T150,'2020_CapacityTable'!$B$49:$F$71,4)</f>
        <v>24200</v>
      </c>
      <c r="AD150" s="15">
        <f>VLOOKUP($T150,'2020_CapacityTable'!$B$49:$F$71,5)</f>
        <v>32600</v>
      </c>
      <c r="AE150" s="35" t="str">
        <f t="shared" si="277"/>
        <v/>
      </c>
      <c r="AF150" s="36" t="str">
        <f t="shared" si="238"/>
        <v/>
      </c>
      <c r="AG150" s="35" t="str">
        <f t="shared" si="233"/>
        <v/>
      </c>
      <c r="AH150" s="35" t="str">
        <f t="shared" si="278"/>
        <v/>
      </c>
      <c r="AI150" s="35"/>
      <c r="AJ150" s="36"/>
      <c r="AK150" s="15">
        <f t="shared" si="239"/>
        <v>11700</v>
      </c>
      <c r="AL150" s="15">
        <f t="shared" si="240"/>
        <v>18000</v>
      </c>
      <c r="AM150" s="15">
        <f t="shared" si="241"/>
        <v>24200</v>
      </c>
      <c r="AN150" s="15">
        <f t="shared" si="242"/>
        <v>32600</v>
      </c>
      <c r="AO150" s="3">
        <f t="shared" si="226"/>
        <v>24200</v>
      </c>
      <c r="AP150" s="138">
        <f>VLOOKUP($B150,'2022 counts'!$B$6:$R$304,17,FALSE)</f>
        <v>7631.428571428638</v>
      </c>
      <c r="AQ150" s="11">
        <f t="shared" si="243"/>
        <v>0.32</v>
      </c>
      <c r="AR150" s="2" t="str">
        <f t="shared" si="244"/>
        <v>B</v>
      </c>
      <c r="AS150" s="26">
        <f t="shared" si="245"/>
        <v>1.38</v>
      </c>
      <c r="AT150" s="15">
        <f>VLOOKUP($T150,'2020_CapacityTable'!$B$23:$F$45,2)</f>
        <v>580</v>
      </c>
      <c r="AU150" s="15">
        <f>VLOOKUP($T150,'2020_CapacityTable'!$B$23:$F$45,3)</f>
        <v>890</v>
      </c>
      <c r="AV150" s="15">
        <f>VLOOKUP($T150,'2020_CapacityTable'!$B$23:$F$45,4)</f>
        <v>1200</v>
      </c>
      <c r="AW150" s="15">
        <f>VLOOKUP($T150,'2020_CapacityTable'!$B$23:$F$45,5)</f>
        <v>1610</v>
      </c>
      <c r="AX150" s="15">
        <f t="shared" si="246"/>
        <v>580</v>
      </c>
      <c r="AY150" s="15">
        <f t="shared" si="247"/>
        <v>890</v>
      </c>
      <c r="AZ150" s="15">
        <f t="shared" si="248"/>
        <v>1200</v>
      </c>
      <c r="BA150" s="15">
        <f t="shared" si="249"/>
        <v>1610</v>
      </c>
      <c r="BB150" s="3">
        <f t="shared" si="227"/>
        <v>1200</v>
      </c>
      <c r="BC150" s="138">
        <f>VLOOKUP($B150,'2022 counts'!$B$6:$AD$304,28,FALSE)</f>
        <v>384</v>
      </c>
      <c r="BD150" s="138">
        <f>VLOOKUP($B150,'2022 counts'!$B$6:$AD$304,29,FALSE)</f>
        <v>341</v>
      </c>
      <c r="BE150" s="11">
        <f t="shared" si="250"/>
        <v>0.32</v>
      </c>
      <c r="BF150" s="2" t="str">
        <f t="shared" si="251"/>
        <v>B</v>
      </c>
      <c r="BG150" s="135">
        <v>4.2500000000000003E-2</v>
      </c>
      <c r="BH150" s="135">
        <f>IF($AQ150="","",VLOOKUP($B150, '2022 counts'!$B$6:$T$304,19,FALSE))</f>
        <v>0.01</v>
      </c>
      <c r="BI150" s="38">
        <f t="shared" si="252"/>
        <v>0.01</v>
      </c>
      <c r="BJ150" s="39" t="str">
        <f t="shared" si="253"/>
        <v>(1)</v>
      </c>
      <c r="BK150" s="15">
        <f>VLOOKUP($U150,'2020_CapacityTable'!$B$49:$F$71,2)</f>
        <v>11700</v>
      </c>
      <c r="BL150" s="15">
        <f>VLOOKUP($U150,'2020_CapacityTable'!$B$49:$F$71,3)</f>
        <v>18000</v>
      </c>
      <c r="BM150" s="15">
        <f>VLOOKUP($T150,'2020_CapacityTable'!$B$49:$F$71,4)</f>
        <v>24200</v>
      </c>
      <c r="BN150" s="15">
        <f>VLOOKUP($T150,'2020_CapacityTable'!$B$49:$F$71,5)</f>
        <v>32600</v>
      </c>
      <c r="BO150" s="15">
        <f t="shared" si="254"/>
        <v>11700</v>
      </c>
      <c r="BP150" s="15">
        <f t="shared" si="255"/>
        <v>18000</v>
      </c>
      <c r="BQ150" s="15">
        <f t="shared" si="256"/>
        <v>24200</v>
      </c>
      <c r="BR150" s="15">
        <f t="shared" si="257"/>
        <v>32600</v>
      </c>
      <c r="BS150" s="3">
        <f t="shared" si="228"/>
        <v>24200</v>
      </c>
      <c r="BT150" s="40">
        <f>'State of the System - Sumter Co'!AD150</f>
        <v>8021</v>
      </c>
      <c r="BU150" s="41">
        <f t="shared" si="258"/>
        <v>0.33</v>
      </c>
      <c r="BV150" s="2" t="str">
        <f t="shared" si="259"/>
        <v>B</v>
      </c>
      <c r="BW150" s="2">
        <f t="shared" si="260"/>
        <v>1.45</v>
      </c>
      <c r="BX150" s="15">
        <f>VLOOKUP($U150,'2020_CapacityTable'!$B$23:$F$45,2)</f>
        <v>580</v>
      </c>
      <c r="BY150" s="15">
        <f>VLOOKUP($U150,'2020_CapacityTable'!$B$23:$F$45,3)</f>
        <v>890</v>
      </c>
      <c r="BZ150" s="15">
        <f>VLOOKUP($U150,'2020_CapacityTable'!$B$23:$F$45,4)</f>
        <v>1200</v>
      </c>
      <c r="CA150" s="15">
        <f>VLOOKUP($U150,'2020_CapacityTable'!$B$23:$F$45,5)</f>
        <v>1610</v>
      </c>
      <c r="CB150" s="15">
        <f t="shared" si="261"/>
        <v>580</v>
      </c>
      <c r="CC150" s="15">
        <f t="shared" si="262"/>
        <v>890</v>
      </c>
      <c r="CD150" s="15">
        <f t="shared" si="263"/>
        <v>1200</v>
      </c>
      <c r="CE150" s="15">
        <f t="shared" si="264"/>
        <v>1610</v>
      </c>
      <c r="CF150" s="3">
        <f t="shared" si="229"/>
        <v>1200</v>
      </c>
      <c r="CG150" s="2">
        <f>'State of the System - Sumter Co'!AH150</f>
        <v>404</v>
      </c>
      <c r="CH150" s="2">
        <f>'State of the System - Sumter Co'!AI150</f>
        <v>358</v>
      </c>
      <c r="CI150" s="11">
        <f t="shared" si="265"/>
        <v>0.34</v>
      </c>
      <c r="CJ150" s="2" t="str">
        <f t="shared" si="230"/>
        <v>B</v>
      </c>
      <c r="CK150" s="3">
        <f t="shared" si="266"/>
        <v>35208</v>
      </c>
      <c r="CL150" s="11">
        <f t="shared" si="267"/>
        <v>0.23</v>
      </c>
      <c r="CM150" s="11" t="str">
        <f t="shared" si="268"/>
        <v>NOT CONGESTED</v>
      </c>
      <c r="CN150" s="3">
        <f t="shared" si="269"/>
        <v>1739</v>
      </c>
      <c r="CO150" s="11">
        <f t="shared" si="270"/>
        <v>0.23</v>
      </c>
      <c r="CP150" s="156" t="str">
        <f t="shared" si="231"/>
        <v>NOT CONGESTED</v>
      </c>
      <c r="CQ150" s="3"/>
      <c r="CR150" s="3"/>
      <c r="CS150" s="11" t="str">
        <f t="shared" si="271"/>
        <v/>
      </c>
      <c r="CT150" s="11" t="str">
        <f t="shared" si="232"/>
        <v/>
      </c>
      <c r="CU150" s="11" t="str">
        <f t="shared" si="272"/>
        <v/>
      </c>
      <c r="CV150" s="11" t="str">
        <f t="shared" si="273"/>
        <v/>
      </c>
      <c r="CW150" s="2"/>
      <c r="CX150" s="1"/>
      <c r="CY150" s="145" t="str">
        <f t="shared" si="274"/>
        <v/>
      </c>
      <c r="CZ150" s="32" t="str">
        <f t="shared" si="275"/>
        <v/>
      </c>
    </row>
    <row r="151" spans="1:104" ht="12.75" customHeight="1">
      <c r="A151" s="247">
        <v>3559100</v>
      </c>
      <c r="B151" s="1">
        <f t="shared" si="276"/>
        <v>180204</v>
      </c>
      <c r="C151" s="5">
        <v>180204</v>
      </c>
      <c r="D151" s="1">
        <f>VLOOKUP(C151,'2022 counts'!$A$6:$B$304,2,FALSE)</f>
        <v>180204</v>
      </c>
      <c r="E151" s="5">
        <v>180204</v>
      </c>
      <c r="F151" s="2" t="s">
        <v>136</v>
      </c>
      <c r="G151" s="156">
        <v>60</v>
      </c>
      <c r="H151" s="11">
        <v>2.4019785216199998</v>
      </c>
      <c r="I151" s="10" t="s">
        <v>62</v>
      </c>
      <c r="J151" s="10" t="s">
        <v>83</v>
      </c>
      <c r="K151" s="10" t="s">
        <v>734</v>
      </c>
      <c r="L151" s="157">
        <v>2</v>
      </c>
      <c r="M151" s="1">
        <f>'State of the System - Sumter Co'!K151</f>
        <v>4</v>
      </c>
      <c r="N151" s="1" t="str">
        <f>IF('State of the System - Sumter Co'!L151="URBAN","U","R")</f>
        <v>R</v>
      </c>
      <c r="O151" s="1" t="str">
        <f>IF('State of the System - Sumter Co'!M151="UNDIVIDED","U",IF('State of the System - Sumter Co'!M151="DIVIDED","D","F"))</f>
        <v>U</v>
      </c>
      <c r="P151" s="1" t="str">
        <f>'State of the System - Sumter Co'!N151</f>
        <v>UNINTERRUPTED</v>
      </c>
      <c r="Q151" s="1" t="str">
        <f t="shared" si="234"/>
        <v>z</v>
      </c>
      <c r="R151" s="1" t="str">
        <f>'State of the System - Sumter Co'!O151</f>
        <v>UNDEVELOPED</v>
      </c>
      <c r="S151" s="1" t="str">
        <f t="shared" si="235"/>
        <v/>
      </c>
      <c r="T151" s="1" t="str">
        <f t="shared" si="236"/>
        <v>R-2Uz</v>
      </c>
      <c r="U151" s="1" t="s">
        <v>679</v>
      </c>
      <c r="V151" s="1" t="s">
        <v>137</v>
      </c>
      <c r="W151" s="1" t="s">
        <v>11</v>
      </c>
      <c r="X151" s="1" t="s">
        <v>138</v>
      </c>
      <c r="Y151" s="1" t="str">
        <f>'State of the System - Sumter Co'!R151</f>
        <v>C</v>
      </c>
      <c r="Z151" s="157" t="str">
        <f t="shared" si="237"/>
        <v>NHS Non-Interstate</v>
      </c>
      <c r="AA151" s="15">
        <f>VLOOKUP($T151,'2020_CapacityTable'!$B$49:$F$71,2)</f>
        <v>4600</v>
      </c>
      <c r="AB151" s="15">
        <f>VLOOKUP($T151,'2020_CapacityTable'!$B$49:$F$71,3)</f>
        <v>8600</v>
      </c>
      <c r="AC151" s="15">
        <f>VLOOKUP($T151,'2020_CapacityTable'!$B$49:$F$71,4)</f>
        <v>14000</v>
      </c>
      <c r="AD151" s="15">
        <f>VLOOKUP($T151,'2020_CapacityTable'!$B$49:$F$71,5)</f>
        <v>28500</v>
      </c>
      <c r="AE151" s="35" t="str">
        <f t="shared" si="277"/>
        <v/>
      </c>
      <c r="AF151" s="36" t="str">
        <f t="shared" si="238"/>
        <v/>
      </c>
      <c r="AG151" s="35" t="str">
        <f t="shared" si="233"/>
        <v/>
      </c>
      <c r="AH151" s="35" t="str">
        <f t="shared" si="278"/>
        <v/>
      </c>
      <c r="AI151" s="35"/>
      <c r="AJ151" s="36"/>
      <c r="AK151" s="15">
        <f t="shared" si="239"/>
        <v>4600</v>
      </c>
      <c r="AL151" s="15">
        <f t="shared" si="240"/>
        <v>8600</v>
      </c>
      <c r="AM151" s="15">
        <f t="shared" si="241"/>
        <v>14000</v>
      </c>
      <c r="AN151" s="15">
        <f t="shared" si="242"/>
        <v>28500</v>
      </c>
      <c r="AO151" s="3">
        <f t="shared" si="226"/>
        <v>8600</v>
      </c>
      <c r="AP151" s="138">
        <f>VLOOKUP($B151,'2022 counts'!$B$6:$R$304,17,FALSE)</f>
        <v>7020</v>
      </c>
      <c r="AQ151" s="11">
        <f t="shared" si="243"/>
        <v>0.82</v>
      </c>
      <c r="AR151" s="2" t="str">
        <f t="shared" si="244"/>
        <v>C</v>
      </c>
      <c r="AS151" s="26">
        <f t="shared" si="245"/>
        <v>6.15</v>
      </c>
      <c r="AT151" s="15">
        <f>VLOOKUP($T151,'2020_CapacityTable'!$B$23:$F$45,2)</f>
        <v>240</v>
      </c>
      <c r="AU151" s="15">
        <f>VLOOKUP($T151,'2020_CapacityTable'!$B$23:$F$45,3)</f>
        <v>450</v>
      </c>
      <c r="AV151" s="15">
        <f>VLOOKUP($T151,'2020_CapacityTable'!$B$23:$F$45,4)</f>
        <v>730</v>
      </c>
      <c r="AW151" s="15">
        <f>VLOOKUP($T151,'2020_CapacityTable'!$B$23:$F$45,5)</f>
        <v>1490</v>
      </c>
      <c r="AX151" s="15">
        <f t="shared" si="246"/>
        <v>240</v>
      </c>
      <c r="AY151" s="15">
        <f t="shared" si="247"/>
        <v>450</v>
      </c>
      <c r="AZ151" s="15">
        <f t="shared" si="248"/>
        <v>730</v>
      </c>
      <c r="BA151" s="15">
        <f t="shared" si="249"/>
        <v>1490</v>
      </c>
      <c r="BB151" s="3">
        <f t="shared" si="227"/>
        <v>450</v>
      </c>
      <c r="BC151" s="138">
        <f>VLOOKUP($B151,'2022 counts'!$B$6:$AD$304,28,FALSE)</f>
        <v>274</v>
      </c>
      <c r="BD151" s="138">
        <f>VLOOKUP($B151,'2022 counts'!$B$6:$AD$304,29,FALSE)</f>
        <v>290</v>
      </c>
      <c r="BE151" s="11">
        <f t="shared" si="250"/>
        <v>0.64</v>
      </c>
      <c r="BF151" s="2" t="str">
        <f t="shared" si="251"/>
        <v>C</v>
      </c>
      <c r="BG151" s="135">
        <v>7.4999999999999997E-3</v>
      </c>
      <c r="BH151" s="135">
        <f>IF($AQ151="","",VLOOKUP($B151, '2022 counts'!$B$6:$T$304,19,FALSE))</f>
        <v>7.4999999999999997E-3</v>
      </c>
      <c r="BI151" s="38">
        <f t="shared" si="252"/>
        <v>0.01</v>
      </c>
      <c r="BJ151" s="39" t="str">
        <f t="shared" si="253"/>
        <v>minimum</v>
      </c>
      <c r="BK151" s="15">
        <f>VLOOKUP($U151,'2020_CapacityTable'!$B$49:$F$71,2)</f>
        <v>31200</v>
      </c>
      <c r="BL151" s="15">
        <f>VLOOKUP($U151,'2020_CapacityTable'!$B$49:$F$71,3)</f>
        <v>44900</v>
      </c>
      <c r="BM151" s="15">
        <f>VLOOKUP($T151,'2020_CapacityTable'!$B$49:$F$71,4)</f>
        <v>14000</v>
      </c>
      <c r="BN151" s="15">
        <f>VLOOKUP($T151,'2020_CapacityTable'!$B$49:$F$71,5)</f>
        <v>28500</v>
      </c>
      <c r="BO151" s="15">
        <f t="shared" si="254"/>
        <v>31200</v>
      </c>
      <c r="BP151" s="15">
        <f t="shared" si="255"/>
        <v>44900</v>
      </c>
      <c r="BQ151" s="15">
        <f t="shared" si="256"/>
        <v>14000</v>
      </c>
      <c r="BR151" s="15">
        <f t="shared" si="257"/>
        <v>28500</v>
      </c>
      <c r="BS151" s="3">
        <f t="shared" si="228"/>
        <v>44900</v>
      </c>
      <c r="BT151" s="40">
        <f>'State of the System - Sumter Co'!AD151</f>
        <v>7378</v>
      </c>
      <c r="BU151" s="41">
        <f t="shared" si="258"/>
        <v>0.16</v>
      </c>
      <c r="BV151" s="2" t="str">
        <f t="shared" si="259"/>
        <v>B</v>
      </c>
      <c r="BW151" s="2">
        <f t="shared" si="260"/>
        <v>6.47</v>
      </c>
      <c r="BX151" s="15">
        <f>VLOOKUP($U151,'2020_CapacityTable'!$B$23:$F$45,2)</f>
        <v>1630</v>
      </c>
      <c r="BY151" s="15">
        <f>VLOOKUP($U151,'2020_CapacityTable'!$B$23:$F$45,3)</f>
        <v>2350</v>
      </c>
      <c r="BZ151" s="15">
        <f>VLOOKUP($U151,'2020_CapacityTable'!$B$23:$F$45,4)</f>
        <v>2910</v>
      </c>
      <c r="CA151" s="15">
        <f>VLOOKUP($U151,'2020_CapacityTable'!$B$23:$F$45,5)</f>
        <v>3280</v>
      </c>
      <c r="CB151" s="15">
        <f t="shared" si="261"/>
        <v>1630</v>
      </c>
      <c r="CC151" s="15">
        <f t="shared" si="262"/>
        <v>2350</v>
      </c>
      <c r="CD151" s="15">
        <f t="shared" si="263"/>
        <v>2910</v>
      </c>
      <c r="CE151" s="15">
        <f t="shared" si="264"/>
        <v>3280</v>
      </c>
      <c r="CF151" s="3">
        <f t="shared" si="229"/>
        <v>2350</v>
      </c>
      <c r="CG151" s="2">
        <f>'State of the System - Sumter Co'!AH151</f>
        <v>288</v>
      </c>
      <c r="CH151" s="2">
        <f>'State of the System - Sumter Co'!AI151</f>
        <v>305</v>
      </c>
      <c r="CI151" s="11">
        <f t="shared" si="265"/>
        <v>0.13</v>
      </c>
      <c r="CJ151" s="2" t="str">
        <f>IF(OR(CI151="",CI151="-",CI151=0),"",IF(MAX(CG151,CH151)&lt;=$CB151,"B",IF(MAX(CG151,CH151)&lt;=$CC151,"C",IF(MAX(CG151,CH151)&lt;=$CD151,"D",IF(MAX(CG151,CH151)&lt;=$CE151,"E","F")))))</f>
        <v>B</v>
      </c>
      <c r="CK151" s="3">
        <f t="shared" si="266"/>
        <v>30780</v>
      </c>
      <c r="CL151" s="11">
        <f t="shared" si="267"/>
        <v>0.24</v>
      </c>
      <c r="CM151" s="11" t="str">
        <f t="shared" si="268"/>
        <v>NOT CONGESTED</v>
      </c>
      <c r="CN151" s="3">
        <f t="shared" si="269"/>
        <v>1609</v>
      </c>
      <c r="CO151" s="11">
        <f t="shared" si="270"/>
        <v>0.19</v>
      </c>
      <c r="CP151" s="156" t="str">
        <f t="shared" si="231"/>
        <v>NOT CONGESTED</v>
      </c>
      <c r="CQ151" s="2" t="s">
        <v>557</v>
      </c>
      <c r="CR151" s="44">
        <v>0</v>
      </c>
      <c r="CS151" s="11" t="str">
        <f t="shared" si="271"/>
        <v/>
      </c>
      <c r="CT151" s="11" t="str">
        <f t="shared" si="232"/>
        <v/>
      </c>
      <c r="CU151" s="11" t="str">
        <f t="shared" si="272"/>
        <v/>
      </c>
      <c r="CV151" s="11" t="str">
        <f t="shared" si="273"/>
        <v/>
      </c>
      <c r="CW151" s="2"/>
      <c r="CX151" s="1" t="s">
        <v>585</v>
      </c>
      <c r="CY151" s="145" t="str">
        <f t="shared" si="274"/>
        <v/>
      </c>
      <c r="CZ151" s="32" t="str">
        <f t="shared" si="275"/>
        <v/>
      </c>
    </row>
    <row r="152" spans="1:104" ht="12.75" customHeight="1">
      <c r="A152" s="1">
        <v>3559110</v>
      </c>
      <c r="B152" s="1">
        <f t="shared" si="276"/>
        <v>180021</v>
      </c>
      <c r="C152" s="1">
        <v>180021</v>
      </c>
      <c r="D152" s="1">
        <f>VLOOKUP(C152,'2022 counts'!$A$6:$B$304,2,FALSE)</f>
        <v>180021</v>
      </c>
      <c r="E152" s="1">
        <v>180021</v>
      </c>
      <c r="F152" s="2" t="s">
        <v>136</v>
      </c>
      <c r="G152" s="156">
        <v>60</v>
      </c>
      <c r="H152" s="11">
        <v>1.7661572543399999</v>
      </c>
      <c r="I152" s="10" t="s">
        <v>62</v>
      </c>
      <c r="J152" s="10" t="s">
        <v>734</v>
      </c>
      <c r="K152" s="10" t="s">
        <v>81</v>
      </c>
      <c r="L152" s="157">
        <v>2</v>
      </c>
      <c r="M152" s="1">
        <f>'State of the System - Sumter Co'!K152</f>
        <v>2</v>
      </c>
      <c r="N152" s="1" t="str">
        <f>IF('State of the System - Sumter Co'!L152="URBAN","U","R")</f>
        <v>R</v>
      </c>
      <c r="O152" s="1" t="str">
        <f>IF('State of the System - Sumter Co'!M152="UNDIVIDED","U",IF('State of the System - Sumter Co'!M152="DIVIDED","D","F"))</f>
        <v>U</v>
      </c>
      <c r="P152" s="1" t="str">
        <f>'State of the System - Sumter Co'!N152</f>
        <v>UNINTERRUPTED</v>
      </c>
      <c r="Q152" s="1" t="str">
        <f t="shared" si="234"/>
        <v>z</v>
      </c>
      <c r="R152" s="1" t="str">
        <f>'State of the System - Sumter Co'!O152</f>
        <v>UNDEVELOPED</v>
      </c>
      <c r="S152" s="1"/>
      <c r="T152" s="1" t="str">
        <f t="shared" si="236"/>
        <v>R-2Uz</v>
      </c>
      <c r="U152" s="1" t="str">
        <f t="shared" ref="U152:U183" si="279">CONCATENATE(N152,"-",L152,O152,S152,Q152)</f>
        <v>R-2Uz</v>
      </c>
      <c r="V152" s="1" t="s">
        <v>137</v>
      </c>
      <c r="W152" s="1" t="s">
        <v>11</v>
      </c>
      <c r="X152" s="1" t="s">
        <v>138</v>
      </c>
      <c r="Y152" s="1" t="str">
        <f>'State of the System - Sumter Co'!R152</f>
        <v>C</v>
      </c>
      <c r="Z152" s="157" t="str">
        <f t="shared" si="237"/>
        <v>NHS Non-Interstate</v>
      </c>
      <c r="AA152" s="15">
        <f>VLOOKUP($T152,'2020_CapacityTable'!$B$49:$F$71,2)</f>
        <v>4600</v>
      </c>
      <c r="AB152" s="15">
        <f>VLOOKUP($T152,'2020_CapacityTable'!$B$49:$F$71,3)</f>
        <v>8600</v>
      </c>
      <c r="AC152" s="15">
        <f>VLOOKUP($T152,'2020_CapacityTable'!$B$49:$F$71,4)</f>
        <v>14000</v>
      </c>
      <c r="AD152" s="15">
        <f>VLOOKUP($T152,'2020_CapacityTable'!$B$49:$F$71,5)</f>
        <v>28500</v>
      </c>
      <c r="AE152" s="35" t="str">
        <f t="shared" si="277"/>
        <v/>
      </c>
      <c r="AF152" s="36" t="str">
        <f t="shared" si="238"/>
        <v/>
      </c>
      <c r="AG152" s="35" t="str">
        <f t="shared" si="233"/>
        <v/>
      </c>
      <c r="AH152" s="35" t="str">
        <f t="shared" si="278"/>
        <v/>
      </c>
      <c r="AI152" s="35"/>
      <c r="AJ152" s="36"/>
      <c r="AK152" s="15">
        <f t="shared" si="239"/>
        <v>4600</v>
      </c>
      <c r="AL152" s="15">
        <f t="shared" si="240"/>
        <v>8600</v>
      </c>
      <c r="AM152" s="15">
        <f t="shared" si="241"/>
        <v>14000</v>
      </c>
      <c r="AN152" s="15">
        <f t="shared" si="242"/>
        <v>28500</v>
      </c>
      <c r="AO152" s="3">
        <f t="shared" si="226"/>
        <v>8600</v>
      </c>
      <c r="AP152" s="138">
        <f>VLOOKUP($B152,'2022 counts'!$B$6:$R$304,17,FALSE)</f>
        <v>6890</v>
      </c>
      <c r="AQ152" s="11">
        <f t="shared" si="243"/>
        <v>0.8</v>
      </c>
      <c r="AR152" s="2" t="str">
        <f t="shared" si="244"/>
        <v>C</v>
      </c>
      <c r="AS152" s="26">
        <f t="shared" si="245"/>
        <v>4.4400000000000004</v>
      </c>
      <c r="AT152" s="15">
        <f>VLOOKUP($T152,'2020_CapacityTable'!$B$23:$F$45,2)</f>
        <v>240</v>
      </c>
      <c r="AU152" s="15">
        <f>VLOOKUP($T152,'2020_CapacityTable'!$B$23:$F$45,3)</f>
        <v>450</v>
      </c>
      <c r="AV152" s="15">
        <f>VLOOKUP($T152,'2020_CapacityTable'!$B$23:$F$45,4)</f>
        <v>730</v>
      </c>
      <c r="AW152" s="15">
        <f>VLOOKUP($T152,'2020_CapacityTable'!$B$23:$F$45,5)</f>
        <v>1490</v>
      </c>
      <c r="AX152" s="15">
        <f t="shared" si="246"/>
        <v>240</v>
      </c>
      <c r="AY152" s="15">
        <f t="shared" si="247"/>
        <v>450</v>
      </c>
      <c r="AZ152" s="15">
        <f t="shared" si="248"/>
        <v>730</v>
      </c>
      <c r="BA152" s="15">
        <f t="shared" si="249"/>
        <v>1490</v>
      </c>
      <c r="BB152" s="3">
        <f t="shared" si="227"/>
        <v>450</v>
      </c>
      <c r="BC152" s="138">
        <f>VLOOKUP($B152,'2022 counts'!$B$6:$AD$304,28,FALSE)</f>
        <v>347</v>
      </c>
      <c r="BD152" s="138">
        <f>VLOOKUP($B152,'2022 counts'!$B$6:$AD$304,29,FALSE)</f>
        <v>308</v>
      </c>
      <c r="BE152" s="11">
        <f t="shared" si="250"/>
        <v>0.77</v>
      </c>
      <c r="BF152" s="2" t="str">
        <f t="shared" si="251"/>
        <v>C</v>
      </c>
      <c r="BG152" s="135">
        <v>7.4999999999999997E-3</v>
      </c>
      <c r="BH152" s="135">
        <f>IF($AQ152="","",VLOOKUP($B152, '2022 counts'!$B$6:$T$304,19,FALSE))</f>
        <v>7.4999999999999997E-3</v>
      </c>
      <c r="BI152" s="38">
        <f t="shared" si="252"/>
        <v>0.01</v>
      </c>
      <c r="BJ152" s="39" t="str">
        <f t="shared" si="253"/>
        <v>minimum</v>
      </c>
      <c r="BK152" s="15">
        <f>VLOOKUP($U152,'2020_CapacityTable'!$B$49:$F$71,2)</f>
        <v>4600</v>
      </c>
      <c r="BL152" s="15">
        <f>VLOOKUP($U152,'2020_CapacityTable'!$B$49:$F$71,3)</f>
        <v>8600</v>
      </c>
      <c r="BM152" s="15">
        <f>VLOOKUP($T152,'2020_CapacityTable'!$B$49:$F$71,4)</f>
        <v>14000</v>
      </c>
      <c r="BN152" s="15">
        <f>VLOOKUP($T152,'2020_CapacityTable'!$B$49:$F$71,5)</f>
        <v>28500</v>
      </c>
      <c r="BO152" s="15">
        <f t="shared" si="254"/>
        <v>4600</v>
      </c>
      <c r="BP152" s="15">
        <f t="shared" si="255"/>
        <v>8600</v>
      </c>
      <c r="BQ152" s="15">
        <f t="shared" si="256"/>
        <v>14000</v>
      </c>
      <c r="BR152" s="15">
        <f t="shared" si="257"/>
        <v>28500</v>
      </c>
      <c r="BS152" s="3">
        <f t="shared" si="228"/>
        <v>8600</v>
      </c>
      <c r="BT152" s="40">
        <f>'State of the System - Sumter Co'!AD152</f>
        <v>7241</v>
      </c>
      <c r="BU152" s="41">
        <f t="shared" si="258"/>
        <v>0.84</v>
      </c>
      <c r="BV152" s="2" t="str">
        <f t="shared" si="259"/>
        <v>C</v>
      </c>
      <c r="BW152" s="2">
        <f t="shared" si="260"/>
        <v>4.67</v>
      </c>
      <c r="BX152" s="15">
        <f>VLOOKUP($U152,'2020_CapacityTable'!$B$23:$F$45,2)</f>
        <v>240</v>
      </c>
      <c r="BY152" s="15">
        <f>VLOOKUP($U152,'2020_CapacityTable'!$B$23:$F$45,3)</f>
        <v>450</v>
      </c>
      <c r="BZ152" s="15">
        <f>VLOOKUP($U152,'2020_CapacityTable'!$B$23:$F$45,4)</f>
        <v>730</v>
      </c>
      <c r="CA152" s="15">
        <f>VLOOKUP($U152,'2020_CapacityTable'!$B$23:$F$45,5)</f>
        <v>1490</v>
      </c>
      <c r="CB152" s="15">
        <f t="shared" si="261"/>
        <v>240</v>
      </c>
      <c r="CC152" s="15">
        <f t="shared" si="262"/>
        <v>450</v>
      </c>
      <c r="CD152" s="15">
        <f t="shared" si="263"/>
        <v>730</v>
      </c>
      <c r="CE152" s="15">
        <f t="shared" si="264"/>
        <v>1490</v>
      </c>
      <c r="CF152" s="3">
        <f t="shared" si="229"/>
        <v>450</v>
      </c>
      <c r="CG152" s="2">
        <f>'State of the System - Sumter Co'!AH152</f>
        <v>365</v>
      </c>
      <c r="CH152" s="2">
        <f>'State of the System - Sumter Co'!AI152</f>
        <v>324</v>
      </c>
      <c r="CI152" s="11">
        <f t="shared" si="265"/>
        <v>0.81</v>
      </c>
      <c r="CJ152" s="2" t="str">
        <f t="shared" ref="CJ152:CJ162" si="280">IF(OR(CI152="",CI152="-",CI152=0),"",IF(MAX(CG152,CH152)&lt;=$AX152,"B",IF(MAX(CG152,CH152)&lt;=$AY152,"C",IF(MAX(CG152,CH152)&lt;=$AZ152,"D",IF(MAX(CG152,CH152)&lt;=$BA152,"E","F")))))</f>
        <v>C</v>
      </c>
      <c r="CK152" s="3">
        <f t="shared" si="266"/>
        <v>30780</v>
      </c>
      <c r="CL152" s="11">
        <f t="shared" si="267"/>
        <v>0.24</v>
      </c>
      <c r="CM152" s="11" t="str">
        <f t="shared" si="268"/>
        <v>NOT CONGESTED</v>
      </c>
      <c r="CN152" s="3">
        <f t="shared" si="269"/>
        <v>1609</v>
      </c>
      <c r="CO152" s="11">
        <f t="shared" si="270"/>
        <v>0.23</v>
      </c>
      <c r="CP152" s="156" t="str">
        <f t="shared" si="231"/>
        <v>NOT CONGESTED</v>
      </c>
      <c r="CQ152" s="2" t="s">
        <v>557</v>
      </c>
      <c r="CR152" s="44">
        <v>0</v>
      </c>
      <c r="CS152" s="11" t="str">
        <f t="shared" si="271"/>
        <v/>
      </c>
      <c r="CT152" s="11" t="str">
        <f t="shared" si="232"/>
        <v/>
      </c>
      <c r="CU152" s="11" t="str">
        <f t="shared" si="272"/>
        <v/>
      </c>
      <c r="CV152" s="11" t="str">
        <f t="shared" si="273"/>
        <v/>
      </c>
      <c r="CW152" s="2"/>
      <c r="CX152" s="1" t="s">
        <v>585</v>
      </c>
      <c r="CY152" s="145" t="str">
        <f t="shared" si="274"/>
        <v/>
      </c>
      <c r="CZ152" s="32" t="str">
        <f t="shared" si="275"/>
        <v/>
      </c>
    </row>
    <row r="153" spans="1:104" ht="12.75" customHeight="1">
      <c r="A153" s="1">
        <v>3560110</v>
      </c>
      <c r="B153" s="1">
        <f t="shared" si="276"/>
        <v>180118</v>
      </c>
      <c r="C153" s="1">
        <v>180118</v>
      </c>
      <c r="D153" s="1">
        <f>VLOOKUP(C153,'2022 counts'!$A$6:$B$304,2,FALSE)</f>
        <v>180118</v>
      </c>
      <c r="E153" s="1">
        <v>180118</v>
      </c>
      <c r="F153" s="2" t="s">
        <v>136</v>
      </c>
      <c r="G153" s="156">
        <v>55</v>
      </c>
      <c r="H153" s="11">
        <v>6.0763857988699996</v>
      </c>
      <c r="I153" s="10" t="s">
        <v>62</v>
      </c>
      <c r="J153" s="10" t="s">
        <v>81</v>
      </c>
      <c r="K153" s="10" t="s">
        <v>715</v>
      </c>
      <c r="L153" s="157">
        <v>2</v>
      </c>
      <c r="M153" s="1">
        <f>'State of the System - Sumter Co'!K153</f>
        <v>2</v>
      </c>
      <c r="N153" s="1" t="str">
        <f>IF('State of the System - Sumter Co'!L153="URBAN","U","R")</f>
        <v>R</v>
      </c>
      <c r="O153" s="1" t="str">
        <f>IF('State of the System - Sumter Co'!M153="UNDIVIDED","U",IF('State of the System - Sumter Co'!M153="DIVIDED","D","F"))</f>
        <v>U</v>
      </c>
      <c r="P153" s="1" t="str">
        <f>'State of the System - Sumter Co'!N153</f>
        <v>UNINTERRUPTED</v>
      </c>
      <c r="Q153" s="1" t="str">
        <f t="shared" si="234"/>
        <v>z</v>
      </c>
      <c r="R153" s="1" t="str">
        <f>'State of the System - Sumter Co'!O153</f>
        <v>UNDEVELOPED</v>
      </c>
      <c r="S153" s="1"/>
      <c r="T153" s="1" t="str">
        <f t="shared" si="236"/>
        <v>R-2Uz</v>
      </c>
      <c r="U153" s="1" t="str">
        <f t="shared" si="279"/>
        <v>R-2Uz</v>
      </c>
      <c r="V153" s="1" t="s">
        <v>137</v>
      </c>
      <c r="W153" s="1" t="s">
        <v>11</v>
      </c>
      <c r="X153" s="1" t="s">
        <v>138</v>
      </c>
      <c r="Y153" s="1" t="str">
        <f>'State of the System - Sumter Co'!R153</f>
        <v>C</v>
      </c>
      <c r="Z153" s="157" t="str">
        <f t="shared" si="237"/>
        <v>NHS Non-Interstate</v>
      </c>
      <c r="AA153" s="15">
        <f>VLOOKUP($T153,'2020_CapacityTable'!$B$49:$F$71,2)</f>
        <v>4600</v>
      </c>
      <c r="AB153" s="15">
        <f>VLOOKUP($T153,'2020_CapacityTable'!$B$49:$F$71,3)</f>
        <v>8600</v>
      </c>
      <c r="AC153" s="15">
        <f>VLOOKUP($T153,'2020_CapacityTable'!$B$49:$F$71,4)</f>
        <v>14000</v>
      </c>
      <c r="AD153" s="15">
        <f>VLOOKUP($T153,'2020_CapacityTable'!$B$49:$F$71,5)</f>
        <v>28500</v>
      </c>
      <c r="AE153" s="35" t="str">
        <f t="shared" si="277"/>
        <v/>
      </c>
      <c r="AF153" s="36" t="str">
        <f t="shared" si="238"/>
        <v/>
      </c>
      <c r="AG153" s="35" t="str">
        <f t="shared" si="233"/>
        <v/>
      </c>
      <c r="AH153" s="35" t="str">
        <f t="shared" si="278"/>
        <v/>
      </c>
      <c r="AI153" s="35"/>
      <c r="AJ153" s="36"/>
      <c r="AK153" s="15">
        <f t="shared" si="239"/>
        <v>4600</v>
      </c>
      <c r="AL153" s="15">
        <f t="shared" si="240"/>
        <v>8600</v>
      </c>
      <c r="AM153" s="15">
        <f t="shared" si="241"/>
        <v>14000</v>
      </c>
      <c r="AN153" s="15">
        <f t="shared" si="242"/>
        <v>28500</v>
      </c>
      <c r="AO153" s="3">
        <f t="shared" si="226"/>
        <v>8600</v>
      </c>
      <c r="AP153" s="138">
        <f>VLOOKUP($B153,'2022 counts'!$B$6:$R$304,17,FALSE)</f>
        <v>7990</v>
      </c>
      <c r="AQ153" s="11">
        <f t="shared" si="243"/>
        <v>0.93</v>
      </c>
      <c r="AR153" s="2" t="str">
        <f t="shared" si="244"/>
        <v>C</v>
      </c>
      <c r="AS153" s="26">
        <f t="shared" si="245"/>
        <v>17.72</v>
      </c>
      <c r="AT153" s="15">
        <f>VLOOKUP($T153,'2020_CapacityTable'!$B$23:$F$45,2)</f>
        <v>240</v>
      </c>
      <c r="AU153" s="15">
        <f>VLOOKUP($T153,'2020_CapacityTable'!$B$23:$F$45,3)</f>
        <v>450</v>
      </c>
      <c r="AV153" s="15">
        <f>VLOOKUP($T153,'2020_CapacityTable'!$B$23:$F$45,4)</f>
        <v>730</v>
      </c>
      <c r="AW153" s="15">
        <f>VLOOKUP($T153,'2020_CapacityTable'!$B$23:$F$45,5)</f>
        <v>1490</v>
      </c>
      <c r="AX153" s="15">
        <f t="shared" si="246"/>
        <v>240</v>
      </c>
      <c r="AY153" s="15">
        <f t="shared" si="247"/>
        <v>450</v>
      </c>
      <c r="AZ153" s="15">
        <f t="shared" si="248"/>
        <v>730</v>
      </c>
      <c r="BA153" s="15">
        <f t="shared" si="249"/>
        <v>1490</v>
      </c>
      <c r="BB153" s="3">
        <f t="shared" si="227"/>
        <v>450</v>
      </c>
      <c r="BC153" s="138">
        <f>VLOOKUP($B153,'2022 counts'!$B$6:$AD$304,28,FALSE)</f>
        <v>287</v>
      </c>
      <c r="BD153" s="138">
        <f>VLOOKUP($B153,'2022 counts'!$B$6:$AD$304,29,FALSE)</f>
        <v>369</v>
      </c>
      <c r="BE153" s="11">
        <f t="shared" si="250"/>
        <v>0.82</v>
      </c>
      <c r="BF153" s="2" t="str">
        <f t="shared" si="251"/>
        <v>C</v>
      </c>
      <c r="BG153" s="135">
        <v>2.5000000000000001E-3</v>
      </c>
      <c r="BH153" s="135">
        <f>IF($AQ153="","",VLOOKUP($B153, '2022 counts'!$B$6:$T$304,19,FALSE))</f>
        <v>2.5000000000000001E-3</v>
      </c>
      <c r="BI153" s="38">
        <f t="shared" si="252"/>
        <v>0.01</v>
      </c>
      <c r="BJ153" s="39" t="str">
        <f t="shared" si="253"/>
        <v>minimum</v>
      </c>
      <c r="BK153" s="15">
        <f>VLOOKUP($U153,'2020_CapacityTable'!$B$49:$F$71,2)</f>
        <v>4600</v>
      </c>
      <c r="BL153" s="15">
        <f>VLOOKUP($U153,'2020_CapacityTable'!$B$49:$F$71,3)</f>
        <v>8600</v>
      </c>
      <c r="BM153" s="15">
        <f>VLOOKUP($T153,'2020_CapacityTable'!$B$49:$F$71,4)</f>
        <v>14000</v>
      </c>
      <c r="BN153" s="15">
        <f>VLOOKUP($T153,'2020_CapacityTable'!$B$49:$F$71,5)</f>
        <v>28500</v>
      </c>
      <c r="BO153" s="15">
        <f t="shared" si="254"/>
        <v>4600</v>
      </c>
      <c r="BP153" s="15">
        <f t="shared" si="255"/>
        <v>8600</v>
      </c>
      <c r="BQ153" s="15">
        <f t="shared" si="256"/>
        <v>14000</v>
      </c>
      <c r="BR153" s="15">
        <f t="shared" si="257"/>
        <v>28500</v>
      </c>
      <c r="BS153" s="3">
        <f t="shared" si="228"/>
        <v>8600</v>
      </c>
      <c r="BT153" s="40">
        <f>'State of the System - Sumter Co'!AD153</f>
        <v>8398</v>
      </c>
      <c r="BU153" s="41">
        <f t="shared" si="258"/>
        <v>0.98</v>
      </c>
      <c r="BV153" s="2" t="str">
        <f t="shared" si="259"/>
        <v>C</v>
      </c>
      <c r="BW153" s="2">
        <f t="shared" si="260"/>
        <v>18.63</v>
      </c>
      <c r="BX153" s="15">
        <f>VLOOKUP($U153,'2020_CapacityTable'!$B$23:$F$45,2)</f>
        <v>240</v>
      </c>
      <c r="BY153" s="15">
        <f>VLOOKUP($U153,'2020_CapacityTable'!$B$23:$F$45,3)</f>
        <v>450</v>
      </c>
      <c r="BZ153" s="15">
        <f>VLOOKUP($U153,'2020_CapacityTable'!$B$23:$F$45,4)</f>
        <v>730</v>
      </c>
      <c r="CA153" s="15">
        <f>VLOOKUP($U153,'2020_CapacityTable'!$B$23:$F$45,5)</f>
        <v>1490</v>
      </c>
      <c r="CB153" s="15">
        <f t="shared" si="261"/>
        <v>240</v>
      </c>
      <c r="CC153" s="15">
        <f t="shared" si="262"/>
        <v>450</v>
      </c>
      <c r="CD153" s="15">
        <f t="shared" si="263"/>
        <v>730</v>
      </c>
      <c r="CE153" s="15">
        <f t="shared" si="264"/>
        <v>1490</v>
      </c>
      <c r="CF153" s="3">
        <f t="shared" si="229"/>
        <v>450</v>
      </c>
      <c r="CG153" s="2">
        <f>'State of the System - Sumter Co'!AH153</f>
        <v>302</v>
      </c>
      <c r="CH153" s="2">
        <f>'State of the System - Sumter Co'!AI153</f>
        <v>388</v>
      </c>
      <c r="CI153" s="11">
        <f t="shared" si="265"/>
        <v>0.86</v>
      </c>
      <c r="CJ153" s="2" t="str">
        <f t="shared" si="280"/>
        <v>C</v>
      </c>
      <c r="CK153" s="3">
        <f t="shared" si="266"/>
        <v>30780</v>
      </c>
      <c r="CL153" s="11">
        <f t="shared" si="267"/>
        <v>0.27</v>
      </c>
      <c r="CM153" s="11" t="str">
        <f t="shared" si="268"/>
        <v>APPROACHING CONGESTION</v>
      </c>
      <c r="CN153" s="3">
        <f t="shared" si="269"/>
        <v>1609</v>
      </c>
      <c r="CO153" s="11">
        <f t="shared" si="270"/>
        <v>0.24</v>
      </c>
      <c r="CP153" s="156" t="str">
        <f t="shared" si="231"/>
        <v>NOT CONGESTED</v>
      </c>
      <c r="CQ153" s="2" t="s">
        <v>557</v>
      </c>
      <c r="CR153" s="44">
        <v>0</v>
      </c>
      <c r="CS153" s="11" t="str">
        <f t="shared" si="271"/>
        <v/>
      </c>
      <c r="CT153" s="11" t="str">
        <f t="shared" si="232"/>
        <v/>
      </c>
      <c r="CU153" s="11" t="str">
        <f t="shared" si="272"/>
        <v/>
      </c>
      <c r="CV153" s="11" t="str">
        <f t="shared" si="273"/>
        <v/>
      </c>
      <c r="CW153" s="2"/>
      <c r="CX153" s="1" t="s">
        <v>585</v>
      </c>
      <c r="CY153" s="145" t="str">
        <f t="shared" si="274"/>
        <v/>
      </c>
      <c r="CZ153" s="32" t="str">
        <f t="shared" si="275"/>
        <v/>
      </c>
    </row>
    <row r="154" spans="1:104" ht="12.75" customHeight="1">
      <c r="A154" s="1">
        <v>3560120</v>
      </c>
      <c r="B154" s="1">
        <f t="shared" si="276"/>
        <v>180017</v>
      </c>
      <c r="C154" s="1">
        <v>180017</v>
      </c>
      <c r="D154" s="1">
        <f>VLOOKUP(C154,'2022 counts'!$A$6:$B$304,2,FALSE)</f>
        <v>180017</v>
      </c>
      <c r="E154" s="1">
        <v>180017</v>
      </c>
      <c r="F154" s="2" t="s">
        <v>136</v>
      </c>
      <c r="G154" s="156">
        <v>55</v>
      </c>
      <c r="H154" s="11">
        <v>0.35356798072399998</v>
      </c>
      <c r="I154" s="10" t="s">
        <v>62</v>
      </c>
      <c r="J154" s="10" t="s">
        <v>715</v>
      </c>
      <c r="K154" s="10" t="s">
        <v>56</v>
      </c>
      <c r="L154" s="157">
        <v>2</v>
      </c>
      <c r="M154" s="1">
        <f>'State of the System - Sumter Co'!K154</f>
        <v>2</v>
      </c>
      <c r="N154" s="1" t="str">
        <f>IF('State of the System - Sumter Co'!L154="URBAN","U","R")</f>
        <v>R</v>
      </c>
      <c r="O154" s="1" t="str">
        <f>IF('State of the System - Sumter Co'!M154="UNDIVIDED","U",IF('State of the System - Sumter Co'!M154="DIVIDED","D","F"))</f>
        <v>U</v>
      </c>
      <c r="P154" s="1" t="str">
        <f>'State of the System - Sumter Co'!N154</f>
        <v>UNINTERRUPTED</v>
      </c>
      <c r="Q154" s="1" t="str">
        <f t="shared" si="234"/>
        <v>z</v>
      </c>
      <c r="R154" s="1" t="str">
        <f>'State of the System - Sumter Co'!O154</f>
        <v>UNDEVELOPED</v>
      </c>
      <c r="S154" s="1"/>
      <c r="T154" s="1" t="str">
        <f t="shared" si="236"/>
        <v>R-2Uz</v>
      </c>
      <c r="U154" s="1" t="str">
        <f t="shared" si="279"/>
        <v>R-2Uz</v>
      </c>
      <c r="V154" s="1" t="s">
        <v>137</v>
      </c>
      <c r="W154" s="1" t="s">
        <v>11</v>
      </c>
      <c r="X154" s="1" t="s">
        <v>138</v>
      </c>
      <c r="Y154" s="1" t="str">
        <f>'State of the System - Sumter Co'!R154</f>
        <v>C</v>
      </c>
      <c r="Z154" s="157" t="str">
        <f t="shared" si="237"/>
        <v>NHS Non-Interstate</v>
      </c>
      <c r="AA154" s="15">
        <f>VLOOKUP($T154,'2020_CapacityTable'!$B$49:$F$71,2)</f>
        <v>4600</v>
      </c>
      <c r="AB154" s="15">
        <f>VLOOKUP($T154,'2020_CapacityTable'!$B$49:$F$71,3)</f>
        <v>8600</v>
      </c>
      <c r="AC154" s="15">
        <f>VLOOKUP($T154,'2020_CapacityTable'!$B$49:$F$71,4)</f>
        <v>14000</v>
      </c>
      <c r="AD154" s="15">
        <f>VLOOKUP($T154,'2020_CapacityTable'!$B$49:$F$71,5)</f>
        <v>28500</v>
      </c>
      <c r="AE154" s="35" t="str">
        <f t="shared" si="277"/>
        <v/>
      </c>
      <c r="AF154" s="36" t="str">
        <f t="shared" si="238"/>
        <v/>
      </c>
      <c r="AG154" s="35" t="str">
        <f t="shared" si="233"/>
        <v/>
      </c>
      <c r="AH154" s="35" t="str">
        <f t="shared" si="278"/>
        <v/>
      </c>
      <c r="AI154" s="35"/>
      <c r="AJ154" s="36"/>
      <c r="AK154" s="15">
        <f t="shared" si="239"/>
        <v>4600</v>
      </c>
      <c r="AL154" s="15">
        <f t="shared" si="240"/>
        <v>8600</v>
      </c>
      <c r="AM154" s="15">
        <f t="shared" si="241"/>
        <v>14000</v>
      </c>
      <c r="AN154" s="15">
        <f t="shared" si="242"/>
        <v>28500</v>
      </c>
      <c r="AO154" s="3">
        <f t="shared" si="226"/>
        <v>8600</v>
      </c>
      <c r="AP154" s="138">
        <f>VLOOKUP($B154,'2022 counts'!$B$6:$R$304,17,FALSE)</f>
        <v>10357.142857142899</v>
      </c>
      <c r="AQ154" s="11">
        <f t="shared" si="243"/>
        <v>1.2</v>
      </c>
      <c r="AR154" s="2" t="str">
        <f t="shared" si="244"/>
        <v>D</v>
      </c>
      <c r="AS154" s="26">
        <f t="shared" si="245"/>
        <v>1.34</v>
      </c>
      <c r="AT154" s="15">
        <f>VLOOKUP($T154,'2020_CapacityTable'!$B$23:$F$45,2)</f>
        <v>240</v>
      </c>
      <c r="AU154" s="15">
        <f>VLOOKUP($T154,'2020_CapacityTable'!$B$23:$F$45,3)</f>
        <v>450</v>
      </c>
      <c r="AV154" s="15">
        <f>VLOOKUP($T154,'2020_CapacityTable'!$B$23:$F$45,4)</f>
        <v>730</v>
      </c>
      <c r="AW154" s="15">
        <f>VLOOKUP($T154,'2020_CapacityTable'!$B$23:$F$45,5)</f>
        <v>1490</v>
      </c>
      <c r="AX154" s="15">
        <f t="shared" si="246"/>
        <v>240</v>
      </c>
      <c r="AY154" s="15">
        <f t="shared" si="247"/>
        <v>450</v>
      </c>
      <c r="AZ154" s="15">
        <f t="shared" si="248"/>
        <v>730</v>
      </c>
      <c r="BA154" s="15">
        <f t="shared" si="249"/>
        <v>1490</v>
      </c>
      <c r="BB154" s="3">
        <f t="shared" si="227"/>
        <v>450</v>
      </c>
      <c r="BC154" s="138">
        <f>VLOOKUP($B154,'2022 counts'!$B$6:$AD$304,28,FALSE)</f>
        <v>521</v>
      </c>
      <c r="BD154" s="138">
        <f>VLOOKUP($B154,'2022 counts'!$B$6:$AD$304,29,FALSE)</f>
        <v>462</v>
      </c>
      <c r="BE154" s="11">
        <f t="shared" si="250"/>
        <v>1.1599999999999999</v>
      </c>
      <c r="BF154" s="2" t="str">
        <f t="shared" si="251"/>
        <v>D</v>
      </c>
      <c r="BG154" s="135">
        <v>0.03</v>
      </c>
      <c r="BH154" s="135">
        <f>IF($AQ154="","",VLOOKUP($B154, '2022 counts'!$B$6:$T$304,19,FALSE))</f>
        <v>0</v>
      </c>
      <c r="BI154" s="38">
        <f t="shared" si="252"/>
        <v>0.01</v>
      </c>
      <c r="BJ154" s="39" t="str">
        <f t="shared" si="253"/>
        <v>minimum, (1)</v>
      </c>
      <c r="BK154" s="15">
        <f>VLOOKUP($U154,'2020_CapacityTable'!$B$49:$F$71,2)</f>
        <v>4600</v>
      </c>
      <c r="BL154" s="15">
        <f>VLOOKUP($U154,'2020_CapacityTable'!$B$49:$F$71,3)</f>
        <v>8600</v>
      </c>
      <c r="BM154" s="15">
        <f>VLOOKUP($T154,'2020_CapacityTable'!$B$49:$F$71,4)</f>
        <v>14000</v>
      </c>
      <c r="BN154" s="15">
        <f>VLOOKUP($T154,'2020_CapacityTable'!$B$49:$F$71,5)</f>
        <v>28500</v>
      </c>
      <c r="BO154" s="15">
        <f t="shared" si="254"/>
        <v>4600</v>
      </c>
      <c r="BP154" s="15">
        <f t="shared" si="255"/>
        <v>8600</v>
      </c>
      <c r="BQ154" s="15">
        <f t="shared" si="256"/>
        <v>14000</v>
      </c>
      <c r="BR154" s="15">
        <f t="shared" si="257"/>
        <v>28500</v>
      </c>
      <c r="BS154" s="3">
        <f t="shared" si="228"/>
        <v>8600</v>
      </c>
      <c r="BT154" s="40">
        <f>'State of the System - Sumter Co'!AD154</f>
        <v>10885</v>
      </c>
      <c r="BU154" s="41">
        <f t="shared" si="258"/>
        <v>1.27</v>
      </c>
      <c r="BV154" s="2" t="str">
        <f t="shared" si="259"/>
        <v>D</v>
      </c>
      <c r="BW154" s="2">
        <f t="shared" si="260"/>
        <v>1.4</v>
      </c>
      <c r="BX154" s="15">
        <f>VLOOKUP($U154,'2020_CapacityTable'!$B$23:$F$45,2)</f>
        <v>240</v>
      </c>
      <c r="BY154" s="15">
        <f>VLOOKUP($U154,'2020_CapacityTable'!$B$23:$F$45,3)</f>
        <v>450</v>
      </c>
      <c r="BZ154" s="15">
        <f>VLOOKUP($U154,'2020_CapacityTable'!$B$23:$F$45,4)</f>
        <v>730</v>
      </c>
      <c r="CA154" s="15">
        <f>VLOOKUP($U154,'2020_CapacityTable'!$B$23:$F$45,5)</f>
        <v>1490</v>
      </c>
      <c r="CB154" s="15">
        <f t="shared" si="261"/>
        <v>240</v>
      </c>
      <c r="CC154" s="15">
        <f t="shared" si="262"/>
        <v>450</v>
      </c>
      <c r="CD154" s="15">
        <f t="shared" si="263"/>
        <v>730</v>
      </c>
      <c r="CE154" s="15">
        <f t="shared" si="264"/>
        <v>1490</v>
      </c>
      <c r="CF154" s="3">
        <f t="shared" si="229"/>
        <v>450</v>
      </c>
      <c r="CG154" s="2">
        <f>'State of the System - Sumter Co'!AH154</f>
        <v>548</v>
      </c>
      <c r="CH154" s="2">
        <f>'State of the System - Sumter Co'!AI154</f>
        <v>486</v>
      </c>
      <c r="CI154" s="11">
        <f t="shared" si="265"/>
        <v>1.22</v>
      </c>
      <c r="CJ154" s="2" t="str">
        <f t="shared" si="280"/>
        <v>D</v>
      </c>
      <c r="CK154" s="3">
        <f t="shared" si="266"/>
        <v>30780</v>
      </c>
      <c r="CL154" s="11">
        <f t="shared" si="267"/>
        <v>0.35</v>
      </c>
      <c r="CM154" s="11" t="str">
        <f t="shared" si="268"/>
        <v>CONGESTED (2020)</v>
      </c>
      <c r="CN154" s="3">
        <f t="shared" si="269"/>
        <v>1609</v>
      </c>
      <c r="CO154" s="11">
        <f t="shared" si="270"/>
        <v>0.34</v>
      </c>
      <c r="CP154" s="260" t="str">
        <f t="shared" si="231"/>
        <v>CONGESTED (2020)</v>
      </c>
      <c r="CQ154" s="2" t="s">
        <v>557</v>
      </c>
      <c r="CR154" s="44">
        <v>0</v>
      </c>
      <c r="CS154" s="11">
        <f t="shared" si="271"/>
        <v>0.35</v>
      </c>
      <c r="CT154" s="11">
        <f t="shared" si="232"/>
        <v>0.35</v>
      </c>
      <c r="CU154" s="11" t="str">
        <f t="shared" si="272"/>
        <v/>
      </c>
      <c r="CV154" s="11" t="str">
        <f t="shared" si="273"/>
        <v/>
      </c>
      <c r="CW154" s="2"/>
      <c r="CX154" s="1" t="s">
        <v>585</v>
      </c>
      <c r="CY154" s="145">
        <f t="shared" si="274"/>
        <v>1.34</v>
      </c>
      <c r="CZ154" s="32">
        <f t="shared" si="275"/>
        <v>1.4</v>
      </c>
    </row>
    <row r="155" spans="1:104" ht="12.75" customHeight="1">
      <c r="A155" s="1">
        <v>4000100</v>
      </c>
      <c r="B155" s="1">
        <f t="shared" si="276"/>
        <v>92</v>
      </c>
      <c r="C155" s="1">
        <v>466</v>
      </c>
      <c r="D155" s="1">
        <f>VLOOKUP(C155,'2022 counts'!$A$6:$B$304,2,FALSE)</f>
        <v>92</v>
      </c>
      <c r="E155" s="1"/>
      <c r="F155" s="2" t="s">
        <v>6</v>
      </c>
      <c r="G155" s="156">
        <v>35</v>
      </c>
      <c r="H155" s="11">
        <v>1.4590381314300001</v>
      </c>
      <c r="I155" s="10" t="s">
        <v>107</v>
      </c>
      <c r="J155" s="10" t="s">
        <v>40</v>
      </c>
      <c r="K155" s="10" t="s">
        <v>54</v>
      </c>
      <c r="L155" s="157">
        <v>2</v>
      </c>
      <c r="M155" s="1">
        <f>'State of the System - Sumter Co'!K155</f>
        <v>2</v>
      </c>
      <c r="N155" s="1" t="str">
        <f>IF('State of the System - Sumter Co'!L155="URBAN","U","R")</f>
        <v>U</v>
      </c>
      <c r="O155" s="1" t="str">
        <f>IF('State of the System - Sumter Co'!M155="UNDIVIDED","U",IF('State of the System - Sumter Co'!M155="DIVIDED","D","F"))</f>
        <v>U</v>
      </c>
      <c r="P155" s="1" t="str">
        <f>'State of the System - Sumter Co'!N155</f>
        <v>UNINTERRUPTED</v>
      </c>
      <c r="Q155" s="1" t="str">
        <f t="shared" si="234"/>
        <v/>
      </c>
      <c r="R155" s="1" t="str">
        <f>'State of the System - Sumter Co'!O155</f>
        <v/>
      </c>
      <c r="S155" s="1" t="str">
        <f t="shared" ref="S155:S186" si="281">IF($N155="r","",IF($P155="interrupted",IF($G155&lt;37.5,"-2","-1"),"-x"))</f>
        <v>-x</v>
      </c>
      <c r="T155" s="1" t="str">
        <f t="shared" si="236"/>
        <v>U-2U-x</v>
      </c>
      <c r="U155" s="1" t="str">
        <f t="shared" si="279"/>
        <v>U-2U-x</v>
      </c>
      <c r="V155" s="1" t="s">
        <v>10</v>
      </c>
      <c r="W155" s="1" t="s">
        <v>11</v>
      </c>
      <c r="X155" s="1" t="s">
        <v>21</v>
      </c>
      <c r="Y155" s="1" t="str">
        <f>'State of the System - Sumter Co'!R155</f>
        <v>D</v>
      </c>
      <c r="Z155" s="157" t="str">
        <f t="shared" si="237"/>
        <v>Other CMP Network Roadways</v>
      </c>
      <c r="AA155" s="15">
        <f>VLOOKUP($T155,'2020_CapacityTable'!$B$49:$F$71,2)</f>
        <v>11700</v>
      </c>
      <c r="AB155" s="15">
        <f>VLOOKUP($T155,'2020_CapacityTable'!$B$49:$F$71,3)</f>
        <v>18000</v>
      </c>
      <c r="AC155" s="15">
        <f>VLOOKUP($T155,'2020_CapacityTable'!$B$49:$F$71,4)</f>
        <v>24200</v>
      </c>
      <c r="AD155" s="15">
        <f>VLOOKUP($T155,'2020_CapacityTable'!$B$49:$F$71,5)</f>
        <v>32600</v>
      </c>
      <c r="AE155" s="35"/>
      <c r="AF155" s="36" t="str">
        <f t="shared" si="238"/>
        <v/>
      </c>
      <c r="AG155" s="35" t="str">
        <f t="shared" si="233"/>
        <v/>
      </c>
      <c r="AH155" s="35" t="str">
        <f t="shared" si="278"/>
        <v/>
      </c>
      <c r="AI155" s="35"/>
      <c r="AJ155" s="36"/>
      <c r="AK155" s="15">
        <f t="shared" si="239"/>
        <v>11700</v>
      </c>
      <c r="AL155" s="15">
        <f t="shared" si="240"/>
        <v>18000</v>
      </c>
      <c r="AM155" s="15">
        <f t="shared" si="241"/>
        <v>24200</v>
      </c>
      <c r="AN155" s="15">
        <f t="shared" si="242"/>
        <v>32600</v>
      </c>
      <c r="AO155" s="3">
        <f t="shared" si="226"/>
        <v>24200</v>
      </c>
      <c r="AP155" s="138">
        <f>VLOOKUP($B155,'2022 counts'!$B$6:$R$304,17,FALSE)</f>
        <v>1256</v>
      </c>
      <c r="AQ155" s="11">
        <f t="shared" si="243"/>
        <v>0.05</v>
      </c>
      <c r="AR155" s="2" t="str">
        <f t="shared" si="244"/>
        <v>B</v>
      </c>
      <c r="AS155" s="26">
        <f t="shared" si="245"/>
        <v>0.67</v>
      </c>
      <c r="AT155" s="15">
        <f>VLOOKUP($T155,'2020_CapacityTable'!$B$23:$F$45,2)</f>
        <v>580</v>
      </c>
      <c r="AU155" s="15">
        <f>VLOOKUP($T155,'2020_CapacityTable'!$B$23:$F$45,3)</f>
        <v>890</v>
      </c>
      <c r="AV155" s="15">
        <f>VLOOKUP($T155,'2020_CapacityTable'!$B$23:$F$45,4)</f>
        <v>1200</v>
      </c>
      <c r="AW155" s="15">
        <f>VLOOKUP($T155,'2020_CapacityTable'!$B$23:$F$45,5)</f>
        <v>1610</v>
      </c>
      <c r="AX155" s="15">
        <f t="shared" si="246"/>
        <v>580</v>
      </c>
      <c r="AY155" s="15">
        <f t="shared" si="247"/>
        <v>890</v>
      </c>
      <c r="AZ155" s="15">
        <f t="shared" si="248"/>
        <v>1200</v>
      </c>
      <c r="BA155" s="15">
        <f t="shared" si="249"/>
        <v>1610</v>
      </c>
      <c r="BB155" s="3">
        <f t="shared" si="227"/>
        <v>1200</v>
      </c>
      <c r="BC155" s="138">
        <f>VLOOKUP($B155,'2022 counts'!$B$6:$AD$304,28,FALSE)</f>
        <v>33</v>
      </c>
      <c r="BD155" s="138">
        <f>VLOOKUP($B155,'2022 counts'!$B$6:$AD$304,29,FALSE)</f>
        <v>89</v>
      </c>
      <c r="BE155" s="11">
        <f t="shared" si="250"/>
        <v>7.0000000000000007E-2</v>
      </c>
      <c r="BF155" s="2" t="str">
        <f t="shared" si="251"/>
        <v>B</v>
      </c>
      <c r="BG155" s="135">
        <v>0.05</v>
      </c>
      <c r="BH155" s="135">
        <f>IF($AQ155="","",VLOOKUP($B155, '2022 counts'!$B$6:$T$304,19,FALSE))</f>
        <v>0.05</v>
      </c>
      <c r="BI155" s="38">
        <f t="shared" si="252"/>
        <v>0.05</v>
      </c>
      <c r="BJ155" s="39" t="str">
        <f t="shared" si="253"/>
        <v/>
      </c>
      <c r="BK155" s="15">
        <f>VLOOKUP($U155,'2020_CapacityTable'!$B$49:$F$71,2)</f>
        <v>11700</v>
      </c>
      <c r="BL155" s="15">
        <f>VLOOKUP($U155,'2020_CapacityTable'!$B$49:$F$71,3)</f>
        <v>18000</v>
      </c>
      <c r="BM155" s="15">
        <f>VLOOKUP($T155,'2020_CapacityTable'!$B$49:$F$71,4)</f>
        <v>24200</v>
      </c>
      <c r="BN155" s="15">
        <f>VLOOKUP($T155,'2020_CapacityTable'!$B$49:$F$71,5)</f>
        <v>32600</v>
      </c>
      <c r="BO155" s="15">
        <f t="shared" si="254"/>
        <v>11700</v>
      </c>
      <c r="BP155" s="15">
        <f t="shared" si="255"/>
        <v>18000</v>
      </c>
      <c r="BQ155" s="15">
        <f t="shared" si="256"/>
        <v>24200</v>
      </c>
      <c r="BR155" s="15">
        <f t="shared" si="257"/>
        <v>32600</v>
      </c>
      <c r="BS155" s="3">
        <f t="shared" si="228"/>
        <v>24200</v>
      </c>
      <c r="BT155" s="40">
        <f>'State of the System - Sumter Co'!AD155</f>
        <v>1603</v>
      </c>
      <c r="BU155" s="41">
        <f t="shared" si="258"/>
        <v>7.0000000000000007E-2</v>
      </c>
      <c r="BV155" s="2" t="str">
        <f t="shared" si="259"/>
        <v>B</v>
      </c>
      <c r="BW155" s="2">
        <f t="shared" si="260"/>
        <v>0.85</v>
      </c>
      <c r="BX155" s="15">
        <f>VLOOKUP($U155,'2020_CapacityTable'!$B$23:$F$45,2)</f>
        <v>580</v>
      </c>
      <c r="BY155" s="15">
        <f>VLOOKUP($U155,'2020_CapacityTable'!$B$23:$F$45,3)</f>
        <v>890</v>
      </c>
      <c r="BZ155" s="15">
        <f>VLOOKUP($U155,'2020_CapacityTable'!$B$23:$F$45,4)</f>
        <v>1200</v>
      </c>
      <c r="CA155" s="15">
        <f>VLOOKUP($U155,'2020_CapacityTable'!$B$23:$F$45,5)</f>
        <v>1610</v>
      </c>
      <c r="CB155" s="15">
        <f t="shared" si="261"/>
        <v>580</v>
      </c>
      <c r="CC155" s="15">
        <f t="shared" si="262"/>
        <v>890</v>
      </c>
      <c r="CD155" s="15">
        <f t="shared" si="263"/>
        <v>1200</v>
      </c>
      <c r="CE155" s="15">
        <f t="shared" si="264"/>
        <v>1610</v>
      </c>
      <c r="CF155" s="3">
        <f t="shared" si="229"/>
        <v>1200</v>
      </c>
      <c r="CG155" s="2">
        <f>'State of the System - Sumter Co'!AH155</f>
        <v>42</v>
      </c>
      <c r="CH155" s="2">
        <f>'State of the System - Sumter Co'!AI155</f>
        <v>114</v>
      </c>
      <c r="CI155" s="11">
        <f t="shared" si="265"/>
        <v>0.1</v>
      </c>
      <c r="CJ155" s="2" t="str">
        <f t="shared" si="280"/>
        <v>B</v>
      </c>
      <c r="CK155" s="3">
        <f t="shared" si="266"/>
        <v>35208</v>
      </c>
      <c r="CL155" s="11">
        <f t="shared" si="267"/>
        <v>0.05</v>
      </c>
      <c r="CM155" s="11" t="str">
        <f t="shared" si="268"/>
        <v>NOT CONGESTED</v>
      </c>
      <c r="CN155" s="3">
        <f t="shared" si="269"/>
        <v>1739</v>
      </c>
      <c r="CO155" s="11">
        <f t="shared" si="270"/>
        <v>7.0000000000000007E-2</v>
      </c>
      <c r="CP155" s="156" t="str">
        <f t="shared" si="231"/>
        <v>NOT CONGESTED</v>
      </c>
      <c r="CQ155" s="2"/>
      <c r="CR155" s="42"/>
      <c r="CS155" s="11" t="str">
        <f t="shared" si="271"/>
        <v/>
      </c>
      <c r="CT155" s="11" t="str">
        <f t="shared" si="232"/>
        <v/>
      </c>
      <c r="CU155" s="11" t="str">
        <f t="shared" si="272"/>
        <v/>
      </c>
      <c r="CV155" s="11" t="str">
        <f t="shared" si="273"/>
        <v/>
      </c>
      <c r="CW155" s="2"/>
      <c r="CX155" s="1"/>
      <c r="CY155" s="145" t="str">
        <f t="shared" si="274"/>
        <v/>
      </c>
      <c r="CZ155" s="32" t="str">
        <f t="shared" si="275"/>
        <v/>
      </c>
    </row>
    <row r="156" spans="1:104" ht="12.75" customHeight="1">
      <c r="A156" s="1">
        <v>4002000</v>
      </c>
      <c r="B156" s="1">
        <f t="shared" si="276"/>
        <v>91</v>
      </c>
      <c r="C156" s="1">
        <v>274</v>
      </c>
      <c r="D156" s="1">
        <f>VLOOKUP(C156,'2022 counts'!$A$6:$B$304,2,FALSE)</f>
        <v>91</v>
      </c>
      <c r="E156" s="1"/>
      <c r="F156" s="2" t="s">
        <v>6</v>
      </c>
      <c r="G156" s="156">
        <v>35</v>
      </c>
      <c r="H156" s="11">
        <v>1.97468128794</v>
      </c>
      <c r="I156" s="10" t="s">
        <v>54</v>
      </c>
      <c r="J156" s="10" t="s">
        <v>106</v>
      </c>
      <c r="K156" s="10" t="s">
        <v>107</v>
      </c>
      <c r="L156" s="157">
        <v>2</v>
      </c>
      <c r="M156" s="1">
        <f>'State of the System - Sumter Co'!K156</f>
        <v>2</v>
      </c>
      <c r="N156" s="1" t="str">
        <f>IF('State of the System - Sumter Co'!L156="URBAN","U","R")</f>
        <v>U</v>
      </c>
      <c r="O156" s="1" t="str">
        <f>IF('State of the System - Sumter Co'!M156="UNDIVIDED","U",IF('State of the System - Sumter Co'!M156="DIVIDED","D","F"))</f>
        <v>U</v>
      </c>
      <c r="P156" s="1" t="str">
        <f>'State of the System - Sumter Co'!N156</f>
        <v>UNINTERRUPTED</v>
      </c>
      <c r="Q156" s="1" t="str">
        <f t="shared" si="234"/>
        <v/>
      </c>
      <c r="R156" s="1" t="str">
        <f>'State of the System - Sumter Co'!O156</f>
        <v/>
      </c>
      <c r="S156" s="1" t="str">
        <f t="shared" si="281"/>
        <v>-x</v>
      </c>
      <c r="T156" s="1" t="str">
        <f t="shared" si="236"/>
        <v>U-2U-x</v>
      </c>
      <c r="U156" s="1" t="str">
        <f t="shared" si="279"/>
        <v>U-2U-x</v>
      </c>
      <c r="V156" s="1" t="s">
        <v>10</v>
      </c>
      <c r="W156" s="1" t="s">
        <v>11</v>
      </c>
      <c r="X156" s="1" t="s">
        <v>21</v>
      </c>
      <c r="Y156" s="1" t="str">
        <f>'State of the System - Sumter Co'!R156</f>
        <v>D</v>
      </c>
      <c r="Z156" s="157" t="str">
        <f t="shared" si="237"/>
        <v>Other CMP Network Roadways</v>
      </c>
      <c r="AA156" s="15">
        <f>VLOOKUP($T156,'2020_CapacityTable'!$B$49:$F$71,2)</f>
        <v>11700</v>
      </c>
      <c r="AB156" s="15">
        <f>VLOOKUP($T156,'2020_CapacityTable'!$B$49:$F$71,3)</f>
        <v>18000</v>
      </c>
      <c r="AC156" s="15">
        <f>VLOOKUP($T156,'2020_CapacityTable'!$B$49:$F$71,4)</f>
        <v>24200</v>
      </c>
      <c r="AD156" s="15">
        <f>VLOOKUP($T156,'2020_CapacityTable'!$B$49:$F$71,5)</f>
        <v>32600</v>
      </c>
      <c r="AE156" s="35"/>
      <c r="AF156" s="36" t="str">
        <f t="shared" si="238"/>
        <v/>
      </c>
      <c r="AG156" s="35" t="str">
        <f t="shared" si="233"/>
        <v/>
      </c>
      <c r="AH156" s="35" t="str">
        <f t="shared" si="278"/>
        <v/>
      </c>
      <c r="AI156" s="35"/>
      <c r="AJ156" s="36"/>
      <c r="AK156" s="15">
        <f t="shared" si="239"/>
        <v>11700</v>
      </c>
      <c r="AL156" s="15">
        <f t="shared" si="240"/>
        <v>18000</v>
      </c>
      <c r="AM156" s="15">
        <f t="shared" si="241"/>
        <v>24200</v>
      </c>
      <c r="AN156" s="15">
        <f t="shared" si="242"/>
        <v>32600</v>
      </c>
      <c r="AO156" s="3">
        <f t="shared" ref="AO156:AO162" si="282">IF(Y156="","",IF(Y156="B",AK156,IF(Y156="C",AL156,IF(Y156="D",AM156,AN156))))</f>
        <v>24200</v>
      </c>
      <c r="AP156" s="138">
        <f>VLOOKUP($B156,'2022 counts'!$B$6:$R$304,17,FALSE)</f>
        <v>4597</v>
      </c>
      <c r="AQ156" s="11">
        <f t="shared" si="243"/>
        <v>0.19</v>
      </c>
      <c r="AR156" s="2" t="str">
        <f t="shared" si="244"/>
        <v>B</v>
      </c>
      <c r="AS156" s="26">
        <f t="shared" si="245"/>
        <v>3.31</v>
      </c>
      <c r="AT156" s="15">
        <f>VLOOKUP($T156,'2020_CapacityTable'!$B$23:$F$45,2)</f>
        <v>580</v>
      </c>
      <c r="AU156" s="15">
        <f>VLOOKUP($T156,'2020_CapacityTable'!$B$23:$F$45,3)</f>
        <v>890</v>
      </c>
      <c r="AV156" s="15">
        <f>VLOOKUP($T156,'2020_CapacityTable'!$B$23:$F$45,4)</f>
        <v>1200</v>
      </c>
      <c r="AW156" s="15">
        <f>VLOOKUP($T156,'2020_CapacityTable'!$B$23:$F$45,5)</f>
        <v>1610</v>
      </c>
      <c r="AX156" s="15">
        <f t="shared" si="246"/>
        <v>580</v>
      </c>
      <c r="AY156" s="15">
        <f t="shared" si="247"/>
        <v>890</v>
      </c>
      <c r="AZ156" s="15">
        <f t="shared" si="248"/>
        <v>1200</v>
      </c>
      <c r="BA156" s="15">
        <f t="shared" si="249"/>
        <v>1610</v>
      </c>
      <c r="BB156" s="3">
        <f t="shared" ref="BB156:BB162" si="283">IF(Y156="","",IF(Y156="B",AX156,IF(Y156="C",AY156,IF(Y156="D",AZ156,BA156))))</f>
        <v>1200</v>
      </c>
      <c r="BC156" s="138">
        <f>VLOOKUP($B156,'2022 counts'!$B$6:$AD$304,28,FALSE)</f>
        <v>316</v>
      </c>
      <c r="BD156" s="138">
        <f>VLOOKUP($B156,'2022 counts'!$B$6:$AD$304,29,FALSE)</f>
        <v>146</v>
      </c>
      <c r="BE156" s="11">
        <f t="shared" si="250"/>
        <v>0.26</v>
      </c>
      <c r="BF156" s="2" t="str">
        <f t="shared" si="251"/>
        <v>B</v>
      </c>
      <c r="BG156" s="135">
        <v>4.2500000000000003E-2</v>
      </c>
      <c r="BH156" s="135">
        <f>IF($AQ156="","",VLOOKUP($B156, '2022 counts'!$B$6:$T$304,19,FALSE))</f>
        <v>4.2500000000000003E-2</v>
      </c>
      <c r="BI156" s="38">
        <f t="shared" si="252"/>
        <v>4.2500000000000003E-2</v>
      </c>
      <c r="BJ156" s="39" t="str">
        <f t="shared" si="253"/>
        <v/>
      </c>
      <c r="BK156" s="15">
        <f>VLOOKUP($U156,'2020_CapacityTable'!$B$49:$F$71,2)</f>
        <v>11700</v>
      </c>
      <c r="BL156" s="15">
        <f>VLOOKUP($U156,'2020_CapacityTable'!$B$49:$F$71,3)</f>
        <v>18000</v>
      </c>
      <c r="BM156" s="15">
        <f>VLOOKUP($T156,'2020_CapacityTable'!$B$49:$F$71,4)</f>
        <v>24200</v>
      </c>
      <c r="BN156" s="15">
        <f>VLOOKUP($T156,'2020_CapacityTable'!$B$49:$F$71,5)</f>
        <v>32600</v>
      </c>
      <c r="BO156" s="15">
        <f t="shared" si="254"/>
        <v>11700</v>
      </c>
      <c r="BP156" s="15">
        <f t="shared" si="255"/>
        <v>18000</v>
      </c>
      <c r="BQ156" s="15">
        <f t="shared" si="256"/>
        <v>24200</v>
      </c>
      <c r="BR156" s="15">
        <f t="shared" si="257"/>
        <v>32600</v>
      </c>
      <c r="BS156" s="3">
        <f t="shared" ref="BS156:BS162" si="284">IF($Y156="","",IF($Y156="B",BO156,IF($Y156="C",BP156,IF($Y156="D",BQ156,BR156))))</f>
        <v>24200</v>
      </c>
      <c r="BT156" s="40">
        <f>'State of the System - Sumter Co'!AD156</f>
        <v>5661</v>
      </c>
      <c r="BU156" s="41">
        <f t="shared" si="258"/>
        <v>0.23</v>
      </c>
      <c r="BV156" s="2" t="str">
        <f t="shared" si="259"/>
        <v>B</v>
      </c>
      <c r="BW156" s="2">
        <f t="shared" si="260"/>
        <v>4.08</v>
      </c>
      <c r="BX156" s="15">
        <f>VLOOKUP($U156,'2020_CapacityTable'!$B$23:$F$45,2)</f>
        <v>580</v>
      </c>
      <c r="BY156" s="15">
        <f>VLOOKUP($U156,'2020_CapacityTable'!$B$23:$F$45,3)</f>
        <v>890</v>
      </c>
      <c r="BZ156" s="15">
        <f>VLOOKUP($U156,'2020_CapacityTable'!$B$23:$F$45,4)</f>
        <v>1200</v>
      </c>
      <c r="CA156" s="15">
        <f>VLOOKUP($U156,'2020_CapacityTable'!$B$23:$F$45,5)</f>
        <v>1610</v>
      </c>
      <c r="CB156" s="15">
        <f t="shared" si="261"/>
        <v>580</v>
      </c>
      <c r="CC156" s="15">
        <f t="shared" si="262"/>
        <v>890</v>
      </c>
      <c r="CD156" s="15">
        <f t="shared" si="263"/>
        <v>1200</v>
      </c>
      <c r="CE156" s="15">
        <f t="shared" si="264"/>
        <v>1610</v>
      </c>
      <c r="CF156" s="3">
        <f t="shared" ref="CF156:CF162" si="285">IF($Y156="","",IF($Y156="B",CB156,IF($Y156="C",CC156,IF($Y156="D",CD156,CE156))))</f>
        <v>1200</v>
      </c>
      <c r="CG156" s="2">
        <f>'State of the System - Sumter Co'!AH156</f>
        <v>389</v>
      </c>
      <c r="CH156" s="2">
        <f>'State of the System - Sumter Co'!AI156</f>
        <v>180</v>
      </c>
      <c r="CI156" s="11">
        <f t="shared" si="265"/>
        <v>0.32</v>
      </c>
      <c r="CJ156" s="2" t="str">
        <f t="shared" si="280"/>
        <v>B</v>
      </c>
      <c r="CK156" s="3">
        <f t="shared" si="266"/>
        <v>35208</v>
      </c>
      <c r="CL156" s="11">
        <f t="shared" si="267"/>
        <v>0.16</v>
      </c>
      <c r="CM156" s="11" t="str">
        <f t="shared" si="268"/>
        <v>NOT CONGESTED</v>
      </c>
      <c r="CN156" s="3">
        <f t="shared" si="269"/>
        <v>1739</v>
      </c>
      <c r="CO156" s="11">
        <f t="shared" si="270"/>
        <v>0.22</v>
      </c>
      <c r="CP156" s="156" t="str">
        <f t="shared" ref="CP156:CP162" si="286">IF(OR(CO156="",CO156=0),"",IF(OR(BC156&gt;CN156,BD156&gt;CN156),"EXTREMELY (2020)",IF(CO156&gt;1,"EXTREMELY (2025)",IF(BE156&gt;1,"CONGESTED (2020)",IF(CI156&gt;1,"CONGESTED (2025)",IF(OR(BE156&gt;=0.9,CI156&gt;=0.9),"APPROACHING CONGESTION","NOT CONGESTED"))))))</f>
        <v>NOT CONGESTED</v>
      </c>
      <c r="CQ156" s="3"/>
      <c r="CR156" s="3"/>
      <c r="CS156" s="11" t="str">
        <f t="shared" si="271"/>
        <v/>
      </c>
      <c r="CT156" s="11" t="str">
        <f t="shared" ref="CT156:CT162" si="287">IF(OR(BT156="",BV156="",BU156&lt;1),"",ROUND(H156,2))</f>
        <v/>
      </c>
      <c r="CU156" s="11" t="str">
        <f t="shared" si="272"/>
        <v/>
      </c>
      <c r="CV156" s="11" t="str">
        <f t="shared" si="273"/>
        <v/>
      </c>
      <c r="CW156" s="2"/>
      <c r="CX156" s="1"/>
      <c r="CY156" s="145" t="str">
        <f t="shared" si="274"/>
        <v/>
      </c>
      <c r="CZ156" s="32" t="str">
        <f t="shared" si="275"/>
        <v/>
      </c>
    </row>
    <row r="157" spans="1:104" ht="12.75" customHeight="1">
      <c r="A157" s="1">
        <v>4008000</v>
      </c>
      <c r="B157" s="1">
        <f t="shared" si="276"/>
        <v>107</v>
      </c>
      <c r="C157" s="1">
        <v>344</v>
      </c>
      <c r="D157" s="1">
        <f>VLOOKUP(C157,'2022 counts'!$A$6:$B$304,2,FALSE)</f>
        <v>107</v>
      </c>
      <c r="E157" s="5" t="s">
        <v>243</v>
      </c>
      <c r="F157" s="2" t="s">
        <v>6</v>
      </c>
      <c r="G157" s="156">
        <v>40</v>
      </c>
      <c r="H157" s="11">
        <v>1.74879858636</v>
      </c>
      <c r="I157" s="10" t="s">
        <v>115</v>
      </c>
      <c r="J157" s="10" t="s">
        <v>116</v>
      </c>
      <c r="K157" s="10" t="s">
        <v>716</v>
      </c>
      <c r="L157" s="157">
        <v>2</v>
      </c>
      <c r="M157" s="1">
        <f>'State of the System - Sumter Co'!K157</f>
        <v>2</v>
      </c>
      <c r="N157" s="1" t="str">
        <f>IF('State of the System - Sumter Co'!L157="URBAN","U","R")</f>
        <v>U</v>
      </c>
      <c r="O157" s="1" t="str">
        <f>IF('State of the System - Sumter Co'!M157="UNDIVIDED","U",IF('State of the System - Sumter Co'!M157="DIVIDED","D","F"))</f>
        <v>U</v>
      </c>
      <c r="P157" s="1" t="str">
        <f>'State of the System - Sumter Co'!N157</f>
        <v>INTERRUPTED</v>
      </c>
      <c r="Q157" s="1" t="str">
        <f t="shared" si="234"/>
        <v/>
      </c>
      <c r="R157" s="1" t="str">
        <f>'State of the System - Sumter Co'!O157</f>
        <v/>
      </c>
      <c r="S157" s="1" t="str">
        <f t="shared" si="281"/>
        <v>-1</v>
      </c>
      <c r="T157" s="1" t="str">
        <f t="shared" si="236"/>
        <v>U-2U-1</v>
      </c>
      <c r="U157" s="1" t="str">
        <f t="shared" si="279"/>
        <v>U-2U-1</v>
      </c>
      <c r="V157" s="1" t="s">
        <v>10</v>
      </c>
      <c r="W157" s="1" t="s">
        <v>11</v>
      </c>
      <c r="X157" s="1" t="s">
        <v>21</v>
      </c>
      <c r="Y157" s="1" t="str">
        <f>'State of the System - Sumter Co'!R157</f>
        <v>D</v>
      </c>
      <c r="Z157" s="157" t="str">
        <f t="shared" si="237"/>
        <v>Other CMP Network Roadways</v>
      </c>
      <c r="AA157" s="15">
        <f>VLOOKUP($T157,'2020_CapacityTable'!$B$49:$F$71,2)</f>
        <v>0</v>
      </c>
      <c r="AB157" s="15">
        <f>VLOOKUP($T157,'2020_CapacityTable'!$B$49:$F$71,3)</f>
        <v>16800</v>
      </c>
      <c r="AC157" s="15">
        <f>VLOOKUP($T157,'2020_CapacityTable'!$B$49:$F$71,4)</f>
        <v>17700</v>
      </c>
      <c r="AD157" s="15">
        <f>VLOOKUP($T157,'2020_CapacityTable'!$B$49:$F$71,5)</f>
        <v>17700</v>
      </c>
      <c r="AE157" s="35">
        <f t="shared" ref="AE157:AE196" si="288">IF(V157&lt;&gt;"STATE",-10%,"")</f>
        <v>-0.1</v>
      </c>
      <c r="AF157" s="36" t="str">
        <f t="shared" si="238"/>
        <v/>
      </c>
      <c r="AG157" s="35">
        <v>-0.2</v>
      </c>
      <c r="AH157" s="35" t="str">
        <f t="shared" si="278"/>
        <v/>
      </c>
      <c r="AI157" s="35"/>
      <c r="AJ157" s="36"/>
      <c r="AK157" s="15">
        <f t="shared" si="239"/>
        <v>0</v>
      </c>
      <c r="AL157" s="15">
        <f t="shared" si="240"/>
        <v>11760</v>
      </c>
      <c r="AM157" s="15">
        <f t="shared" si="241"/>
        <v>12390</v>
      </c>
      <c r="AN157" s="15">
        <f t="shared" si="242"/>
        <v>12390</v>
      </c>
      <c r="AO157" s="3">
        <f t="shared" si="282"/>
        <v>12390</v>
      </c>
      <c r="AP157" s="138">
        <f>VLOOKUP($B157,'2022 counts'!$B$6:$R$304,17,FALSE)</f>
        <v>560</v>
      </c>
      <c r="AQ157" s="11">
        <f t="shared" si="243"/>
        <v>0.05</v>
      </c>
      <c r="AR157" s="2" t="str">
        <f t="shared" si="244"/>
        <v>C</v>
      </c>
      <c r="AS157" s="26">
        <f t="shared" si="245"/>
        <v>0.36</v>
      </c>
      <c r="AT157" s="15">
        <f>VLOOKUP($T157,'2020_CapacityTable'!$B$23:$F$45,2)</f>
        <v>0</v>
      </c>
      <c r="AU157" s="15">
        <f>VLOOKUP($T157,'2020_CapacityTable'!$B$23:$F$45,3)</f>
        <v>830</v>
      </c>
      <c r="AV157" s="15">
        <f>VLOOKUP($T157,'2020_CapacityTable'!$B$23:$F$45,4)</f>
        <v>880</v>
      </c>
      <c r="AW157" s="15">
        <f>VLOOKUP($T157,'2020_CapacityTable'!$B$23:$F$45,5)</f>
        <v>880</v>
      </c>
      <c r="AX157" s="15">
        <f t="shared" si="246"/>
        <v>0</v>
      </c>
      <c r="AY157" s="15">
        <f t="shared" si="247"/>
        <v>581</v>
      </c>
      <c r="AZ157" s="15">
        <f t="shared" si="248"/>
        <v>616</v>
      </c>
      <c r="BA157" s="15">
        <f t="shared" si="249"/>
        <v>616</v>
      </c>
      <c r="BB157" s="3">
        <f t="shared" si="283"/>
        <v>616</v>
      </c>
      <c r="BC157" s="138">
        <f>VLOOKUP($B157,'2022 counts'!$B$6:$AD$304,28,FALSE)</f>
        <v>43</v>
      </c>
      <c r="BD157" s="138">
        <f>VLOOKUP($B157,'2022 counts'!$B$6:$AD$304,29,FALSE)</f>
        <v>25</v>
      </c>
      <c r="BE157" s="11">
        <f t="shared" si="250"/>
        <v>7.0000000000000007E-2</v>
      </c>
      <c r="BF157" s="2" t="str">
        <f t="shared" si="251"/>
        <v>C</v>
      </c>
      <c r="BG157" s="135">
        <v>0.21</v>
      </c>
      <c r="BH157" s="135">
        <f>IF($AQ157="","",VLOOKUP($B157, '2022 counts'!$B$6:$T$304,19,FALSE))</f>
        <v>0.21</v>
      </c>
      <c r="BI157" s="38">
        <v>0.05</v>
      </c>
      <c r="BJ157" s="386">
        <v>-2</v>
      </c>
      <c r="BK157" s="15">
        <f>VLOOKUP($U157,'2020_CapacityTable'!$B$49:$F$71,2)</f>
        <v>0</v>
      </c>
      <c r="BL157" s="15">
        <f>VLOOKUP($U157,'2020_CapacityTable'!$B$49:$F$71,3)</f>
        <v>16800</v>
      </c>
      <c r="BM157" s="15">
        <f>VLOOKUP($T157,'2020_CapacityTable'!$B$49:$F$71,4)</f>
        <v>17700</v>
      </c>
      <c r="BN157" s="15">
        <f>VLOOKUP($T157,'2020_CapacityTable'!$B$49:$F$71,5)</f>
        <v>17700</v>
      </c>
      <c r="BO157" s="15">
        <f t="shared" si="254"/>
        <v>0</v>
      </c>
      <c r="BP157" s="15">
        <f t="shared" si="255"/>
        <v>11760</v>
      </c>
      <c r="BQ157" s="15">
        <f t="shared" si="256"/>
        <v>12390</v>
      </c>
      <c r="BR157" s="15">
        <f t="shared" si="257"/>
        <v>12390</v>
      </c>
      <c r="BS157" s="3">
        <f t="shared" si="284"/>
        <v>12390</v>
      </c>
      <c r="BT157" s="40">
        <f>'State of the System - Sumter Co'!AD157</f>
        <v>715</v>
      </c>
      <c r="BU157" s="41">
        <f t="shared" si="258"/>
        <v>0.06</v>
      </c>
      <c r="BV157" s="2" t="str">
        <f t="shared" si="259"/>
        <v>C</v>
      </c>
      <c r="BW157" s="2">
        <f t="shared" si="260"/>
        <v>0.46</v>
      </c>
      <c r="BX157" s="15">
        <f>VLOOKUP($U157,'2020_CapacityTable'!$B$23:$F$45,2)</f>
        <v>0</v>
      </c>
      <c r="BY157" s="15">
        <f>VLOOKUP($U157,'2020_CapacityTable'!$B$23:$F$45,3)</f>
        <v>830</v>
      </c>
      <c r="BZ157" s="15">
        <f>VLOOKUP($U157,'2020_CapacityTable'!$B$23:$F$45,4)</f>
        <v>880</v>
      </c>
      <c r="CA157" s="15">
        <f>VLOOKUP($U157,'2020_CapacityTable'!$B$23:$F$45,5)</f>
        <v>880</v>
      </c>
      <c r="CB157" s="15">
        <f t="shared" si="261"/>
        <v>0</v>
      </c>
      <c r="CC157" s="15">
        <f t="shared" si="262"/>
        <v>581</v>
      </c>
      <c r="CD157" s="15">
        <f t="shared" si="263"/>
        <v>616</v>
      </c>
      <c r="CE157" s="15">
        <f t="shared" si="264"/>
        <v>616</v>
      </c>
      <c r="CF157" s="3">
        <f t="shared" si="285"/>
        <v>616</v>
      </c>
      <c r="CG157" s="2">
        <f>'State of the System - Sumter Co'!AH157</f>
        <v>55</v>
      </c>
      <c r="CH157" s="2">
        <f>'State of the System - Sumter Co'!AI157</f>
        <v>32</v>
      </c>
      <c r="CI157" s="11">
        <f t="shared" si="265"/>
        <v>0.09</v>
      </c>
      <c r="CJ157" s="2" t="str">
        <f t="shared" si="280"/>
        <v>C</v>
      </c>
      <c r="CK157" s="3">
        <f t="shared" si="266"/>
        <v>13381</v>
      </c>
      <c r="CL157" s="11">
        <f t="shared" si="267"/>
        <v>0.05</v>
      </c>
      <c r="CM157" s="11" t="str">
        <f t="shared" si="268"/>
        <v>NOT CONGESTED</v>
      </c>
      <c r="CN157" s="3">
        <f t="shared" si="269"/>
        <v>665</v>
      </c>
      <c r="CO157" s="11">
        <f t="shared" si="270"/>
        <v>0.08</v>
      </c>
      <c r="CP157" s="156" t="str">
        <f t="shared" si="286"/>
        <v>NOT CONGESTED</v>
      </c>
      <c r="CQ157" s="2"/>
      <c r="CR157" s="42"/>
      <c r="CS157" s="11" t="str">
        <f t="shared" si="271"/>
        <v/>
      </c>
      <c r="CT157" s="11" t="str">
        <f t="shared" si="287"/>
        <v/>
      </c>
      <c r="CU157" s="11" t="str">
        <f t="shared" si="272"/>
        <v/>
      </c>
      <c r="CV157" s="11" t="str">
        <f t="shared" si="273"/>
        <v/>
      </c>
      <c r="CW157" s="2"/>
      <c r="CX157" s="1"/>
      <c r="CY157" s="145" t="str">
        <f t="shared" si="274"/>
        <v/>
      </c>
      <c r="CZ157" s="32" t="str">
        <f t="shared" si="275"/>
        <v/>
      </c>
    </row>
    <row r="158" spans="1:104" ht="12.75" customHeight="1">
      <c r="A158" s="1">
        <v>4009000</v>
      </c>
      <c r="B158" s="1">
        <f t="shared" si="276"/>
        <v>109</v>
      </c>
      <c r="C158" s="1">
        <v>114</v>
      </c>
      <c r="D158" s="1">
        <f>VLOOKUP(C158,'2022 counts'!$A$6:$B$304,2,FALSE)</f>
        <v>109</v>
      </c>
      <c r="E158" s="1">
        <v>188030</v>
      </c>
      <c r="F158" s="2" t="s">
        <v>136</v>
      </c>
      <c r="G158" s="156">
        <v>45</v>
      </c>
      <c r="H158" s="11">
        <v>0.26322114268000002</v>
      </c>
      <c r="I158" s="10" t="s">
        <v>1170</v>
      </c>
      <c r="J158" s="10" t="s">
        <v>752</v>
      </c>
      <c r="K158" s="10" t="s">
        <v>758</v>
      </c>
      <c r="L158" s="157">
        <v>2</v>
      </c>
      <c r="M158" s="1">
        <f>'State of the System - Sumter Co'!K158</f>
        <v>2</v>
      </c>
      <c r="N158" s="1" t="str">
        <f>IF('State of the System - Sumter Co'!L158="URBAN","U","R")</f>
        <v>U</v>
      </c>
      <c r="O158" s="1" t="str">
        <f>IF('State of the System - Sumter Co'!M158="UNDIVIDED","U",IF('State of the System - Sumter Co'!M158="DIVIDED","D","F"))</f>
        <v>U</v>
      </c>
      <c r="P158" s="1" t="str">
        <f>'State of the System - Sumter Co'!N158</f>
        <v>INTERRUPTED</v>
      </c>
      <c r="Q158" s="1" t="str">
        <f t="shared" si="234"/>
        <v/>
      </c>
      <c r="R158" s="1" t="str">
        <f>'State of the System - Sumter Co'!O158</f>
        <v/>
      </c>
      <c r="S158" s="1" t="str">
        <f t="shared" si="281"/>
        <v>-1</v>
      </c>
      <c r="T158" s="1" t="str">
        <f t="shared" si="236"/>
        <v>U-2U-1</v>
      </c>
      <c r="U158" s="1" t="s">
        <v>553</v>
      </c>
      <c r="V158" s="1" t="s">
        <v>10</v>
      </c>
      <c r="W158" s="1" t="s">
        <v>25</v>
      </c>
      <c r="X158" s="1" t="s">
        <v>21</v>
      </c>
      <c r="Y158" s="1" t="str">
        <f>'State of the System - Sumter Co'!R158</f>
        <v>D</v>
      </c>
      <c r="Z158" s="157" t="str">
        <f t="shared" si="237"/>
        <v>Other CMP Network Roadways</v>
      </c>
      <c r="AA158" s="15">
        <f>VLOOKUP($T158,'2020_CapacityTable'!$B$49:$F$71,2)</f>
        <v>0</v>
      </c>
      <c r="AB158" s="15">
        <f>VLOOKUP($T158,'2020_CapacityTable'!$B$49:$F$71,3)</f>
        <v>16800</v>
      </c>
      <c r="AC158" s="15">
        <f>VLOOKUP($T158,'2020_CapacityTable'!$B$49:$F$71,4)</f>
        <v>17700</v>
      </c>
      <c r="AD158" s="15">
        <f>VLOOKUP($T158,'2020_CapacityTable'!$B$49:$F$71,5)</f>
        <v>17700</v>
      </c>
      <c r="AE158" s="35">
        <f t="shared" si="288"/>
        <v>-0.1</v>
      </c>
      <c r="AF158" s="36" t="str">
        <f t="shared" si="238"/>
        <v/>
      </c>
      <c r="AG158" s="35">
        <v>-0.2</v>
      </c>
      <c r="AH158" s="35" t="str">
        <f t="shared" si="278"/>
        <v/>
      </c>
      <c r="AI158" s="35"/>
      <c r="AJ158" s="36"/>
      <c r="AK158" s="15">
        <f t="shared" si="239"/>
        <v>0</v>
      </c>
      <c r="AL158" s="15">
        <f t="shared" si="240"/>
        <v>11760</v>
      </c>
      <c r="AM158" s="15">
        <f t="shared" si="241"/>
        <v>12390</v>
      </c>
      <c r="AN158" s="15">
        <f t="shared" si="242"/>
        <v>12390</v>
      </c>
      <c r="AO158" s="3">
        <f t="shared" si="282"/>
        <v>12390</v>
      </c>
      <c r="AP158" s="138">
        <f>VLOOKUP($B158,'2022 counts'!$B$6:$R$304,17,FALSE)</f>
        <v>6079</v>
      </c>
      <c r="AQ158" s="11">
        <f t="shared" si="243"/>
        <v>0.49</v>
      </c>
      <c r="AR158" s="2" t="str">
        <f t="shared" si="244"/>
        <v>C</v>
      </c>
      <c r="AS158" s="26">
        <f t="shared" si="245"/>
        <v>0.57999999999999996</v>
      </c>
      <c r="AT158" s="15">
        <f>VLOOKUP($T158,'2020_CapacityTable'!$B$23:$F$45,2)</f>
        <v>0</v>
      </c>
      <c r="AU158" s="15">
        <f>VLOOKUP($T158,'2020_CapacityTable'!$B$23:$F$45,3)</f>
        <v>830</v>
      </c>
      <c r="AV158" s="15">
        <f>VLOOKUP($T158,'2020_CapacityTable'!$B$23:$F$45,4)</f>
        <v>880</v>
      </c>
      <c r="AW158" s="15">
        <f>VLOOKUP($T158,'2020_CapacityTable'!$B$23:$F$45,5)</f>
        <v>880</v>
      </c>
      <c r="AX158" s="15">
        <f t="shared" si="246"/>
        <v>0</v>
      </c>
      <c r="AY158" s="15">
        <f t="shared" si="247"/>
        <v>581</v>
      </c>
      <c r="AZ158" s="15">
        <f t="shared" si="248"/>
        <v>616</v>
      </c>
      <c r="BA158" s="15">
        <f t="shared" si="249"/>
        <v>616</v>
      </c>
      <c r="BB158" s="3">
        <f t="shared" si="283"/>
        <v>616</v>
      </c>
      <c r="BC158" s="138">
        <f>VLOOKUP($B158,'2022 counts'!$B$6:$AD$304,28,FALSE)</f>
        <v>288</v>
      </c>
      <c r="BD158" s="138">
        <f>VLOOKUP($B158,'2022 counts'!$B$6:$AD$304,29,FALSE)</f>
        <v>278</v>
      </c>
      <c r="BE158" s="11">
        <f t="shared" si="250"/>
        <v>0.47</v>
      </c>
      <c r="BF158" s="2" t="str">
        <f t="shared" si="251"/>
        <v>C</v>
      </c>
      <c r="BG158" s="135">
        <v>0.19</v>
      </c>
      <c r="BH158" s="135">
        <f>IF($AQ158="","",VLOOKUP($B158, '2022 counts'!$B$6:$T$304,19,FALSE))</f>
        <v>9.5000000000000001E-2</v>
      </c>
      <c r="BI158" s="38">
        <v>0.05</v>
      </c>
      <c r="BJ158" s="386">
        <v>-2</v>
      </c>
      <c r="BK158" s="15">
        <f>VLOOKUP($U158,'2020_CapacityTable'!$B$49:$F$71,2)</f>
        <v>0</v>
      </c>
      <c r="BL158" s="15">
        <f>VLOOKUP($U158,'2020_CapacityTable'!$B$49:$F$71,3)</f>
        <v>58400</v>
      </c>
      <c r="BM158" s="15">
        <f>VLOOKUP($U158,'2020_CapacityTable'!$B$49:$F$71,4)</f>
        <v>59900</v>
      </c>
      <c r="BN158" s="15">
        <f>VLOOKUP($U158,'2020_CapacityTable'!$B$49:$F$71,5)</f>
        <v>59900</v>
      </c>
      <c r="BO158" s="15">
        <f t="shared" si="254"/>
        <v>0</v>
      </c>
      <c r="BP158" s="15">
        <f t="shared" si="255"/>
        <v>40880</v>
      </c>
      <c r="BQ158" s="15">
        <f t="shared" si="256"/>
        <v>41930</v>
      </c>
      <c r="BR158" s="15">
        <f t="shared" si="257"/>
        <v>41930</v>
      </c>
      <c r="BS158" s="3">
        <f t="shared" si="284"/>
        <v>41930</v>
      </c>
      <c r="BT158" s="40">
        <f>'State of the System - Sumter Co'!AD158</f>
        <v>7759</v>
      </c>
      <c r="BU158" s="41">
        <f t="shared" si="258"/>
        <v>0.19</v>
      </c>
      <c r="BV158" s="2" t="str">
        <f t="shared" si="259"/>
        <v>C</v>
      </c>
      <c r="BW158" s="2">
        <f t="shared" si="260"/>
        <v>0.75</v>
      </c>
      <c r="BX158" s="15">
        <f>VLOOKUP($U158,'2020_CapacityTable'!$B$23:$F$45,2)</f>
        <v>0</v>
      </c>
      <c r="BY158" s="15">
        <f>VLOOKUP($U158,'2020_CapacityTable'!$B$23:$F$45,3)</f>
        <v>2940</v>
      </c>
      <c r="BZ158" s="15">
        <f>VLOOKUP($U158,'2020_CapacityTable'!$B$23:$F$45,4)</f>
        <v>3020</v>
      </c>
      <c r="CA158" s="15">
        <f>VLOOKUP($U158,'2020_CapacityTable'!$B$23:$F$45,5)</f>
        <v>3020</v>
      </c>
      <c r="CB158" s="15">
        <f t="shared" si="261"/>
        <v>0</v>
      </c>
      <c r="CC158" s="15">
        <f t="shared" si="262"/>
        <v>2058</v>
      </c>
      <c r="CD158" s="15">
        <f t="shared" si="263"/>
        <v>2114</v>
      </c>
      <c r="CE158" s="15">
        <f t="shared" si="264"/>
        <v>2114</v>
      </c>
      <c r="CF158" s="3">
        <f t="shared" si="285"/>
        <v>2114</v>
      </c>
      <c r="CG158" s="2">
        <f>'State of the System - Sumter Co'!AH158</f>
        <v>368</v>
      </c>
      <c r="CH158" s="2">
        <f>'State of the System - Sumter Co'!AI158</f>
        <v>355</v>
      </c>
      <c r="CI158" s="11">
        <f t="shared" si="265"/>
        <v>0.17</v>
      </c>
      <c r="CJ158" s="2" t="str">
        <f t="shared" si="280"/>
        <v>C</v>
      </c>
      <c r="CK158" s="3">
        <f t="shared" si="266"/>
        <v>13381</v>
      </c>
      <c r="CL158" s="11">
        <f t="shared" si="267"/>
        <v>0.57999999999999996</v>
      </c>
      <c r="CM158" s="11" t="str">
        <f t="shared" si="268"/>
        <v>NOT CONGESTED</v>
      </c>
      <c r="CN158" s="3">
        <f t="shared" si="269"/>
        <v>665</v>
      </c>
      <c r="CO158" s="11">
        <f t="shared" si="270"/>
        <v>0.55000000000000004</v>
      </c>
      <c r="CP158" s="156" t="str">
        <f t="shared" si="286"/>
        <v>NOT CONGESTED</v>
      </c>
      <c r="CQ158" s="3"/>
      <c r="CR158" s="3"/>
      <c r="CS158" s="11" t="str">
        <f t="shared" si="271"/>
        <v/>
      </c>
      <c r="CT158" s="11" t="str">
        <f t="shared" si="287"/>
        <v/>
      </c>
      <c r="CU158" s="11" t="str">
        <f t="shared" si="272"/>
        <v/>
      </c>
      <c r="CV158" s="11" t="str">
        <f t="shared" si="273"/>
        <v/>
      </c>
      <c r="CW158" s="2"/>
      <c r="CX158" s="1"/>
      <c r="CY158" s="145" t="str">
        <f t="shared" si="274"/>
        <v/>
      </c>
      <c r="CZ158" s="32" t="str">
        <f t="shared" si="275"/>
        <v/>
      </c>
    </row>
    <row r="159" spans="1:104" ht="12.75" customHeight="1">
      <c r="A159" s="1">
        <v>5000000</v>
      </c>
      <c r="B159" s="1">
        <f t="shared" si="276"/>
        <v>136</v>
      </c>
      <c r="C159" s="1">
        <v>155</v>
      </c>
      <c r="D159" s="1">
        <f>VLOOKUP(C159,'2022 counts'!$A$6:$B$304,2,FALSE)</f>
        <v>136</v>
      </c>
      <c r="E159" s="1"/>
      <c r="F159" s="2" t="s">
        <v>6</v>
      </c>
      <c r="G159" s="156">
        <v>35</v>
      </c>
      <c r="H159" s="11">
        <v>0.51494064203300005</v>
      </c>
      <c r="I159" s="10" t="s">
        <v>18</v>
      </c>
      <c r="J159" s="10" t="s">
        <v>33</v>
      </c>
      <c r="K159" s="10" t="s">
        <v>34</v>
      </c>
      <c r="L159" s="157">
        <v>4</v>
      </c>
      <c r="M159" s="1">
        <f>'State of the System - Sumter Co'!K159</f>
        <v>4</v>
      </c>
      <c r="N159" s="1" t="str">
        <f>IF('State of the System - Sumter Co'!L159="URBAN","U","R")</f>
        <v>U</v>
      </c>
      <c r="O159" s="1" t="str">
        <f>IF('State of the System - Sumter Co'!M159="UNDIVIDED","U",IF('State of the System - Sumter Co'!M159="DIVIDED","D","F"))</f>
        <v>D</v>
      </c>
      <c r="P159" s="1" t="str">
        <f>'State of the System - Sumter Co'!N159</f>
        <v>INTERRUPTED</v>
      </c>
      <c r="Q159" s="1" t="str">
        <f t="shared" si="234"/>
        <v/>
      </c>
      <c r="R159" s="1" t="str">
        <f>'State of the System - Sumter Co'!O159</f>
        <v/>
      </c>
      <c r="S159" s="1" t="str">
        <f t="shared" si="281"/>
        <v>-2</v>
      </c>
      <c r="T159" s="1" t="str">
        <f t="shared" si="236"/>
        <v>U-4D-2</v>
      </c>
      <c r="U159" s="1" t="str">
        <f t="shared" si="279"/>
        <v>U-4D-2</v>
      </c>
      <c r="V159" s="1" t="s">
        <v>10</v>
      </c>
      <c r="W159" s="1" t="s">
        <v>11</v>
      </c>
      <c r="X159" s="1" t="s">
        <v>12</v>
      </c>
      <c r="Y159" s="1" t="str">
        <f>'State of the System - Sumter Co'!R159</f>
        <v>D</v>
      </c>
      <c r="Z159" s="157" t="str">
        <f t="shared" si="237"/>
        <v>Other CMP Network Roadways</v>
      </c>
      <c r="AA159" s="15">
        <f>VLOOKUP($T159,'2020_CapacityTable'!$B$49:$F$71,2)</f>
        <v>0</v>
      </c>
      <c r="AB159" s="15">
        <f>VLOOKUP($T159,'2020_CapacityTable'!$B$49:$F$71,3)</f>
        <v>14500</v>
      </c>
      <c r="AC159" s="15">
        <f>VLOOKUP($T159,'2020_CapacityTable'!$B$49:$F$71,4)</f>
        <v>32400</v>
      </c>
      <c r="AD159" s="15">
        <f>VLOOKUP($T159,'2020_CapacityTable'!$B$49:$F$71,5)</f>
        <v>33800</v>
      </c>
      <c r="AE159" s="35">
        <f t="shared" si="288"/>
        <v>-0.1</v>
      </c>
      <c r="AF159" s="36" t="str">
        <f t="shared" si="238"/>
        <v/>
      </c>
      <c r="AG159" s="35" t="str">
        <f>IF(AND(L159=2,P159="interrupted",O159="U"),"LOOK","")</f>
        <v/>
      </c>
      <c r="AH159" s="35" t="str">
        <f t="shared" si="278"/>
        <v/>
      </c>
      <c r="AI159" s="35"/>
      <c r="AJ159" s="36"/>
      <c r="AK159" s="15">
        <f t="shared" si="239"/>
        <v>0</v>
      </c>
      <c r="AL159" s="15">
        <f t="shared" si="240"/>
        <v>13050</v>
      </c>
      <c r="AM159" s="15">
        <f t="shared" si="241"/>
        <v>29160</v>
      </c>
      <c r="AN159" s="15">
        <f t="shared" si="242"/>
        <v>30420</v>
      </c>
      <c r="AO159" s="3">
        <f t="shared" si="282"/>
        <v>29160</v>
      </c>
      <c r="AP159" s="138">
        <f>VLOOKUP($B159,'2022 counts'!$B$6:$R$304,17,FALSE)</f>
        <v>14555</v>
      </c>
      <c r="AQ159" s="11">
        <f t="shared" si="243"/>
        <v>0.5</v>
      </c>
      <c r="AR159" s="2" t="str">
        <f t="shared" si="244"/>
        <v>D</v>
      </c>
      <c r="AS159" s="26">
        <f t="shared" si="245"/>
        <v>2.74</v>
      </c>
      <c r="AT159" s="15">
        <f>VLOOKUP($T159,'2020_CapacityTable'!$B$23:$F$45,2)</f>
        <v>0</v>
      </c>
      <c r="AU159" s="15">
        <f>VLOOKUP($T159,'2020_CapacityTable'!$B$23:$F$45,3)</f>
        <v>730</v>
      </c>
      <c r="AV159" s="15">
        <f>VLOOKUP($T159,'2020_CapacityTable'!$B$23:$F$45,4)</f>
        <v>1630</v>
      </c>
      <c r="AW159" s="15">
        <f>VLOOKUP($T159,'2020_CapacityTable'!$B$23:$F$45,5)</f>
        <v>1700</v>
      </c>
      <c r="AX159" s="15">
        <f t="shared" si="246"/>
        <v>0</v>
      </c>
      <c r="AY159" s="15">
        <f t="shared" si="247"/>
        <v>657</v>
      </c>
      <c r="AZ159" s="15">
        <f t="shared" si="248"/>
        <v>1467</v>
      </c>
      <c r="BA159" s="15">
        <f t="shared" si="249"/>
        <v>1530</v>
      </c>
      <c r="BB159" s="3">
        <f t="shared" si="283"/>
        <v>1467</v>
      </c>
      <c r="BC159" s="138">
        <f>VLOOKUP($B159,'2022 counts'!$B$6:$AD$304,28,FALSE)</f>
        <v>706</v>
      </c>
      <c r="BD159" s="138">
        <f>VLOOKUP($B159,'2022 counts'!$B$6:$AD$304,29,FALSE)</f>
        <v>666</v>
      </c>
      <c r="BE159" s="11">
        <f t="shared" si="250"/>
        <v>0.48</v>
      </c>
      <c r="BF159" s="2" t="str">
        <f t="shared" si="251"/>
        <v>D</v>
      </c>
      <c r="BG159" s="135">
        <v>0</v>
      </c>
      <c r="BH159" s="135">
        <f>IF($AQ159="","",VLOOKUP($B159, '2022 counts'!$B$6:$T$304,19,FALSE))</f>
        <v>0</v>
      </c>
      <c r="BI159" s="38">
        <f t="shared" si="252"/>
        <v>0.01</v>
      </c>
      <c r="BJ159" s="39" t="str">
        <f t="shared" si="253"/>
        <v>minimum</v>
      </c>
      <c r="BK159" s="15">
        <f>VLOOKUP($U159,'2020_CapacityTable'!$B$49:$F$71,2)</f>
        <v>0</v>
      </c>
      <c r="BL159" s="15">
        <f>VLOOKUP($U159,'2020_CapacityTable'!$B$49:$F$71,3)</f>
        <v>14500</v>
      </c>
      <c r="BM159" s="15">
        <f>VLOOKUP($T159,'2020_CapacityTable'!$B$49:$F$71,4)</f>
        <v>32400</v>
      </c>
      <c r="BN159" s="15">
        <f>VLOOKUP($T159,'2020_CapacityTable'!$B$49:$F$71,5)</f>
        <v>33800</v>
      </c>
      <c r="BO159" s="15">
        <f t="shared" si="254"/>
        <v>0</v>
      </c>
      <c r="BP159" s="15">
        <f t="shared" si="255"/>
        <v>13050</v>
      </c>
      <c r="BQ159" s="15">
        <f t="shared" si="256"/>
        <v>29160</v>
      </c>
      <c r="BR159" s="15">
        <f t="shared" si="257"/>
        <v>30420</v>
      </c>
      <c r="BS159" s="3">
        <f t="shared" si="284"/>
        <v>29160</v>
      </c>
      <c r="BT159" s="40">
        <f>'State of the System - Sumter Co'!AD159</f>
        <v>15297</v>
      </c>
      <c r="BU159" s="41">
        <f t="shared" si="258"/>
        <v>0.52</v>
      </c>
      <c r="BV159" s="2" t="str">
        <f t="shared" si="259"/>
        <v>D</v>
      </c>
      <c r="BW159" s="2">
        <f t="shared" si="260"/>
        <v>2.88</v>
      </c>
      <c r="BX159" s="15">
        <f>VLOOKUP($U159,'2020_CapacityTable'!$B$23:$F$45,2)</f>
        <v>0</v>
      </c>
      <c r="BY159" s="15">
        <f>VLOOKUP($U159,'2020_CapacityTable'!$B$23:$F$45,3)</f>
        <v>730</v>
      </c>
      <c r="BZ159" s="15">
        <f>VLOOKUP($U159,'2020_CapacityTable'!$B$23:$F$45,4)</f>
        <v>1630</v>
      </c>
      <c r="CA159" s="15">
        <f>VLOOKUP($U159,'2020_CapacityTable'!$B$23:$F$45,5)</f>
        <v>1700</v>
      </c>
      <c r="CB159" s="15">
        <f t="shared" si="261"/>
        <v>0</v>
      </c>
      <c r="CC159" s="15">
        <f t="shared" si="262"/>
        <v>657</v>
      </c>
      <c r="CD159" s="15">
        <f t="shared" si="263"/>
        <v>1467</v>
      </c>
      <c r="CE159" s="15">
        <f t="shared" si="264"/>
        <v>1530</v>
      </c>
      <c r="CF159" s="3">
        <f t="shared" si="285"/>
        <v>1467</v>
      </c>
      <c r="CG159" s="2">
        <f>'State of the System - Sumter Co'!AH159</f>
        <v>742</v>
      </c>
      <c r="CH159" s="2">
        <f>'State of the System - Sumter Co'!AI159</f>
        <v>700</v>
      </c>
      <c r="CI159" s="11">
        <f t="shared" si="265"/>
        <v>0.51</v>
      </c>
      <c r="CJ159" s="2" t="str">
        <f t="shared" si="280"/>
        <v>D</v>
      </c>
      <c r="CK159" s="3">
        <f t="shared" si="266"/>
        <v>32854</v>
      </c>
      <c r="CL159" s="11">
        <f t="shared" si="267"/>
        <v>0.47</v>
      </c>
      <c r="CM159" s="11" t="str">
        <f t="shared" si="268"/>
        <v>NOT CONGESTED</v>
      </c>
      <c r="CN159" s="3">
        <f t="shared" si="269"/>
        <v>1652</v>
      </c>
      <c r="CO159" s="11">
        <f t="shared" si="270"/>
        <v>0.45</v>
      </c>
      <c r="CP159" s="156" t="str">
        <f t="shared" si="286"/>
        <v>NOT CONGESTED</v>
      </c>
      <c r="CQ159" s="2"/>
      <c r="CR159" s="42"/>
      <c r="CS159" s="11" t="str">
        <f t="shared" si="271"/>
        <v/>
      </c>
      <c r="CT159" s="11" t="str">
        <f t="shared" si="287"/>
        <v/>
      </c>
      <c r="CU159" s="11" t="str">
        <f t="shared" si="272"/>
        <v/>
      </c>
      <c r="CV159" s="11" t="str">
        <f t="shared" si="273"/>
        <v/>
      </c>
      <c r="CW159" s="2"/>
      <c r="CX159" s="1"/>
      <c r="CY159" s="145" t="str">
        <f t="shared" si="274"/>
        <v/>
      </c>
      <c r="CZ159" s="32" t="str">
        <f t="shared" si="275"/>
        <v/>
      </c>
    </row>
    <row r="160" spans="1:104" ht="12.75" customHeight="1">
      <c r="A160" s="1">
        <v>5000110</v>
      </c>
      <c r="B160" s="1">
        <f t="shared" si="276"/>
        <v>10</v>
      </c>
      <c r="C160" s="1">
        <v>146</v>
      </c>
      <c r="D160" s="1">
        <f>VLOOKUP(C160,'2022 counts'!$A$6:$B$304,2,FALSE)</f>
        <v>10</v>
      </c>
      <c r="E160" s="1"/>
      <c r="F160" s="2" t="s">
        <v>6</v>
      </c>
      <c r="G160" s="156">
        <v>30</v>
      </c>
      <c r="H160" s="11">
        <v>0.29023650285399999</v>
      </c>
      <c r="I160" s="10" t="s">
        <v>35</v>
      </c>
      <c r="J160" s="10" t="s">
        <v>33</v>
      </c>
      <c r="K160" s="10" t="s">
        <v>36</v>
      </c>
      <c r="L160" s="157">
        <v>4</v>
      </c>
      <c r="M160" s="1">
        <f>'State of the System - Sumter Co'!K160</f>
        <v>4</v>
      </c>
      <c r="N160" s="1" t="str">
        <f>IF('State of the System - Sumter Co'!L160="URBAN","U","R")</f>
        <v>U</v>
      </c>
      <c r="O160" s="1" t="str">
        <f>IF('State of the System - Sumter Co'!M160="UNDIVIDED","U",IF('State of the System - Sumter Co'!M160="DIVIDED","D","F"))</f>
        <v>U</v>
      </c>
      <c r="P160" s="1" t="str">
        <f>'State of the System - Sumter Co'!N160</f>
        <v>INTERRUPTED</v>
      </c>
      <c r="Q160" s="1" t="str">
        <f t="shared" si="234"/>
        <v/>
      </c>
      <c r="R160" s="1" t="str">
        <f>'State of the System - Sumter Co'!O160</f>
        <v/>
      </c>
      <c r="S160" s="1" t="str">
        <f t="shared" si="281"/>
        <v>-2</v>
      </c>
      <c r="T160" s="1" t="str">
        <f t="shared" si="236"/>
        <v>U-4U-2</v>
      </c>
      <c r="U160" s="1" t="str">
        <f t="shared" si="279"/>
        <v>U-4U-2</v>
      </c>
      <c r="V160" s="1" t="s">
        <v>10</v>
      </c>
      <c r="W160" s="1" t="s">
        <v>11</v>
      </c>
      <c r="X160" s="1" t="s">
        <v>12</v>
      </c>
      <c r="Y160" s="1" t="str">
        <f>'State of the System - Sumter Co'!R160</f>
        <v>D</v>
      </c>
      <c r="Z160" s="157" t="str">
        <f t="shared" si="237"/>
        <v>Other CMP Network Roadways</v>
      </c>
      <c r="AA160" s="15">
        <f>VLOOKUP($T160,'2020_CapacityTable'!$B$49:$F$71,2)</f>
        <v>0</v>
      </c>
      <c r="AB160" s="15">
        <f>VLOOKUP($T160,'2020_CapacityTable'!$B$49:$F$71,3)</f>
        <v>14500</v>
      </c>
      <c r="AC160" s="15">
        <f>VLOOKUP($T160,'2020_CapacityTable'!$B$49:$F$71,4)</f>
        <v>32400</v>
      </c>
      <c r="AD160" s="15">
        <f>VLOOKUP($T160,'2020_CapacityTable'!$B$49:$F$71,5)</f>
        <v>33800</v>
      </c>
      <c r="AE160" s="35">
        <f t="shared" si="288"/>
        <v>-0.1</v>
      </c>
      <c r="AF160" s="36" t="str">
        <f t="shared" si="238"/>
        <v/>
      </c>
      <c r="AG160" s="35" t="str">
        <f>IF(AND(L160=2,P160="interrupted",O160="U"),"LOOK","")</f>
        <v/>
      </c>
      <c r="AH160" s="35" t="str">
        <f t="shared" si="278"/>
        <v>LOOK</v>
      </c>
      <c r="AI160" s="35"/>
      <c r="AJ160" s="36"/>
      <c r="AK160" s="15">
        <f t="shared" si="239"/>
        <v>0</v>
      </c>
      <c r="AL160" s="15">
        <f t="shared" si="240"/>
        <v>13050</v>
      </c>
      <c r="AM160" s="15">
        <f t="shared" si="241"/>
        <v>29160</v>
      </c>
      <c r="AN160" s="15">
        <f t="shared" si="242"/>
        <v>30420</v>
      </c>
      <c r="AO160" s="3">
        <f t="shared" si="282"/>
        <v>29160</v>
      </c>
      <c r="AP160" s="138">
        <f>VLOOKUP($B160,'2022 counts'!$B$6:$R$304,17,FALSE)</f>
        <v>9956</v>
      </c>
      <c r="AQ160" s="11">
        <f t="shared" si="243"/>
        <v>0.34</v>
      </c>
      <c r="AR160" s="2" t="str">
        <f t="shared" si="244"/>
        <v>C</v>
      </c>
      <c r="AS160" s="26">
        <f t="shared" si="245"/>
        <v>1.05</v>
      </c>
      <c r="AT160" s="15">
        <f>VLOOKUP($T160,'2020_CapacityTable'!$B$23:$F$45,2)</f>
        <v>0</v>
      </c>
      <c r="AU160" s="15">
        <f>VLOOKUP($T160,'2020_CapacityTable'!$B$23:$F$45,3)</f>
        <v>730</v>
      </c>
      <c r="AV160" s="15">
        <f>VLOOKUP($T160,'2020_CapacityTable'!$B$23:$F$45,4)</f>
        <v>1630</v>
      </c>
      <c r="AW160" s="15">
        <f>VLOOKUP($T160,'2020_CapacityTable'!$B$23:$F$45,5)</f>
        <v>1700</v>
      </c>
      <c r="AX160" s="15">
        <f t="shared" si="246"/>
        <v>0</v>
      </c>
      <c r="AY160" s="15">
        <f t="shared" si="247"/>
        <v>657</v>
      </c>
      <c r="AZ160" s="15">
        <f t="shared" si="248"/>
        <v>1467</v>
      </c>
      <c r="BA160" s="15">
        <f t="shared" si="249"/>
        <v>1530</v>
      </c>
      <c r="BB160" s="3">
        <f t="shared" si="283"/>
        <v>1467</v>
      </c>
      <c r="BC160" s="138">
        <f>VLOOKUP($B160,'2022 counts'!$B$6:$AD$304,28,FALSE)</f>
        <v>429</v>
      </c>
      <c r="BD160" s="138">
        <f>VLOOKUP($B160,'2022 counts'!$B$6:$AD$304,29,FALSE)</f>
        <v>548</v>
      </c>
      <c r="BE160" s="11">
        <f t="shared" si="250"/>
        <v>0.37</v>
      </c>
      <c r="BF160" s="2" t="str">
        <f t="shared" si="251"/>
        <v>C</v>
      </c>
      <c r="BG160" s="135">
        <v>0</v>
      </c>
      <c r="BH160" s="135">
        <f>IF($AQ160="","",VLOOKUP($B160, '2022 counts'!$B$6:$T$304,19,FALSE))</f>
        <v>0</v>
      </c>
      <c r="BI160" s="38">
        <f t="shared" si="252"/>
        <v>0.01</v>
      </c>
      <c r="BJ160" s="39" t="str">
        <f t="shared" si="253"/>
        <v>minimum</v>
      </c>
      <c r="BK160" s="15">
        <f>VLOOKUP($U160,'2020_CapacityTable'!$B$49:$F$71,2)</f>
        <v>0</v>
      </c>
      <c r="BL160" s="15">
        <f>VLOOKUP($U160,'2020_CapacityTable'!$B$49:$F$71,3)</f>
        <v>14500</v>
      </c>
      <c r="BM160" s="15">
        <f>VLOOKUP($T160,'2020_CapacityTable'!$B$49:$F$71,4)</f>
        <v>32400</v>
      </c>
      <c r="BN160" s="15">
        <f>VLOOKUP($T160,'2020_CapacityTable'!$B$49:$F$71,5)</f>
        <v>33800</v>
      </c>
      <c r="BO160" s="15">
        <f t="shared" si="254"/>
        <v>0</v>
      </c>
      <c r="BP160" s="15">
        <f t="shared" si="255"/>
        <v>13050</v>
      </c>
      <c r="BQ160" s="15">
        <f t="shared" si="256"/>
        <v>29160</v>
      </c>
      <c r="BR160" s="15">
        <f t="shared" si="257"/>
        <v>30420</v>
      </c>
      <c r="BS160" s="3">
        <f t="shared" si="284"/>
        <v>29160</v>
      </c>
      <c r="BT160" s="40">
        <f>'State of the System - Sumter Co'!AD160</f>
        <v>10464</v>
      </c>
      <c r="BU160" s="41">
        <f t="shared" si="258"/>
        <v>0.36</v>
      </c>
      <c r="BV160" s="2" t="str">
        <f t="shared" si="259"/>
        <v>C</v>
      </c>
      <c r="BW160" s="2">
        <f t="shared" si="260"/>
        <v>1.1100000000000001</v>
      </c>
      <c r="BX160" s="15">
        <f>VLOOKUP($U160,'2020_CapacityTable'!$B$23:$F$45,2)</f>
        <v>0</v>
      </c>
      <c r="BY160" s="15">
        <f>VLOOKUP($U160,'2020_CapacityTable'!$B$23:$F$45,3)</f>
        <v>730</v>
      </c>
      <c r="BZ160" s="15">
        <f>VLOOKUP($U160,'2020_CapacityTable'!$B$23:$F$45,4)</f>
        <v>1630</v>
      </c>
      <c r="CA160" s="15">
        <f>VLOOKUP($U160,'2020_CapacityTable'!$B$23:$F$45,5)</f>
        <v>1700</v>
      </c>
      <c r="CB160" s="15">
        <f t="shared" si="261"/>
        <v>0</v>
      </c>
      <c r="CC160" s="15">
        <f t="shared" si="262"/>
        <v>657</v>
      </c>
      <c r="CD160" s="15">
        <f t="shared" si="263"/>
        <v>1467</v>
      </c>
      <c r="CE160" s="15">
        <f t="shared" si="264"/>
        <v>1530</v>
      </c>
      <c r="CF160" s="3">
        <f t="shared" si="285"/>
        <v>1467</v>
      </c>
      <c r="CG160" s="2">
        <f>'State of the System - Sumter Co'!AH160</f>
        <v>451</v>
      </c>
      <c r="CH160" s="2">
        <f>'State of the System - Sumter Co'!AI160</f>
        <v>576</v>
      </c>
      <c r="CI160" s="11">
        <f t="shared" si="265"/>
        <v>0.39</v>
      </c>
      <c r="CJ160" s="2" t="str">
        <f t="shared" si="280"/>
        <v>C</v>
      </c>
      <c r="CK160" s="3">
        <f t="shared" si="266"/>
        <v>32854</v>
      </c>
      <c r="CL160" s="11">
        <f t="shared" si="267"/>
        <v>0.32</v>
      </c>
      <c r="CM160" s="11" t="str">
        <f t="shared" si="268"/>
        <v>NOT CONGESTED</v>
      </c>
      <c r="CN160" s="3">
        <f t="shared" si="269"/>
        <v>1652</v>
      </c>
      <c r="CO160" s="11">
        <f t="shared" si="270"/>
        <v>0.35</v>
      </c>
      <c r="CP160" s="156" t="str">
        <f t="shared" si="286"/>
        <v>NOT CONGESTED</v>
      </c>
      <c r="CQ160" s="2"/>
      <c r="CR160" s="42"/>
      <c r="CS160" s="11" t="str">
        <f t="shared" si="271"/>
        <v/>
      </c>
      <c r="CT160" s="11" t="str">
        <f t="shared" si="287"/>
        <v/>
      </c>
      <c r="CU160" s="11" t="str">
        <f t="shared" si="272"/>
        <v/>
      </c>
      <c r="CV160" s="11" t="str">
        <f t="shared" si="273"/>
        <v/>
      </c>
      <c r="CW160" s="2"/>
      <c r="CX160" s="1"/>
      <c r="CY160" s="145" t="str">
        <f t="shared" si="274"/>
        <v/>
      </c>
      <c r="CZ160" s="32" t="str">
        <f t="shared" si="275"/>
        <v/>
      </c>
    </row>
    <row r="161" spans="1:104" ht="12.75" customHeight="1">
      <c r="A161" s="1">
        <v>5000300</v>
      </c>
      <c r="B161" s="1">
        <f t="shared" si="276"/>
        <v>128</v>
      </c>
      <c r="C161" s="1">
        <v>143</v>
      </c>
      <c r="D161" s="1">
        <f>VLOOKUP(C161,'2022 counts'!$A$6:$B$304,2,FALSE)</f>
        <v>128</v>
      </c>
      <c r="E161" s="1"/>
      <c r="F161" s="2" t="s">
        <v>6</v>
      </c>
      <c r="G161" s="156">
        <v>35</v>
      </c>
      <c r="H161" s="11">
        <v>0.53973613698400003</v>
      </c>
      <c r="I161" s="10" t="s">
        <v>33</v>
      </c>
      <c r="J161" s="10" t="s">
        <v>18</v>
      </c>
      <c r="K161" s="10" t="s">
        <v>123</v>
      </c>
      <c r="L161" s="157">
        <v>4</v>
      </c>
      <c r="M161" s="1">
        <f>'State of the System - Sumter Co'!K161</f>
        <v>4</v>
      </c>
      <c r="N161" s="1" t="str">
        <f>IF('State of the System - Sumter Co'!L161="URBAN","U","R")</f>
        <v>U</v>
      </c>
      <c r="O161" s="1" t="str">
        <f>IF('State of the System - Sumter Co'!M161="UNDIVIDED","U",IF('State of the System - Sumter Co'!M161="DIVIDED","D","F"))</f>
        <v>D</v>
      </c>
      <c r="P161" s="1" t="str">
        <f>'State of the System - Sumter Co'!N161</f>
        <v>INTERRUPTED</v>
      </c>
      <c r="Q161" s="1" t="str">
        <f t="shared" si="234"/>
        <v/>
      </c>
      <c r="R161" s="1" t="str">
        <f>'State of the System - Sumter Co'!O161</f>
        <v/>
      </c>
      <c r="S161" s="1" t="str">
        <f t="shared" si="281"/>
        <v>-2</v>
      </c>
      <c r="T161" s="1" t="str">
        <f t="shared" si="236"/>
        <v>U-4D-2</v>
      </c>
      <c r="U161" s="1" t="str">
        <f t="shared" si="279"/>
        <v>U-4D-2</v>
      </c>
      <c r="V161" s="1" t="s">
        <v>10</v>
      </c>
      <c r="W161" s="1" t="s">
        <v>11</v>
      </c>
      <c r="X161" s="1" t="s">
        <v>21</v>
      </c>
      <c r="Y161" s="1" t="str">
        <f>'State of the System - Sumter Co'!R161</f>
        <v>D</v>
      </c>
      <c r="Z161" s="157" t="str">
        <f t="shared" si="237"/>
        <v>Other CMP Network Roadways</v>
      </c>
      <c r="AA161" s="15">
        <f>VLOOKUP($T161,'2020_CapacityTable'!$B$49:$F$71,2)</f>
        <v>0</v>
      </c>
      <c r="AB161" s="15">
        <f>VLOOKUP($T161,'2020_CapacityTable'!$B$49:$F$71,3)</f>
        <v>14500</v>
      </c>
      <c r="AC161" s="15">
        <f>VLOOKUP($T161,'2020_CapacityTable'!$B$49:$F$71,4)</f>
        <v>32400</v>
      </c>
      <c r="AD161" s="15">
        <f>VLOOKUP($T161,'2020_CapacityTable'!$B$49:$F$71,5)</f>
        <v>33800</v>
      </c>
      <c r="AE161" s="35">
        <f t="shared" si="288"/>
        <v>-0.1</v>
      </c>
      <c r="AF161" s="36" t="str">
        <f t="shared" si="238"/>
        <v/>
      </c>
      <c r="AG161" s="35" t="str">
        <f>IF(AND(L161=2,P161="interrupted",O161="U"),"LOOK","")</f>
        <v/>
      </c>
      <c r="AH161" s="35" t="str">
        <f t="shared" si="278"/>
        <v/>
      </c>
      <c r="AI161" s="35"/>
      <c r="AJ161" s="36"/>
      <c r="AK161" s="15">
        <f t="shared" si="239"/>
        <v>0</v>
      </c>
      <c r="AL161" s="15">
        <f t="shared" si="240"/>
        <v>13050</v>
      </c>
      <c r="AM161" s="15">
        <f t="shared" si="241"/>
        <v>29160</v>
      </c>
      <c r="AN161" s="15">
        <f t="shared" si="242"/>
        <v>30420</v>
      </c>
      <c r="AO161" s="3">
        <f t="shared" si="282"/>
        <v>29160</v>
      </c>
      <c r="AP161" s="138">
        <f>VLOOKUP($B161,'2022 counts'!$B$6:$R$304,17,FALSE)</f>
        <v>15151</v>
      </c>
      <c r="AQ161" s="11">
        <f t="shared" si="243"/>
        <v>0.52</v>
      </c>
      <c r="AR161" s="2" t="str">
        <f t="shared" si="244"/>
        <v>D</v>
      </c>
      <c r="AS161" s="26">
        <f t="shared" si="245"/>
        <v>2.98</v>
      </c>
      <c r="AT161" s="15">
        <f>VLOOKUP($T161,'2020_CapacityTable'!$B$23:$F$45,2)</f>
        <v>0</v>
      </c>
      <c r="AU161" s="15">
        <f>VLOOKUP($T161,'2020_CapacityTable'!$B$23:$F$45,3)</f>
        <v>730</v>
      </c>
      <c r="AV161" s="15">
        <f>VLOOKUP($T161,'2020_CapacityTable'!$B$23:$F$45,4)</f>
        <v>1630</v>
      </c>
      <c r="AW161" s="15">
        <f>VLOOKUP($T161,'2020_CapacityTable'!$B$23:$F$45,5)</f>
        <v>1700</v>
      </c>
      <c r="AX161" s="15">
        <f t="shared" si="246"/>
        <v>0</v>
      </c>
      <c r="AY161" s="15">
        <f t="shared" si="247"/>
        <v>657</v>
      </c>
      <c r="AZ161" s="15">
        <f t="shared" si="248"/>
        <v>1467</v>
      </c>
      <c r="BA161" s="15">
        <f t="shared" si="249"/>
        <v>1530</v>
      </c>
      <c r="BB161" s="3">
        <f t="shared" si="283"/>
        <v>1467</v>
      </c>
      <c r="BC161" s="138">
        <f>VLOOKUP($B161,'2022 counts'!$B$6:$AD$304,28,FALSE)</f>
        <v>703</v>
      </c>
      <c r="BD161" s="138">
        <f>VLOOKUP($B161,'2022 counts'!$B$6:$AD$304,29,FALSE)</f>
        <v>770</v>
      </c>
      <c r="BE161" s="11">
        <f t="shared" si="250"/>
        <v>0.52</v>
      </c>
      <c r="BF161" s="2" t="str">
        <f t="shared" si="251"/>
        <v>D</v>
      </c>
      <c r="BG161" s="135">
        <v>0</v>
      </c>
      <c r="BH161" s="135">
        <f>IF($AQ161="","",VLOOKUP($B161, '2022 counts'!$B$6:$T$304,19,FALSE))</f>
        <v>0</v>
      </c>
      <c r="BI161" s="38">
        <f t="shared" si="252"/>
        <v>0.01</v>
      </c>
      <c r="BJ161" s="39" t="str">
        <f t="shared" si="253"/>
        <v>minimum</v>
      </c>
      <c r="BK161" s="15">
        <f>VLOOKUP($U161,'2020_CapacityTable'!$B$49:$F$71,2)</f>
        <v>0</v>
      </c>
      <c r="BL161" s="15">
        <f>VLOOKUP($U161,'2020_CapacityTable'!$B$49:$F$71,3)</f>
        <v>14500</v>
      </c>
      <c r="BM161" s="15">
        <f>VLOOKUP($T161,'2020_CapacityTable'!$B$49:$F$71,4)</f>
        <v>32400</v>
      </c>
      <c r="BN161" s="15">
        <f>VLOOKUP($T161,'2020_CapacityTable'!$B$49:$F$71,5)</f>
        <v>33800</v>
      </c>
      <c r="BO161" s="15">
        <f t="shared" si="254"/>
        <v>0</v>
      </c>
      <c r="BP161" s="15">
        <f t="shared" si="255"/>
        <v>13050</v>
      </c>
      <c r="BQ161" s="15">
        <f t="shared" si="256"/>
        <v>29160</v>
      </c>
      <c r="BR161" s="15">
        <f t="shared" si="257"/>
        <v>30420</v>
      </c>
      <c r="BS161" s="3">
        <f t="shared" si="284"/>
        <v>29160</v>
      </c>
      <c r="BT161" s="40">
        <f>'State of the System - Sumter Co'!AD161</f>
        <v>15924</v>
      </c>
      <c r="BU161" s="41">
        <f t="shared" si="258"/>
        <v>0.55000000000000004</v>
      </c>
      <c r="BV161" s="2" t="str">
        <f t="shared" si="259"/>
        <v>D</v>
      </c>
      <c r="BW161" s="2">
        <f t="shared" si="260"/>
        <v>3.14</v>
      </c>
      <c r="BX161" s="15">
        <f>VLOOKUP($U161,'2020_CapacityTable'!$B$23:$F$45,2)</f>
        <v>0</v>
      </c>
      <c r="BY161" s="15">
        <f>VLOOKUP($U161,'2020_CapacityTable'!$B$23:$F$45,3)</f>
        <v>730</v>
      </c>
      <c r="BZ161" s="15">
        <f>VLOOKUP($U161,'2020_CapacityTable'!$B$23:$F$45,4)</f>
        <v>1630</v>
      </c>
      <c r="CA161" s="15">
        <f>VLOOKUP($U161,'2020_CapacityTable'!$B$23:$F$45,5)</f>
        <v>1700</v>
      </c>
      <c r="CB161" s="15">
        <f t="shared" si="261"/>
        <v>0</v>
      </c>
      <c r="CC161" s="15">
        <f t="shared" si="262"/>
        <v>657</v>
      </c>
      <c r="CD161" s="15">
        <f t="shared" si="263"/>
        <v>1467</v>
      </c>
      <c r="CE161" s="15">
        <f t="shared" si="264"/>
        <v>1530</v>
      </c>
      <c r="CF161" s="3">
        <f t="shared" si="285"/>
        <v>1467</v>
      </c>
      <c r="CG161" s="2">
        <f>'State of the System - Sumter Co'!AH161</f>
        <v>739</v>
      </c>
      <c r="CH161" s="2">
        <f>'State of the System - Sumter Co'!AI161</f>
        <v>809</v>
      </c>
      <c r="CI161" s="11">
        <f t="shared" si="265"/>
        <v>0.55000000000000004</v>
      </c>
      <c r="CJ161" s="2" t="str">
        <f t="shared" si="280"/>
        <v>D</v>
      </c>
      <c r="CK161" s="3">
        <f t="shared" si="266"/>
        <v>32854</v>
      </c>
      <c r="CL161" s="11">
        <f t="shared" si="267"/>
        <v>0.48</v>
      </c>
      <c r="CM161" s="11" t="str">
        <f t="shared" si="268"/>
        <v>NOT CONGESTED</v>
      </c>
      <c r="CN161" s="3">
        <f t="shared" si="269"/>
        <v>1652</v>
      </c>
      <c r="CO161" s="11">
        <f t="shared" si="270"/>
        <v>0.49</v>
      </c>
      <c r="CP161" s="156" t="str">
        <f t="shared" si="286"/>
        <v>NOT CONGESTED</v>
      </c>
      <c r="CQ161" s="3"/>
      <c r="CR161" s="3"/>
      <c r="CS161" s="11" t="str">
        <f t="shared" si="271"/>
        <v/>
      </c>
      <c r="CT161" s="11" t="str">
        <f t="shared" si="287"/>
        <v/>
      </c>
      <c r="CU161" s="11" t="str">
        <f t="shared" si="272"/>
        <v/>
      </c>
      <c r="CV161" s="11" t="str">
        <f t="shared" si="273"/>
        <v/>
      </c>
      <c r="CW161" s="2"/>
      <c r="CX161" s="1"/>
      <c r="CY161" s="145" t="str">
        <f t="shared" si="274"/>
        <v/>
      </c>
      <c r="CZ161" s="32" t="str">
        <f t="shared" si="275"/>
        <v/>
      </c>
    </row>
    <row r="162" spans="1:104" ht="12.75" customHeight="1">
      <c r="A162" s="1">
        <v>5000390</v>
      </c>
      <c r="B162" s="1">
        <f t="shared" si="276"/>
        <v>127</v>
      </c>
      <c r="C162" s="1">
        <v>140</v>
      </c>
      <c r="D162" s="1">
        <f>VLOOKUP(C162,'2022 counts'!$A$6:$B$304,2,FALSE)</f>
        <v>127</v>
      </c>
      <c r="E162" s="1"/>
      <c r="F162" s="2" t="s">
        <v>6</v>
      </c>
      <c r="G162" s="156">
        <v>35</v>
      </c>
      <c r="H162" s="11">
        <v>1.83343085188</v>
      </c>
      <c r="I162" s="10" t="s">
        <v>33</v>
      </c>
      <c r="J162" s="10" t="s">
        <v>123</v>
      </c>
      <c r="K162" s="10" t="s">
        <v>35</v>
      </c>
      <c r="L162" s="157">
        <v>4</v>
      </c>
      <c r="M162" s="1">
        <f>'State of the System - Sumter Co'!K162</f>
        <v>4</v>
      </c>
      <c r="N162" s="1" t="str">
        <f>IF('State of the System - Sumter Co'!L162="URBAN","U","R")</f>
        <v>U</v>
      </c>
      <c r="O162" s="1" t="str">
        <f>IF('State of the System - Sumter Co'!M162="UNDIVIDED","U",IF('State of the System - Sumter Co'!M162="DIVIDED","D","F"))</f>
        <v>D</v>
      </c>
      <c r="P162" s="1" t="str">
        <f>'State of the System - Sumter Co'!N162</f>
        <v>INTERRUPTED</v>
      </c>
      <c r="Q162" s="1" t="str">
        <f t="shared" si="234"/>
        <v/>
      </c>
      <c r="R162" s="1" t="str">
        <f>'State of the System - Sumter Co'!O162</f>
        <v/>
      </c>
      <c r="S162" s="1" t="str">
        <f t="shared" si="281"/>
        <v>-2</v>
      </c>
      <c r="T162" s="1" t="str">
        <f t="shared" si="236"/>
        <v>U-4D-2</v>
      </c>
      <c r="U162" s="1" t="str">
        <f t="shared" si="279"/>
        <v>U-4D-2</v>
      </c>
      <c r="V162" s="1" t="s">
        <v>10</v>
      </c>
      <c r="W162" s="1" t="s">
        <v>11</v>
      </c>
      <c r="X162" s="1" t="s">
        <v>21</v>
      </c>
      <c r="Y162" s="1" t="str">
        <f>'State of the System - Sumter Co'!R162</f>
        <v>D</v>
      </c>
      <c r="Z162" s="157" t="str">
        <f t="shared" si="237"/>
        <v>Other CMP Network Roadways</v>
      </c>
      <c r="AA162" s="15">
        <f>VLOOKUP($T162,'2020_CapacityTable'!$B$49:$F$71,2)</f>
        <v>0</v>
      </c>
      <c r="AB162" s="15">
        <f>VLOOKUP($T162,'2020_CapacityTable'!$B$49:$F$71,3)</f>
        <v>14500</v>
      </c>
      <c r="AC162" s="15">
        <f>VLOOKUP($T162,'2020_CapacityTable'!$B$49:$F$71,4)</f>
        <v>32400</v>
      </c>
      <c r="AD162" s="15">
        <f>VLOOKUP($T162,'2020_CapacityTable'!$B$49:$F$71,5)</f>
        <v>33800</v>
      </c>
      <c r="AE162" s="35">
        <f t="shared" si="288"/>
        <v>-0.1</v>
      </c>
      <c r="AF162" s="36" t="str">
        <f t="shared" si="238"/>
        <v/>
      </c>
      <c r="AG162" s="35" t="str">
        <f>IF(AND(L162=2,P162="interrupted",O162="U"),"LOOK","")</f>
        <v/>
      </c>
      <c r="AH162" s="35" t="str">
        <f t="shared" si="278"/>
        <v/>
      </c>
      <c r="AI162" s="35"/>
      <c r="AJ162" s="36"/>
      <c r="AK162" s="15">
        <f t="shared" si="239"/>
        <v>0</v>
      </c>
      <c r="AL162" s="15">
        <f t="shared" si="240"/>
        <v>13050</v>
      </c>
      <c r="AM162" s="15">
        <f t="shared" si="241"/>
        <v>29160</v>
      </c>
      <c r="AN162" s="15">
        <f t="shared" si="242"/>
        <v>30420</v>
      </c>
      <c r="AO162" s="3">
        <f t="shared" si="282"/>
        <v>29160</v>
      </c>
      <c r="AP162" s="138">
        <f>VLOOKUP($B162,'2022 counts'!$B$6:$R$304,17,FALSE)</f>
        <v>16992</v>
      </c>
      <c r="AQ162" s="11">
        <f t="shared" si="243"/>
        <v>0.57999999999999996</v>
      </c>
      <c r="AR162" s="2" t="str">
        <f t="shared" si="244"/>
        <v>D</v>
      </c>
      <c r="AS162" s="26">
        <f t="shared" si="245"/>
        <v>11.37</v>
      </c>
      <c r="AT162" s="15">
        <f>VLOOKUP($T162,'2020_CapacityTable'!$B$23:$F$45,2)</f>
        <v>0</v>
      </c>
      <c r="AU162" s="15">
        <f>VLOOKUP($T162,'2020_CapacityTable'!$B$23:$F$45,3)</f>
        <v>730</v>
      </c>
      <c r="AV162" s="15">
        <f>VLOOKUP($T162,'2020_CapacityTable'!$B$23:$F$45,4)</f>
        <v>1630</v>
      </c>
      <c r="AW162" s="15">
        <f>VLOOKUP($T162,'2020_CapacityTable'!$B$23:$F$45,5)</f>
        <v>1700</v>
      </c>
      <c r="AX162" s="15">
        <f t="shared" si="246"/>
        <v>0</v>
      </c>
      <c r="AY162" s="15">
        <f t="shared" si="247"/>
        <v>657</v>
      </c>
      <c r="AZ162" s="15">
        <f t="shared" si="248"/>
        <v>1467</v>
      </c>
      <c r="BA162" s="15">
        <f t="shared" si="249"/>
        <v>1530</v>
      </c>
      <c r="BB162" s="3">
        <f t="shared" si="283"/>
        <v>1467</v>
      </c>
      <c r="BC162" s="138">
        <f>VLOOKUP($B162,'2022 counts'!$B$6:$AD$304,28,FALSE)</f>
        <v>807</v>
      </c>
      <c r="BD162" s="138">
        <f>VLOOKUP($B162,'2022 counts'!$B$6:$AD$304,29,FALSE)</f>
        <v>827</v>
      </c>
      <c r="BE162" s="11">
        <f t="shared" si="250"/>
        <v>0.56000000000000005</v>
      </c>
      <c r="BF162" s="2" t="str">
        <f t="shared" si="251"/>
        <v>D</v>
      </c>
      <c r="BG162" s="135">
        <v>0</v>
      </c>
      <c r="BH162" s="135">
        <f>IF($AQ162="","",VLOOKUP($B162, '2022 counts'!$B$6:$T$304,19,FALSE))</f>
        <v>0</v>
      </c>
      <c r="BI162" s="38">
        <f t="shared" si="252"/>
        <v>0.01</v>
      </c>
      <c r="BJ162" s="39" t="str">
        <f t="shared" si="253"/>
        <v>minimum</v>
      </c>
      <c r="BK162" s="15">
        <f>VLOOKUP($U162,'2020_CapacityTable'!$B$49:$F$71,2)</f>
        <v>0</v>
      </c>
      <c r="BL162" s="15">
        <f>VLOOKUP($U162,'2020_CapacityTable'!$B$49:$F$71,3)</f>
        <v>14500</v>
      </c>
      <c r="BM162" s="15">
        <f>VLOOKUP($T162,'2020_CapacityTable'!$B$49:$F$71,4)</f>
        <v>32400</v>
      </c>
      <c r="BN162" s="15">
        <f>VLOOKUP($T162,'2020_CapacityTable'!$B$49:$F$71,5)</f>
        <v>33800</v>
      </c>
      <c r="BO162" s="15">
        <f t="shared" si="254"/>
        <v>0</v>
      </c>
      <c r="BP162" s="15">
        <f t="shared" si="255"/>
        <v>13050</v>
      </c>
      <c r="BQ162" s="15">
        <f t="shared" si="256"/>
        <v>29160</v>
      </c>
      <c r="BR162" s="15">
        <f t="shared" si="257"/>
        <v>30420</v>
      </c>
      <c r="BS162" s="3">
        <f t="shared" si="284"/>
        <v>29160</v>
      </c>
      <c r="BT162" s="40">
        <f>'State of the System - Sumter Co'!AD162</f>
        <v>17859</v>
      </c>
      <c r="BU162" s="41">
        <f t="shared" si="258"/>
        <v>0.61</v>
      </c>
      <c r="BV162" s="2" t="str">
        <f t="shared" si="259"/>
        <v>D</v>
      </c>
      <c r="BW162" s="2">
        <f t="shared" si="260"/>
        <v>11.95</v>
      </c>
      <c r="BX162" s="15">
        <f>VLOOKUP($U162,'2020_CapacityTable'!$B$23:$F$45,2)</f>
        <v>0</v>
      </c>
      <c r="BY162" s="15">
        <f>VLOOKUP($U162,'2020_CapacityTable'!$B$23:$F$45,3)</f>
        <v>730</v>
      </c>
      <c r="BZ162" s="15">
        <f>VLOOKUP($U162,'2020_CapacityTable'!$B$23:$F$45,4)</f>
        <v>1630</v>
      </c>
      <c r="CA162" s="15">
        <f>VLOOKUP($U162,'2020_CapacityTable'!$B$23:$F$45,5)</f>
        <v>1700</v>
      </c>
      <c r="CB162" s="15">
        <f t="shared" si="261"/>
        <v>0</v>
      </c>
      <c r="CC162" s="15">
        <f t="shared" si="262"/>
        <v>657</v>
      </c>
      <c r="CD162" s="15">
        <f t="shared" si="263"/>
        <v>1467</v>
      </c>
      <c r="CE162" s="15">
        <f t="shared" si="264"/>
        <v>1530</v>
      </c>
      <c r="CF162" s="3">
        <f t="shared" si="285"/>
        <v>1467</v>
      </c>
      <c r="CG162" s="2">
        <f>'State of the System - Sumter Co'!AH162</f>
        <v>848</v>
      </c>
      <c r="CH162" s="2">
        <f>'State of the System - Sumter Co'!AI162</f>
        <v>869</v>
      </c>
      <c r="CI162" s="11">
        <f t="shared" si="265"/>
        <v>0.59</v>
      </c>
      <c r="CJ162" s="2" t="str">
        <f t="shared" si="280"/>
        <v>D</v>
      </c>
      <c r="CK162" s="3">
        <f t="shared" si="266"/>
        <v>32854</v>
      </c>
      <c r="CL162" s="11">
        <f t="shared" si="267"/>
        <v>0.54</v>
      </c>
      <c r="CM162" s="11" t="str">
        <f t="shared" si="268"/>
        <v>NOT CONGESTED</v>
      </c>
      <c r="CN162" s="3">
        <f t="shared" si="269"/>
        <v>1652</v>
      </c>
      <c r="CO162" s="11">
        <f t="shared" si="270"/>
        <v>0.53</v>
      </c>
      <c r="CP162" s="156" t="str">
        <f t="shared" si="286"/>
        <v>NOT CONGESTED</v>
      </c>
      <c r="CQ162" s="3"/>
      <c r="CR162" s="3"/>
      <c r="CS162" s="11" t="str">
        <f t="shared" si="271"/>
        <v/>
      </c>
      <c r="CT162" s="11" t="str">
        <f t="shared" si="287"/>
        <v/>
      </c>
      <c r="CU162" s="11" t="str">
        <f t="shared" si="272"/>
        <v/>
      </c>
      <c r="CV162" s="11" t="str">
        <f t="shared" si="273"/>
        <v/>
      </c>
      <c r="CW162" s="2"/>
      <c r="CX162" s="1"/>
      <c r="CY162" s="145" t="str">
        <f t="shared" si="274"/>
        <v/>
      </c>
      <c r="CZ162" s="32" t="str">
        <f t="shared" si="275"/>
        <v/>
      </c>
    </row>
    <row r="163" spans="1:104" ht="12.75" customHeight="1">
      <c r="A163" s="1">
        <v>5000420</v>
      </c>
      <c r="B163" s="1">
        <f t="shared" si="276"/>
        <v>138</v>
      </c>
      <c r="C163" s="1">
        <v>128</v>
      </c>
      <c r="D163" s="1">
        <f>VLOOKUP(C163,'2022 counts'!$A$6:$B$304,2,FALSE)</f>
        <v>138</v>
      </c>
      <c r="E163" s="1"/>
      <c r="F163" s="2" t="s">
        <v>6</v>
      </c>
      <c r="G163" s="156">
        <v>35</v>
      </c>
      <c r="H163" s="11">
        <v>1.8240194950399999</v>
      </c>
      <c r="I163" s="10" t="s">
        <v>22</v>
      </c>
      <c r="J163" s="10" t="s">
        <v>126</v>
      </c>
      <c r="K163" s="10" t="s">
        <v>33</v>
      </c>
      <c r="L163" s="157">
        <v>2</v>
      </c>
      <c r="M163" s="1">
        <f>'State of the System - Sumter Co'!K163</f>
        <v>2</v>
      </c>
      <c r="N163" s="1" t="str">
        <f>IF('State of the System - Sumter Co'!L163="URBAN","U","R")</f>
        <v>U</v>
      </c>
      <c r="O163" s="1" t="str">
        <f>IF('State of the System - Sumter Co'!M163="UNDIVIDED","U",IF('State of the System - Sumter Co'!M163="DIVIDED","D","F"))</f>
        <v>U</v>
      </c>
      <c r="P163" s="1" t="str">
        <f>'State of the System - Sumter Co'!N163</f>
        <v>INTERRUPTED</v>
      </c>
      <c r="Q163" s="1" t="str">
        <f t="shared" si="234"/>
        <v/>
      </c>
      <c r="R163" s="1" t="str">
        <f>'State of the System - Sumter Co'!O163</f>
        <v/>
      </c>
      <c r="S163" s="1" t="str">
        <f t="shared" si="281"/>
        <v>-2</v>
      </c>
      <c r="T163" s="1" t="str">
        <f t="shared" si="236"/>
        <v>U-2U-2</v>
      </c>
      <c r="U163" s="1" t="str">
        <f t="shared" si="279"/>
        <v>U-2U-2</v>
      </c>
      <c r="V163" s="1" t="s">
        <v>10</v>
      </c>
      <c r="W163" s="1" t="s">
        <v>11</v>
      </c>
      <c r="X163" s="1" t="s">
        <v>12</v>
      </c>
      <c r="Y163" s="1" t="str">
        <f>'State of the System - Sumter Co'!R163</f>
        <v>F</v>
      </c>
      <c r="Z163" s="157" t="str">
        <f t="shared" si="237"/>
        <v>Other CMP Network Roadways</v>
      </c>
      <c r="AA163" s="15">
        <f>VLOOKUP($T163,'2020_CapacityTable'!$B$49:$F$71,2)</f>
        <v>0</v>
      </c>
      <c r="AB163" s="15">
        <f>VLOOKUP($T163,'2020_CapacityTable'!$B$49:$F$71,3)</f>
        <v>7300</v>
      </c>
      <c r="AC163" s="15">
        <f>VLOOKUP($T163,'2020_CapacityTable'!$B$49:$F$71,4)</f>
        <v>14800</v>
      </c>
      <c r="AD163" s="15">
        <f>VLOOKUP($T163,'2020_CapacityTable'!$B$49:$F$71,5)</f>
        <v>15600</v>
      </c>
      <c r="AE163" s="35">
        <f t="shared" si="288"/>
        <v>-0.1</v>
      </c>
      <c r="AF163" s="36" t="str">
        <f t="shared" si="238"/>
        <v/>
      </c>
      <c r="AG163" s="35">
        <v>-0.2</v>
      </c>
      <c r="AH163" s="35" t="str">
        <f t="shared" si="278"/>
        <v/>
      </c>
      <c r="AI163" s="35"/>
      <c r="AJ163" s="36"/>
      <c r="AK163" s="15">
        <f t="shared" si="239"/>
        <v>0</v>
      </c>
      <c r="AL163" s="15">
        <f t="shared" si="240"/>
        <v>5110</v>
      </c>
      <c r="AM163" s="15">
        <f t="shared" si="241"/>
        <v>10360</v>
      </c>
      <c r="AN163" s="15">
        <f t="shared" si="242"/>
        <v>10920</v>
      </c>
      <c r="AO163" s="248">
        <v>1000000</v>
      </c>
      <c r="AP163" s="138">
        <f>VLOOKUP($B163,'2022 counts'!$B$6:$R$304,17,FALSE)</f>
        <v>10260</v>
      </c>
      <c r="AQ163" s="11">
        <f t="shared" si="243"/>
        <v>0.01</v>
      </c>
      <c r="AR163" s="2" t="str">
        <f t="shared" si="244"/>
        <v>D</v>
      </c>
      <c r="AS163" s="26">
        <f t="shared" si="245"/>
        <v>6.83</v>
      </c>
      <c r="AT163" s="15">
        <f>VLOOKUP($T163,'2020_CapacityTable'!$B$23:$F$45,2)</f>
        <v>0</v>
      </c>
      <c r="AU163" s="15">
        <f>VLOOKUP($T163,'2020_CapacityTable'!$B$23:$F$45,3)</f>
        <v>370</v>
      </c>
      <c r="AV163" s="15">
        <f>VLOOKUP($T163,'2020_CapacityTable'!$B$23:$F$45,4)</f>
        <v>750</v>
      </c>
      <c r="AW163" s="15">
        <f>VLOOKUP($T163,'2020_CapacityTable'!$B$23:$F$45,5)</f>
        <v>800</v>
      </c>
      <c r="AX163" s="15">
        <f t="shared" si="246"/>
        <v>0</v>
      </c>
      <c r="AY163" s="15">
        <f t="shared" si="247"/>
        <v>259</v>
      </c>
      <c r="AZ163" s="15">
        <f t="shared" si="248"/>
        <v>525</v>
      </c>
      <c r="BA163" s="15">
        <f t="shared" si="249"/>
        <v>560</v>
      </c>
      <c r="BB163" s="248">
        <v>1000000</v>
      </c>
      <c r="BC163" s="138">
        <f>VLOOKUP($B163,'2022 counts'!$B$6:$AD$304,28,FALSE)</f>
        <v>472</v>
      </c>
      <c r="BD163" s="138">
        <f>VLOOKUP($B163,'2022 counts'!$B$6:$AD$304,29,FALSE)</f>
        <v>502</v>
      </c>
      <c r="BE163" s="11">
        <f t="shared" si="250"/>
        <v>0</v>
      </c>
      <c r="BF163" s="2" t="str">
        <f t="shared" si="251"/>
        <v>D</v>
      </c>
      <c r="BG163" s="135">
        <v>0</v>
      </c>
      <c r="BH163" s="135">
        <f>IF($AQ163="","",VLOOKUP($B163, '2022 counts'!$B$6:$T$304,19,FALSE))</f>
        <v>0</v>
      </c>
      <c r="BI163" s="38">
        <f t="shared" si="252"/>
        <v>0.01</v>
      </c>
      <c r="BJ163" s="39" t="str">
        <f t="shared" si="253"/>
        <v>minimum</v>
      </c>
      <c r="BK163" s="15">
        <f>VLOOKUP($U163,'2020_CapacityTable'!$B$49:$F$71,2)</f>
        <v>0</v>
      </c>
      <c r="BL163" s="15">
        <f>VLOOKUP($U163,'2020_CapacityTable'!$B$49:$F$71,3)</f>
        <v>7300</v>
      </c>
      <c r="BM163" s="15">
        <f>VLOOKUP($T163,'2020_CapacityTable'!$B$49:$F$71,4)</f>
        <v>14800</v>
      </c>
      <c r="BN163" s="15">
        <f>VLOOKUP($T163,'2020_CapacityTable'!$B$49:$F$71,5)</f>
        <v>15600</v>
      </c>
      <c r="BO163" s="15">
        <f t="shared" si="254"/>
        <v>0</v>
      </c>
      <c r="BP163" s="15">
        <f t="shared" si="255"/>
        <v>5110</v>
      </c>
      <c r="BQ163" s="15">
        <f t="shared" si="256"/>
        <v>10360</v>
      </c>
      <c r="BR163" s="15">
        <f t="shared" si="257"/>
        <v>10920</v>
      </c>
      <c r="BS163" s="248">
        <v>1000000</v>
      </c>
      <c r="BT163" s="40">
        <f>'State of the System - Sumter Co'!AD163</f>
        <v>10783</v>
      </c>
      <c r="BU163" s="41">
        <f t="shared" si="258"/>
        <v>0.01</v>
      </c>
      <c r="BV163" s="2" t="str">
        <f t="shared" si="259"/>
        <v>E</v>
      </c>
      <c r="BW163" s="2">
        <f t="shared" si="260"/>
        <v>7.18</v>
      </c>
      <c r="BX163" s="15">
        <f>VLOOKUP($U163,'2020_CapacityTable'!$B$23:$F$45,2)</f>
        <v>0</v>
      </c>
      <c r="BY163" s="15">
        <f>VLOOKUP($U163,'2020_CapacityTable'!$B$23:$F$45,3)</f>
        <v>370</v>
      </c>
      <c r="BZ163" s="15">
        <f>VLOOKUP($U163,'2020_CapacityTable'!$B$23:$F$45,4)</f>
        <v>750</v>
      </c>
      <c r="CA163" s="15">
        <f>VLOOKUP($U163,'2020_CapacityTable'!$B$23:$F$45,5)</f>
        <v>800</v>
      </c>
      <c r="CB163" s="15">
        <f t="shared" si="261"/>
        <v>0</v>
      </c>
      <c r="CC163" s="15">
        <f t="shared" si="262"/>
        <v>259</v>
      </c>
      <c r="CD163" s="15">
        <f t="shared" si="263"/>
        <v>525</v>
      </c>
      <c r="CE163" s="15">
        <f t="shared" si="264"/>
        <v>560</v>
      </c>
      <c r="CF163" s="248">
        <v>1000000</v>
      </c>
      <c r="CG163" s="2">
        <f>'State of the System - Sumter Co'!AH163</f>
        <v>496</v>
      </c>
      <c r="CH163" s="2">
        <f>'State of the System - Sumter Co'!AI163</f>
        <v>528</v>
      </c>
      <c r="CI163" s="11">
        <f t="shared" si="265"/>
        <v>0</v>
      </c>
      <c r="CJ163" s="2" t="str">
        <f>IF(OR(CI163="",CI163="-"),"",IF(MAX(CG163,CH163)&lt;=$AX163,"B",IF(MAX(CG163,CH163)&lt;=$AY163,"C",IF(MAX(CG163,CH163)&lt;=$AZ163,"D",IF(MAX(CG163,CH163)&lt;=$BA163,"E","F")))))</f>
        <v>E</v>
      </c>
      <c r="CK163" s="3">
        <f t="shared" si="266"/>
        <v>11794</v>
      </c>
      <c r="CL163" s="11">
        <f t="shared" si="267"/>
        <v>0.91</v>
      </c>
      <c r="CM163" s="11" t="str">
        <f t="shared" si="268"/>
        <v>NOT CONGESTED</v>
      </c>
      <c r="CN163" s="3">
        <f t="shared" si="269"/>
        <v>605</v>
      </c>
      <c r="CO163" s="11">
        <f t="shared" si="270"/>
        <v>0.87</v>
      </c>
      <c r="CP163" s="156" t="s">
        <v>681</v>
      </c>
      <c r="CQ163" s="2" t="s">
        <v>556</v>
      </c>
      <c r="CR163" s="43">
        <v>1</v>
      </c>
      <c r="CS163" s="11" t="str">
        <f t="shared" si="271"/>
        <v/>
      </c>
      <c r="CT163" s="11">
        <v>0</v>
      </c>
      <c r="CU163" s="11" t="str">
        <f t="shared" si="272"/>
        <v/>
      </c>
      <c r="CV163" s="11" t="str">
        <f t="shared" si="273"/>
        <v/>
      </c>
      <c r="CW163" s="2"/>
      <c r="CX163" s="1"/>
      <c r="CY163" s="145" t="str">
        <f t="shared" si="274"/>
        <v/>
      </c>
      <c r="CZ163" s="32" t="str">
        <f t="shared" si="275"/>
        <v/>
      </c>
    </row>
    <row r="164" spans="1:104" ht="12.75" customHeight="1">
      <c r="A164" s="1">
        <v>5000430</v>
      </c>
      <c r="B164" s="1">
        <f t="shared" si="276"/>
        <v>137</v>
      </c>
      <c r="C164" s="1">
        <v>119</v>
      </c>
      <c r="D164" s="1">
        <f>VLOOKUP(C164,'2022 counts'!$A$6:$B$304,2,FALSE)</f>
        <v>137</v>
      </c>
      <c r="E164" s="1"/>
      <c r="F164" s="2" t="s">
        <v>6</v>
      </c>
      <c r="G164" s="156">
        <v>35</v>
      </c>
      <c r="H164" s="11">
        <v>0.99711083068999995</v>
      </c>
      <c r="I164" s="10" t="s">
        <v>22</v>
      </c>
      <c r="J164" s="10" t="s">
        <v>716</v>
      </c>
      <c r="K164" s="10" t="s">
        <v>126</v>
      </c>
      <c r="L164" s="157">
        <v>2</v>
      </c>
      <c r="M164" s="1">
        <f>'State of the System - Sumter Co'!K164</f>
        <v>2</v>
      </c>
      <c r="N164" s="1" t="str">
        <f>IF('State of the System - Sumter Co'!L164="URBAN","U","R")</f>
        <v>U</v>
      </c>
      <c r="O164" s="1" t="str">
        <f>IF('State of the System - Sumter Co'!M164="UNDIVIDED","U",IF('State of the System - Sumter Co'!M164="DIVIDED","D","F"))</f>
        <v>U</v>
      </c>
      <c r="P164" s="1" t="str">
        <f>'State of the System - Sumter Co'!N164</f>
        <v>INTERRUPTED</v>
      </c>
      <c r="Q164" s="1" t="str">
        <f t="shared" si="234"/>
        <v/>
      </c>
      <c r="R164" s="1" t="str">
        <f>'State of the System - Sumter Co'!O164</f>
        <v/>
      </c>
      <c r="S164" s="1" t="str">
        <f t="shared" si="281"/>
        <v>-2</v>
      </c>
      <c r="T164" s="1" t="str">
        <f t="shared" si="236"/>
        <v>U-2U-2</v>
      </c>
      <c r="U164" s="1" t="str">
        <f t="shared" si="279"/>
        <v>U-2U-2</v>
      </c>
      <c r="V164" s="1" t="s">
        <v>10</v>
      </c>
      <c r="W164" s="1" t="s">
        <v>11</v>
      </c>
      <c r="X164" s="1" t="s">
        <v>12</v>
      </c>
      <c r="Y164" s="1" t="str">
        <f>'State of the System - Sumter Co'!R164</f>
        <v>F</v>
      </c>
      <c r="Z164" s="157" t="str">
        <f t="shared" si="237"/>
        <v>Other CMP Network Roadways</v>
      </c>
      <c r="AA164" s="15">
        <f>VLOOKUP($T164,'2020_CapacityTable'!$B$49:$F$71,2)</f>
        <v>0</v>
      </c>
      <c r="AB164" s="15">
        <f>VLOOKUP($T164,'2020_CapacityTable'!$B$49:$F$71,3)</f>
        <v>7300</v>
      </c>
      <c r="AC164" s="15">
        <f>VLOOKUP($T164,'2020_CapacityTable'!$B$49:$F$71,4)</f>
        <v>14800</v>
      </c>
      <c r="AD164" s="15">
        <f>VLOOKUP($T164,'2020_CapacityTable'!$B$49:$F$71,5)</f>
        <v>15600</v>
      </c>
      <c r="AE164" s="35">
        <f t="shared" si="288"/>
        <v>-0.1</v>
      </c>
      <c r="AF164" s="36" t="str">
        <f t="shared" si="238"/>
        <v/>
      </c>
      <c r="AG164" s="35"/>
      <c r="AH164" s="35" t="str">
        <f t="shared" si="278"/>
        <v/>
      </c>
      <c r="AI164" s="35"/>
      <c r="AJ164" s="36"/>
      <c r="AK164" s="15">
        <f t="shared" si="239"/>
        <v>0</v>
      </c>
      <c r="AL164" s="15">
        <f t="shared" si="240"/>
        <v>6570</v>
      </c>
      <c r="AM164" s="15">
        <f t="shared" si="241"/>
        <v>13320</v>
      </c>
      <c r="AN164" s="15">
        <f t="shared" si="242"/>
        <v>14040</v>
      </c>
      <c r="AO164" s="248">
        <v>1000000</v>
      </c>
      <c r="AP164" s="138">
        <f>VLOOKUP($B164,'2022 counts'!$B$6:$R$304,17,FALSE)</f>
        <v>16966</v>
      </c>
      <c r="AQ164" s="11">
        <f t="shared" si="243"/>
        <v>0.02</v>
      </c>
      <c r="AR164" s="2" t="str">
        <f t="shared" si="244"/>
        <v>F</v>
      </c>
      <c r="AS164" s="26">
        <f t="shared" si="245"/>
        <v>6.17</v>
      </c>
      <c r="AT164" s="15">
        <f>VLOOKUP($T164,'2020_CapacityTable'!$B$23:$F$45,2)</f>
        <v>0</v>
      </c>
      <c r="AU164" s="15">
        <f>VLOOKUP($T164,'2020_CapacityTable'!$B$23:$F$45,3)</f>
        <v>370</v>
      </c>
      <c r="AV164" s="15">
        <f>VLOOKUP($T164,'2020_CapacityTable'!$B$23:$F$45,4)</f>
        <v>750</v>
      </c>
      <c r="AW164" s="15">
        <f>VLOOKUP($T164,'2020_CapacityTable'!$B$23:$F$45,5)</f>
        <v>800</v>
      </c>
      <c r="AX164" s="15">
        <f t="shared" si="246"/>
        <v>0</v>
      </c>
      <c r="AY164" s="15">
        <f t="shared" si="247"/>
        <v>333</v>
      </c>
      <c r="AZ164" s="15">
        <f t="shared" si="248"/>
        <v>675</v>
      </c>
      <c r="BA164" s="15">
        <f t="shared" si="249"/>
        <v>720</v>
      </c>
      <c r="BB164" s="248">
        <v>1000000</v>
      </c>
      <c r="BC164" s="138">
        <f>VLOOKUP($B164,'2022 counts'!$B$6:$AD$304,28,FALSE)</f>
        <v>782</v>
      </c>
      <c r="BD164" s="138">
        <f>VLOOKUP($B164,'2022 counts'!$B$6:$AD$304,29,FALSE)</f>
        <v>827</v>
      </c>
      <c r="BE164" s="11">
        <f t="shared" si="250"/>
        <v>0</v>
      </c>
      <c r="BF164" s="2" t="str">
        <f t="shared" si="251"/>
        <v>F</v>
      </c>
      <c r="BG164" s="135">
        <v>0</v>
      </c>
      <c r="BH164" s="135">
        <f>IF($AQ164="","",VLOOKUP($B164, '2022 counts'!$B$6:$T$304,19,FALSE))</f>
        <v>0</v>
      </c>
      <c r="BI164" s="38">
        <f t="shared" si="252"/>
        <v>0.01</v>
      </c>
      <c r="BJ164" s="39" t="str">
        <f t="shared" si="253"/>
        <v>minimum</v>
      </c>
      <c r="BK164" s="15">
        <f>VLOOKUP($U164,'2020_CapacityTable'!$B$49:$F$71,2)</f>
        <v>0</v>
      </c>
      <c r="BL164" s="15">
        <f>VLOOKUP($U164,'2020_CapacityTable'!$B$49:$F$71,3)</f>
        <v>7300</v>
      </c>
      <c r="BM164" s="15">
        <f>VLOOKUP($T164,'2020_CapacityTable'!$B$49:$F$71,4)</f>
        <v>14800</v>
      </c>
      <c r="BN164" s="15">
        <f>VLOOKUP($T164,'2020_CapacityTable'!$B$49:$F$71,5)</f>
        <v>15600</v>
      </c>
      <c r="BO164" s="15">
        <f t="shared" si="254"/>
        <v>0</v>
      </c>
      <c r="BP164" s="15">
        <f t="shared" si="255"/>
        <v>6570</v>
      </c>
      <c r="BQ164" s="15">
        <f t="shared" si="256"/>
        <v>13320</v>
      </c>
      <c r="BR164" s="15">
        <f t="shared" si="257"/>
        <v>14040</v>
      </c>
      <c r="BS164" s="248">
        <v>1000000</v>
      </c>
      <c r="BT164" s="40">
        <f>'State of the System - Sumter Co'!AD164</f>
        <v>17831</v>
      </c>
      <c r="BU164" s="41">
        <f t="shared" si="258"/>
        <v>0.02</v>
      </c>
      <c r="BV164" s="2" t="str">
        <f t="shared" si="259"/>
        <v>F</v>
      </c>
      <c r="BW164" s="2">
        <f t="shared" si="260"/>
        <v>6.49</v>
      </c>
      <c r="BX164" s="15">
        <f>VLOOKUP($U164,'2020_CapacityTable'!$B$23:$F$45,2)</f>
        <v>0</v>
      </c>
      <c r="BY164" s="15">
        <f>VLOOKUP($U164,'2020_CapacityTable'!$B$23:$F$45,3)</f>
        <v>370</v>
      </c>
      <c r="BZ164" s="15">
        <f>VLOOKUP($U164,'2020_CapacityTable'!$B$23:$F$45,4)</f>
        <v>750</v>
      </c>
      <c r="CA164" s="15">
        <f>VLOOKUP($U164,'2020_CapacityTable'!$B$23:$F$45,5)</f>
        <v>800</v>
      </c>
      <c r="CB164" s="15">
        <f t="shared" si="261"/>
        <v>0</v>
      </c>
      <c r="CC164" s="15">
        <f t="shared" si="262"/>
        <v>333</v>
      </c>
      <c r="CD164" s="15">
        <f t="shared" si="263"/>
        <v>675</v>
      </c>
      <c r="CE164" s="15">
        <f t="shared" si="264"/>
        <v>720</v>
      </c>
      <c r="CF164" s="248">
        <v>1000000</v>
      </c>
      <c r="CG164" s="2">
        <f>'State of the System - Sumter Co'!AH164</f>
        <v>822</v>
      </c>
      <c r="CH164" s="2">
        <f>'State of the System - Sumter Co'!AI164</f>
        <v>869</v>
      </c>
      <c r="CI164" s="11">
        <f t="shared" si="265"/>
        <v>0</v>
      </c>
      <c r="CJ164" s="2" t="str">
        <f>IF(OR(CI164="",CI164="-"),"",IF(MAX(CG164,CH164)&lt;=$AX164,"B",IF(MAX(CG164,CH164)&lt;=$AY164,"C",IF(MAX(CG164,CH164)&lt;=$AZ164,"D",IF(MAX(CG164,CH164)&lt;=$BA164,"E","F")))))</f>
        <v>F</v>
      </c>
      <c r="CK164" s="3">
        <f t="shared" si="266"/>
        <v>15163</v>
      </c>
      <c r="CL164" s="11">
        <f t="shared" si="267"/>
        <v>1.18</v>
      </c>
      <c r="CM164" s="11" t="str">
        <f t="shared" si="268"/>
        <v>EXTREMELY (2020)</v>
      </c>
      <c r="CN164" s="3">
        <f>ROUND(1.08*BA164,0)</f>
        <v>778</v>
      </c>
      <c r="CO164" s="11">
        <f>IF(OR(AND(CG164="-",CH164="-"),AND(CG164="",CH164="")),"",ROUND(MAX(CG164,CH164)/CN164,2))</f>
        <v>1.1200000000000001</v>
      </c>
      <c r="CP164" s="156" t="str">
        <f>IF(OR(CO164="",CO164=0),"",IF(OR(BC164&gt;CN164,BD164&gt;CN164),"EXTREMELY (2020)",IF(CO164&gt;1,"EXTREMELY (2025)",IF(BE164&gt;1,"CONGESTED (2020)",IF(CI164&gt;1,"CONGESTED (2025)",IF(OR(BE164&gt;=0.9,CI164&gt;=0.9),"APPROACHING CONGESTION","NOT CONGESTED"))))))</f>
        <v>EXTREMELY (2020)</v>
      </c>
      <c r="CQ164" s="2" t="s">
        <v>556</v>
      </c>
      <c r="CR164" s="43">
        <v>1</v>
      </c>
      <c r="CS164" s="11" t="str">
        <f t="shared" si="271"/>
        <v/>
      </c>
      <c r="CT164" s="11">
        <v>0</v>
      </c>
      <c r="CU164" s="11">
        <f t="shared" si="272"/>
        <v>1</v>
      </c>
      <c r="CV164" s="11">
        <f t="shared" si="273"/>
        <v>1</v>
      </c>
      <c r="CW164" s="2"/>
      <c r="CX164" s="1"/>
      <c r="CY164" s="145" t="str">
        <f t="shared" si="274"/>
        <v/>
      </c>
      <c r="CZ164" s="32" t="str">
        <f t="shared" si="275"/>
        <v/>
      </c>
    </row>
    <row r="165" spans="1:104" ht="12.75" customHeight="1">
      <c r="A165" s="1">
        <v>5000500</v>
      </c>
      <c r="B165" s="1">
        <f t="shared" si="276"/>
        <v>151</v>
      </c>
      <c r="C165" s="1">
        <v>131</v>
      </c>
      <c r="D165" s="1">
        <f>VLOOKUP(C165,'2022 counts'!$A$6:$B$304,2,FALSE)</f>
        <v>151</v>
      </c>
      <c r="E165" s="1"/>
      <c r="F165" s="2" t="s">
        <v>6</v>
      </c>
      <c r="G165" s="156">
        <v>25</v>
      </c>
      <c r="H165" s="11">
        <v>0.31830498372600002</v>
      </c>
      <c r="I165" s="10" t="s">
        <v>126</v>
      </c>
      <c r="J165" s="10" t="s">
        <v>22</v>
      </c>
      <c r="K165" s="10" t="s">
        <v>56</v>
      </c>
      <c r="L165" s="157">
        <v>2</v>
      </c>
      <c r="M165" s="1">
        <f>'State of the System - Sumter Co'!K165</f>
        <v>2</v>
      </c>
      <c r="N165" s="1" t="str">
        <f>IF('State of the System - Sumter Co'!L165="URBAN","U","R")</f>
        <v>U</v>
      </c>
      <c r="O165" s="1" t="str">
        <f>IF('State of the System - Sumter Co'!M165="UNDIVIDED","U",IF('State of the System - Sumter Co'!M165="DIVIDED","D","F"))</f>
        <v>U</v>
      </c>
      <c r="P165" s="1" t="str">
        <f>'State of the System - Sumter Co'!N165</f>
        <v>INTERRUPTED</v>
      </c>
      <c r="Q165" s="1" t="str">
        <f t="shared" si="234"/>
        <v/>
      </c>
      <c r="R165" s="1" t="str">
        <f>'State of the System - Sumter Co'!O165</f>
        <v/>
      </c>
      <c r="S165" s="1" t="str">
        <f t="shared" si="281"/>
        <v>-2</v>
      </c>
      <c r="T165" s="1" t="str">
        <f t="shared" si="236"/>
        <v>U-2U-2</v>
      </c>
      <c r="U165" s="1" t="str">
        <f t="shared" si="279"/>
        <v>U-2U-2</v>
      </c>
      <c r="V165" s="1" t="s">
        <v>10</v>
      </c>
      <c r="W165" s="1" t="s">
        <v>11</v>
      </c>
      <c r="X165" s="1" t="s">
        <v>21</v>
      </c>
      <c r="Y165" s="1" t="str">
        <f>'State of the System - Sumter Co'!R165</f>
        <v>D</v>
      </c>
      <c r="Z165" s="157" t="str">
        <f t="shared" si="237"/>
        <v>Other CMP Network Roadways</v>
      </c>
      <c r="AA165" s="15">
        <f>VLOOKUP($T165,'2020_CapacityTable'!$B$49:$F$71,2)</f>
        <v>0</v>
      </c>
      <c r="AB165" s="15">
        <f>VLOOKUP($T165,'2020_CapacityTable'!$B$49:$F$71,3)</f>
        <v>7300</v>
      </c>
      <c r="AC165" s="15">
        <f>VLOOKUP($T165,'2020_CapacityTable'!$B$49:$F$71,4)</f>
        <v>14800</v>
      </c>
      <c r="AD165" s="15">
        <f>VLOOKUP($T165,'2020_CapacityTable'!$B$49:$F$71,5)</f>
        <v>15600</v>
      </c>
      <c r="AE165" s="35">
        <f t="shared" si="288"/>
        <v>-0.1</v>
      </c>
      <c r="AF165" s="36" t="str">
        <f t="shared" si="238"/>
        <v/>
      </c>
      <c r="AG165" s="35">
        <v>-0.2</v>
      </c>
      <c r="AH165" s="35" t="str">
        <f t="shared" si="278"/>
        <v/>
      </c>
      <c r="AI165" s="35"/>
      <c r="AJ165" s="36"/>
      <c r="AK165" s="15">
        <f t="shared" si="239"/>
        <v>0</v>
      </c>
      <c r="AL165" s="15">
        <f t="shared" si="240"/>
        <v>5110</v>
      </c>
      <c r="AM165" s="15">
        <f t="shared" si="241"/>
        <v>10360</v>
      </c>
      <c r="AN165" s="15">
        <f t="shared" si="242"/>
        <v>10920</v>
      </c>
      <c r="AO165" s="3">
        <f t="shared" ref="AO165:AO196" si="289">IF(Y165="","",IF(Y165="B",AK165,IF(Y165="C",AL165,IF(Y165="D",AM165,AN165))))</f>
        <v>10360</v>
      </c>
      <c r="AP165" s="138">
        <f>VLOOKUP($B165,'2022 counts'!$B$6:$R$304,17,FALSE)</f>
        <v>7804</v>
      </c>
      <c r="AQ165" s="11">
        <f t="shared" si="243"/>
        <v>0.75</v>
      </c>
      <c r="AR165" s="2" t="str">
        <f t="shared" si="244"/>
        <v>D</v>
      </c>
      <c r="AS165" s="26">
        <f t="shared" si="245"/>
        <v>0.91</v>
      </c>
      <c r="AT165" s="15">
        <f>VLOOKUP($T165,'2020_CapacityTable'!$B$23:$F$45,2)</f>
        <v>0</v>
      </c>
      <c r="AU165" s="15">
        <f>VLOOKUP($T165,'2020_CapacityTable'!$B$23:$F$45,3)</f>
        <v>370</v>
      </c>
      <c r="AV165" s="15">
        <f>VLOOKUP($T165,'2020_CapacityTable'!$B$23:$F$45,4)</f>
        <v>750</v>
      </c>
      <c r="AW165" s="15">
        <f>VLOOKUP($T165,'2020_CapacityTable'!$B$23:$F$45,5)</f>
        <v>800</v>
      </c>
      <c r="AX165" s="15">
        <f t="shared" si="246"/>
        <v>0</v>
      </c>
      <c r="AY165" s="15">
        <f t="shared" si="247"/>
        <v>259</v>
      </c>
      <c r="AZ165" s="15">
        <f t="shared" si="248"/>
        <v>525</v>
      </c>
      <c r="BA165" s="15">
        <f t="shared" si="249"/>
        <v>560</v>
      </c>
      <c r="BB165" s="3">
        <f t="shared" ref="BB165:BB196" si="290">IF(Y165="","",IF(Y165="B",AX165,IF(Y165="C",AY165,IF(Y165="D",AZ165,BA165))))</f>
        <v>525</v>
      </c>
      <c r="BC165" s="138">
        <f>VLOOKUP($B165,'2022 counts'!$B$6:$AD$304,28,FALSE)</f>
        <v>379</v>
      </c>
      <c r="BD165" s="138">
        <f>VLOOKUP($B165,'2022 counts'!$B$6:$AD$304,29,FALSE)</f>
        <v>418</v>
      </c>
      <c r="BE165" s="11">
        <f t="shared" si="250"/>
        <v>0.8</v>
      </c>
      <c r="BF165" s="2" t="str">
        <f t="shared" si="251"/>
        <v>D</v>
      </c>
      <c r="BG165" s="135">
        <v>0</v>
      </c>
      <c r="BH165" s="135">
        <f>IF($AQ165="","",VLOOKUP($B165, '2022 counts'!$B$6:$T$304,19,FALSE))</f>
        <v>0</v>
      </c>
      <c r="BI165" s="38">
        <f t="shared" si="252"/>
        <v>0.01</v>
      </c>
      <c r="BJ165" s="39" t="str">
        <f t="shared" si="253"/>
        <v>minimum</v>
      </c>
      <c r="BK165" s="15">
        <f>VLOOKUP($U165,'2020_CapacityTable'!$B$49:$F$71,2)</f>
        <v>0</v>
      </c>
      <c r="BL165" s="15">
        <f>VLOOKUP($U165,'2020_CapacityTable'!$B$49:$F$71,3)</f>
        <v>7300</v>
      </c>
      <c r="BM165" s="15">
        <f>VLOOKUP($T165,'2020_CapacityTable'!$B$49:$F$71,4)</f>
        <v>14800</v>
      </c>
      <c r="BN165" s="15">
        <f>VLOOKUP($T165,'2020_CapacityTable'!$B$49:$F$71,5)</f>
        <v>15600</v>
      </c>
      <c r="BO165" s="15">
        <f t="shared" si="254"/>
        <v>0</v>
      </c>
      <c r="BP165" s="15">
        <f t="shared" si="255"/>
        <v>5110</v>
      </c>
      <c r="BQ165" s="15">
        <f t="shared" si="256"/>
        <v>10360</v>
      </c>
      <c r="BR165" s="15">
        <f t="shared" si="257"/>
        <v>10920</v>
      </c>
      <c r="BS165" s="3">
        <f t="shared" ref="BS165:BS196" si="291">IF($Y165="","",IF($Y165="B",BO165,IF($Y165="C",BP165,IF($Y165="D",BQ165,BR165))))</f>
        <v>10360</v>
      </c>
      <c r="BT165" s="40">
        <f>'State of the System - Sumter Co'!AD165</f>
        <v>8202</v>
      </c>
      <c r="BU165" s="41">
        <f t="shared" si="258"/>
        <v>0.79</v>
      </c>
      <c r="BV165" s="2" t="str">
        <f t="shared" si="259"/>
        <v>D</v>
      </c>
      <c r="BW165" s="2">
        <f t="shared" si="260"/>
        <v>0.95</v>
      </c>
      <c r="BX165" s="15">
        <f>VLOOKUP($U165,'2020_CapacityTable'!$B$23:$F$45,2)</f>
        <v>0</v>
      </c>
      <c r="BY165" s="15">
        <f>VLOOKUP($U165,'2020_CapacityTable'!$B$23:$F$45,3)</f>
        <v>370</v>
      </c>
      <c r="BZ165" s="15">
        <f>VLOOKUP($U165,'2020_CapacityTable'!$B$23:$F$45,4)</f>
        <v>750</v>
      </c>
      <c r="CA165" s="15">
        <f>VLOOKUP($U165,'2020_CapacityTable'!$B$23:$F$45,5)</f>
        <v>800</v>
      </c>
      <c r="CB165" s="15">
        <f t="shared" si="261"/>
        <v>0</v>
      </c>
      <c r="CC165" s="15">
        <f t="shared" si="262"/>
        <v>259</v>
      </c>
      <c r="CD165" s="15">
        <f t="shared" si="263"/>
        <v>525</v>
      </c>
      <c r="CE165" s="15">
        <f t="shared" si="264"/>
        <v>560</v>
      </c>
      <c r="CF165" s="3">
        <f t="shared" ref="CF165:CF206" si="292">IF($Y165="","",IF($Y165="B",CB165,IF($Y165="C",CC165,IF($Y165="D",CD165,CE165))))</f>
        <v>525</v>
      </c>
      <c r="CG165" s="2">
        <f>'State of the System - Sumter Co'!AH165</f>
        <v>398</v>
      </c>
      <c r="CH165" s="2">
        <f>'State of the System - Sumter Co'!AI165</f>
        <v>439</v>
      </c>
      <c r="CI165" s="11">
        <f t="shared" si="265"/>
        <v>0.84</v>
      </c>
      <c r="CJ165" s="2" t="str">
        <f t="shared" ref="CJ165:CJ206" si="293">IF(OR(CI165="",CI165="-",CI165=0),"",IF(MAX(CG165,CH165)&lt;=$AX165,"B",IF(MAX(CG165,CH165)&lt;=$AY165,"C",IF(MAX(CG165,CH165)&lt;=$AZ165,"D",IF(MAX(CG165,CH165)&lt;=$BA165,"E","F")))))</f>
        <v>D</v>
      </c>
      <c r="CK165" s="3">
        <f t="shared" si="266"/>
        <v>11794</v>
      </c>
      <c r="CL165" s="11">
        <f t="shared" si="267"/>
        <v>0.7</v>
      </c>
      <c r="CM165" s="11" t="str">
        <f t="shared" si="268"/>
        <v>NOT CONGESTED</v>
      </c>
      <c r="CN165" s="3">
        <f t="shared" si="269"/>
        <v>605</v>
      </c>
      <c r="CO165" s="11">
        <f t="shared" si="270"/>
        <v>0.73</v>
      </c>
      <c r="CP165" s="156" t="str">
        <f t="shared" ref="CP165:CP195" si="294">IF(OR(CO165="",CO165=0),"",IF(OR(BC165&gt;CN165,BD165&gt;CN165),"EXTREMELY (2020)",IF(CO165&gt;1,"EXTREMELY (2025)",IF(BE165&gt;1,"CONGESTED (2020)",IF(CI165&gt;1,"CONGESTED (2025)",IF(OR(BE165&gt;=0.9,CI165&gt;=0.9),"APPROACHING CONGESTION","NOT CONGESTED"))))))</f>
        <v>NOT CONGESTED</v>
      </c>
      <c r="CQ165" s="3"/>
      <c r="CR165" s="3"/>
      <c r="CS165" s="11" t="str">
        <f t="shared" si="271"/>
        <v/>
      </c>
      <c r="CT165" s="11" t="str">
        <f t="shared" ref="CT165:CT196" si="295">IF(OR(BT165="",BV165="",BU165&lt;1),"",ROUND(H165,2))</f>
        <v/>
      </c>
      <c r="CU165" s="11" t="str">
        <f t="shared" si="272"/>
        <v/>
      </c>
      <c r="CV165" s="11" t="str">
        <f t="shared" si="273"/>
        <v/>
      </c>
      <c r="CW165" s="2"/>
      <c r="CX165" s="1"/>
      <c r="CY165" s="145" t="str">
        <f t="shared" si="274"/>
        <v/>
      </c>
      <c r="CZ165" s="32" t="str">
        <f t="shared" si="275"/>
        <v/>
      </c>
    </row>
    <row r="166" spans="1:104" ht="12.75" customHeight="1">
      <c r="A166" s="1">
        <v>5000700</v>
      </c>
      <c r="B166" s="1">
        <f t="shared" si="276"/>
        <v>125</v>
      </c>
      <c r="C166" s="1">
        <v>134</v>
      </c>
      <c r="D166" s="1">
        <f>VLOOKUP(C166,'2022 counts'!$A$6:$B$304,2,FALSE)</f>
        <v>125</v>
      </c>
      <c r="E166" s="1"/>
      <c r="F166" s="2" t="s">
        <v>6</v>
      </c>
      <c r="G166" s="156">
        <v>20</v>
      </c>
      <c r="H166" s="11">
        <v>0.29449994923299999</v>
      </c>
      <c r="I166" s="10" t="s">
        <v>231</v>
      </c>
      <c r="J166" s="10" t="s">
        <v>22</v>
      </c>
      <c r="K166" s="10" t="s">
        <v>56</v>
      </c>
      <c r="L166" s="157">
        <v>2</v>
      </c>
      <c r="M166" s="1">
        <f>'State of the System - Sumter Co'!K166</f>
        <v>2</v>
      </c>
      <c r="N166" s="1" t="str">
        <f>IF('State of the System - Sumter Co'!L166="URBAN","U","R")</f>
        <v>U</v>
      </c>
      <c r="O166" s="1" t="str">
        <f>IF('State of the System - Sumter Co'!M166="UNDIVIDED","U",IF('State of the System - Sumter Co'!M166="DIVIDED","D","F"))</f>
        <v>D</v>
      </c>
      <c r="P166" s="1" t="str">
        <f>'State of the System - Sumter Co'!N166</f>
        <v>INTERRUPTED</v>
      </c>
      <c r="Q166" s="1" t="str">
        <f t="shared" si="234"/>
        <v/>
      </c>
      <c r="R166" s="1" t="str">
        <f>'State of the System - Sumter Co'!O166</f>
        <v/>
      </c>
      <c r="S166" s="1" t="str">
        <f t="shared" si="281"/>
        <v>-2</v>
      </c>
      <c r="T166" s="1" t="str">
        <f t="shared" si="236"/>
        <v>U-2D-2</v>
      </c>
      <c r="U166" s="1" t="str">
        <f t="shared" si="279"/>
        <v>U-2D-2</v>
      </c>
      <c r="V166" s="1" t="s">
        <v>10</v>
      </c>
      <c r="W166" s="1" t="s">
        <v>11</v>
      </c>
      <c r="X166" s="1" t="s">
        <v>12</v>
      </c>
      <c r="Y166" s="1" t="str">
        <f>'State of the System - Sumter Co'!R166</f>
        <v>D</v>
      </c>
      <c r="Z166" s="157" t="str">
        <f t="shared" si="237"/>
        <v>Other CMP Network Roadways</v>
      </c>
      <c r="AA166" s="15">
        <f>VLOOKUP($T166,'2020_CapacityTable'!$B$49:$F$71,2)</f>
        <v>0</v>
      </c>
      <c r="AB166" s="15">
        <f>VLOOKUP($T166,'2020_CapacityTable'!$B$49:$F$71,3)</f>
        <v>7665</v>
      </c>
      <c r="AC166" s="15">
        <f>VLOOKUP($T166,'2020_CapacityTable'!$B$49:$F$71,4)</f>
        <v>15540</v>
      </c>
      <c r="AD166" s="15">
        <f>VLOOKUP($T166,'2020_CapacityTable'!$B$49:$F$71,5)</f>
        <v>16380</v>
      </c>
      <c r="AE166" s="35">
        <f t="shared" si="288"/>
        <v>-0.1</v>
      </c>
      <c r="AF166" s="36">
        <f t="shared" si="238"/>
        <v>0.05</v>
      </c>
      <c r="AG166" s="35" t="str">
        <f>IF(AND(L166=2,P166="interrupted",O166="U"),"LOOK","")</f>
        <v/>
      </c>
      <c r="AH166" s="35" t="str">
        <f t="shared" si="278"/>
        <v/>
      </c>
      <c r="AI166" s="35"/>
      <c r="AJ166" s="36"/>
      <c r="AK166" s="15">
        <f t="shared" si="239"/>
        <v>0</v>
      </c>
      <c r="AL166" s="15">
        <f t="shared" si="240"/>
        <v>7282</v>
      </c>
      <c r="AM166" s="15">
        <f t="shared" si="241"/>
        <v>14763</v>
      </c>
      <c r="AN166" s="15">
        <f t="shared" si="242"/>
        <v>15561</v>
      </c>
      <c r="AO166" s="3">
        <f t="shared" si="289"/>
        <v>14763</v>
      </c>
      <c r="AP166" s="138">
        <f>VLOOKUP($B166,'2022 counts'!$B$6:$R$304,17,FALSE)</f>
        <v>11224</v>
      </c>
      <c r="AQ166" s="11">
        <f t="shared" si="243"/>
        <v>0.76</v>
      </c>
      <c r="AR166" s="2" t="str">
        <f t="shared" si="244"/>
        <v>D</v>
      </c>
      <c r="AS166" s="26">
        <f t="shared" si="245"/>
        <v>1.21</v>
      </c>
      <c r="AT166" s="15">
        <f>VLOOKUP($T166,'2020_CapacityTable'!$B$23:$F$45,2)</f>
        <v>0</v>
      </c>
      <c r="AU166" s="15">
        <f>VLOOKUP($T166,'2020_CapacityTable'!$B$23:$F$45,3)</f>
        <v>370</v>
      </c>
      <c r="AV166" s="15">
        <f>VLOOKUP($T166,'2020_CapacityTable'!$B$23:$F$45,4)</f>
        <v>750</v>
      </c>
      <c r="AW166" s="15">
        <f>VLOOKUP($T166,'2020_CapacityTable'!$B$23:$F$45,5)</f>
        <v>800</v>
      </c>
      <c r="AX166" s="15">
        <f t="shared" si="246"/>
        <v>0</v>
      </c>
      <c r="AY166" s="15">
        <f t="shared" si="247"/>
        <v>352</v>
      </c>
      <c r="AZ166" s="15">
        <f t="shared" si="248"/>
        <v>713</v>
      </c>
      <c r="BA166" s="15">
        <f t="shared" si="249"/>
        <v>760</v>
      </c>
      <c r="BB166" s="3">
        <f t="shared" si="290"/>
        <v>713</v>
      </c>
      <c r="BC166" s="138">
        <f>VLOOKUP($B166,'2022 counts'!$B$6:$AD$304,28,FALSE)</f>
        <v>540</v>
      </c>
      <c r="BD166" s="138">
        <f>VLOOKUP($B166,'2022 counts'!$B$6:$AD$304,29,FALSE)</f>
        <v>548</v>
      </c>
      <c r="BE166" s="11">
        <f t="shared" si="250"/>
        <v>0.77</v>
      </c>
      <c r="BF166" s="2" t="str">
        <f t="shared" si="251"/>
        <v>D</v>
      </c>
      <c r="BG166" s="135">
        <v>0</v>
      </c>
      <c r="BH166" s="135">
        <f>IF($AQ166="","",VLOOKUP($B166, '2022 counts'!$B$6:$T$304,19,FALSE))</f>
        <v>0</v>
      </c>
      <c r="BI166" s="38">
        <f t="shared" si="252"/>
        <v>0.01</v>
      </c>
      <c r="BJ166" s="39" t="str">
        <f t="shared" si="253"/>
        <v>minimum</v>
      </c>
      <c r="BK166" s="15">
        <f>VLOOKUP($U166,'2020_CapacityTable'!$B$49:$F$71,2)</f>
        <v>0</v>
      </c>
      <c r="BL166" s="15">
        <f>VLOOKUP($U166,'2020_CapacityTable'!$B$49:$F$71,3)</f>
        <v>7665</v>
      </c>
      <c r="BM166" s="15">
        <f>VLOOKUP($T166,'2020_CapacityTable'!$B$49:$F$71,4)</f>
        <v>15540</v>
      </c>
      <c r="BN166" s="15">
        <f>VLOOKUP($T166,'2020_CapacityTable'!$B$49:$F$71,5)</f>
        <v>16380</v>
      </c>
      <c r="BO166" s="15">
        <f t="shared" si="254"/>
        <v>0</v>
      </c>
      <c r="BP166" s="15">
        <f t="shared" si="255"/>
        <v>7282</v>
      </c>
      <c r="BQ166" s="15">
        <f t="shared" si="256"/>
        <v>14763</v>
      </c>
      <c r="BR166" s="15">
        <f t="shared" si="257"/>
        <v>15561</v>
      </c>
      <c r="BS166" s="3">
        <f t="shared" si="291"/>
        <v>14763</v>
      </c>
      <c r="BT166" s="40">
        <f>'State of the System - Sumter Co'!AD166</f>
        <v>11797</v>
      </c>
      <c r="BU166" s="41">
        <f t="shared" si="258"/>
        <v>0.8</v>
      </c>
      <c r="BV166" s="2" t="str">
        <f t="shared" si="259"/>
        <v>D</v>
      </c>
      <c r="BW166" s="2">
        <f t="shared" si="260"/>
        <v>1.27</v>
      </c>
      <c r="BX166" s="15">
        <f>VLOOKUP($U166,'2020_CapacityTable'!$B$23:$F$45,2)</f>
        <v>0</v>
      </c>
      <c r="BY166" s="15">
        <f>VLOOKUP($U166,'2020_CapacityTable'!$B$23:$F$45,3)</f>
        <v>370</v>
      </c>
      <c r="BZ166" s="15">
        <f>VLOOKUP($U166,'2020_CapacityTable'!$B$23:$F$45,4)</f>
        <v>750</v>
      </c>
      <c r="CA166" s="15">
        <f>VLOOKUP($U166,'2020_CapacityTable'!$B$23:$F$45,5)</f>
        <v>800</v>
      </c>
      <c r="CB166" s="15">
        <f t="shared" si="261"/>
        <v>0</v>
      </c>
      <c r="CC166" s="15">
        <f t="shared" si="262"/>
        <v>352</v>
      </c>
      <c r="CD166" s="15">
        <f t="shared" si="263"/>
        <v>713</v>
      </c>
      <c r="CE166" s="15">
        <f t="shared" si="264"/>
        <v>760</v>
      </c>
      <c r="CF166" s="3">
        <f t="shared" si="292"/>
        <v>713</v>
      </c>
      <c r="CG166" s="2">
        <f>'State of the System - Sumter Co'!AH166</f>
        <v>568</v>
      </c>
      <c r="CH166" s="2">
        <f>'State of the System - Sumter Co'!AI166</f>
        <v>576</v>
      </c>
      <c r="CI166" s="11">
        <f t="shared" si="265"/>
        <v>0.81</v>
      </c>
      <c r="CJ166" s="2" t="str">
        <f t="shared" si="293"/>
        <v>D</v>
      </c>
      <c r="CK166" s="3">
        <f t="shared" si="266"/>
        <v>16806</v>
      </c>
      <c r="CL166" s="11">
        <f t="shared" si="267"/>
        <v>0.7</v>
      </c>
      <c r="CM166" s="11" t="str">
        <f t="shared" si="268"/>
        <v>NOT CONGESTED</v>
      </c>
      <c r="CN166" s="3">
        <f t="shared" si="269"/>
        <v>821</v>
      </c>
      <c r="CO166" s="11">
        <f t="shared" si="270"/>
        <v>0.7</v>
      </c>
      <c r="CP166" s="260" t="str">
        <f t="shared" si="294"/>
        <v>NOT CONGESTED</v>
      </c>
      <c r="CQ166" s="2" t="s">
        <v>560</v>
      </c>
      <c r="CR166" s="43">
        <v>1</v>
      </c>
      <c r="CS166" s="11" t="str">
        <f t="shared" si="271"/>
        <v/>
      </c>
      <c r="CT166" s="11" t="str">
        <f t="shared" si="295"/>
        <v/>
      </c>
      <c r="CU166" s="11" t="str">
        <f t="shared" si="272"/>
        <v/>
      </c>
      <c r="CV166" s="11" t="str">
        <f t="shared" si="273"/>
        <v/>
      </c>
      <c r="CW166" s="2"/>
      <c r="CX166" s="1"/>
      <c r="CY166" s="145" t="str">
        <f t="shared" si="274"/>
        <v/>
      </c>
      <c r="CZ166" s="32" t="str">
        <f t="shared" si="275"/>
        <v/>
      </c>
    </row>
    <row r="167" spans="1:104" ht="12.75" customHeight="1">
      <c r="A167" s="1">
        <v>5999990</v>
      </c>
      <c r="B167" s="1">
        <f t="shared" si="276"/>
        <v>126</v>
      </c>
      <c r="C167" s="1">
        <v>137</v>
      </c>
      <c r="D167" s="1">
        <f>VLOOKUP(C167,'2022 counts'!$A$6:$B$304,2,FALSE)</f>
        <v>126</v>
      </c>
      <c r="E167" s="1"/>
      <c r="F167" s="2" t="s">
        <v>6</v>
      </c>
      <c r="G167" s="156">
        <v>35</v>
      </c>
      <c r="H167" s="11">
        <v>0.58999517738200002</v>
      </c>
      <c r="I167" s="10" t="s">
        <v>33</v>
      </c>
      <c r="J167" s="10" t="s">
        <v>35</v>
      </c>
      <c r="K167" s="10" t="s">
        <v>768</v>
      </c>
      <c r="L167" s="157">
        <v>4</v>
      </c>
      <c r="M167" s="1">
        <f>'State of the System - Sumter Co'!K167</f>
        <v>4</v>
      </c>
      <c r="N167" s="1" t="str">
        <f>IF('State of the System - Sumter Co'!L167="URBAN","U","R")</f>
        <v>U</v>
      </c>
      <c r="O167" s="1" t="str">
        <f>IF('State of the System - Sumter Co'!M167="UNDIVIDED","U",IF('State of the System - Sumter Co'!M167="DIVIDED","D","F"))</f>
        <v>D</v>
      </c>
      <c r="P167" s="1" t="str">
        <f>'State of the System - Sumter Co'!N167</f>
        <v>INTERRUPTED</v>
      </c>
      <c r="Q167" s="1" t="str">
        <f t="shared" si="234"/>
        <v/>
      </c>
      <c r="R167" s="1" t="str">
        <f>'State of the System - Sumter Co'!O167</f>
        <v/>
      </c>
      <c r="S167" s="1" t="str">
        <f t="shared" si="281"/>
        <v>-2</v>
      </c>
      <c r="T167" s="1" t="str">
        <f t="shared" si="236"/>
        <v>U-4D-2</v>
      </c>
      <c r="U167" s="1" t="str">
        <f t="shared" si="279"/>
        <v>U-4D-2</v>
      </c>
      <c r="V167" s="1" t="s">
        <v>10</v>
      </c>
      <c r="W167" s="1" t="s">
        <v>11</v>
      </c>
      <c r="X167" s="1" t="s">
        <v>21</v>
      </c>
      <c r="Y167" s="1" t="str">
        <f>'State of the System - Sumter Co'!R167</f>
        <v>D</v>
      </c>
      <c r="Z167" s="157" t="str">
        <f t="shared" si="237"/>
        <v>Other CMP Network Roadways</v>
      </c>
      <c r="AA167" s="15">
        <f>VLOOKUP($T167,'2020_CapacityTable'!$B$49:$F$71,2)</f>
        <v>0</v>
      </c>
      <c r="AB167" s="15">
        <f>VLOOKUP($T167,'2020_CapacityTable'!$B$49:$F$71,3)</f>
        <v>14500</v>
      </c>
      <c r="AC167" s="15">
        <f>VLOOKUP($T167,'2020_CapacityTable'!$B$49:$F$71,4)</f>
        <v>32400</v>
      </c>
      <c r="AD167" s="15">
        <f>VLOOKUP($T167,'2020_CapacityTable'!$B$49:$F$71,5)</f>
        <v>33800</v>
      </c>
      <c r="AE167" s="35">
        <f t="shared" si="288"/>
        <v>-0.1</v>
      </c>
      <c r="AF167" s="36" t="str">
        <f t="shared" si="238"/>
        <v/>
      </c>
      <c r="AG167" s="35" t="str">
        <f>IF(AND(L167=2,P167="interrupted",O167="U"),"LOOK","")</f>
        <v/>
      </c>
      <c r="AH167" s="35" t="str">
        <f t="shared" si="278"/>
        <v/>
      </c>
      <c r="AI167" s="35"/>
      <c r="AJ167" s="36"/>
      <c r="AK167" s="15">
        <f t="shared" si="239"/>
        <v>0</v>
      </c>
      <c r="AL167" s="15">
        <f t="shared" si="240"/>
        <v>13050</v>
      </c>
      <c r="AM167" s="15">
        <f t="shared" si="241"/>
        <v>29160</v>
      </c>
      <c r="AN167" s="15">
        <f t="shared" si="242"/>
        <v>30420</v>
      </c>
      <c r="AO167" s="3">
        <f t="shared" si="289"/>
        <v>29160</v>
      </c>
      <c r="AP167" s="138">
        <f>VLOOKUP($B167,'2022 counts'!$B$6:$R$304,17,FALSE)</f>
        <v>11556</v>
      </c>
      <c r="AQ167" s="11">
        <f t="shared" si="243"/>
        <v>0.4</v>
      </c>
      <c r="AR167" s="2" t="str">
        <f t="shared" si="244"/>
        <v>C</v>
      </c>
      <c r="AS167" s="26">
        <f t="shared" si="245"/>
        <v>2.4900000000000002</v>
      </c>
      <c r="AT167" s="15">
        <f>VLOOKUP($T167,'2020_CapacityTable'!$B$23:$F$45,2)</f>
        <v>0</v>
      </c>
      <c r="AU167" s="15">
        <f>VLOOKUP($T167,'2020_CapacityTable'!$B$23:$F$45,3)</f>
        <v>730</v>
      </c>
      <c r="AV167" s="15">
        <f>VLOOKUP($T167,'2020_CapacityTable'!$B$23:$F$45,4)</f>
        <v>1630</v>
      </c>
      <c r="AW167" s="15">
        <f>VLOOKUP($T167,'2020_CapacityTable'!$B$23:$F$45,5)</f>
        <v>1700</v>
      </c>
      <c r="AX167" s="15">
        <f t="shared" si="246"/>
        <v>0</v>
      </c>
      <c r="AY167" s="15">
        <f t="shared" si="247"/>
        <v>657</v>
      </c>
      <c r="AZ167" s="15">
        <f t="shared" si="248"/>
        <v>1467</v>
      </c>
      <c r="BA167" s="15">
        <f t="shared" si="249"/>
        <v>1530</v>
      </c>
      <c r="BB167" s="3">
        <f t="shared" si="290"/>
        <v>1467</v>
      </c>
      <c r="BC167" s="138">
        <f>VLOOKUP($B167,'2022 counts'!$B$6:$AD$304,28,FALSE)</f>
        <v>506</v>
      </c>
      <c r="BD167" s="138">
        <f>VLOOKUP($B167,'2022 counts'!$B$6:$AD$304,29,FALSE)</f>
        <v>567</v>
      </c>
      <c r="BE167" s="11">
        <f t="shared" si="250"/>
        <v>0.39</v>
      </c>
      <c r="BF167" s="2" t="str">
        <f t="shared" si="251"/>
        <v>C</v>
      </c>
      <c r="BG167" s="135">
        <v>0</v>
      </c>
      <c r="BH167" s="135">
        <f>IF($AQ167="","",VLOOKUP($B167, '2022 counts'!$B$6:$T$304,19,FALSE))</f>
        <v>0</v>
      </c>
      <c r="BI167" s="38">
        <f t="shared" si="252"/>
        <v>0.01</v>
      </c>
      <c r="BJ167" s="39" t="str">
        <f t="shared" si="253"/>
        <v>minimum</v>
      </c>
      <c r="BK167" s="15">
        <f>VLOOKUP($U167,'2020_CapacityTable'!$B$49:$F$71,2)</f>
        <v>0</v>
      </c>
      <c r="BL167" s="15">
        <f>VLOOKUP($U167,'2020_CapacityTable'!$B$49:$F$71,3)</f>
        <v>14500</v>
      </c>
      <c r="BM167" s="15">
        <f>VLOOKUP($T167,'2020_CapacityTable'!$B$49:$F$71,4)</f>
        <v>32400</v>
      </c>
      <c r="BN167" s="15">
        <f>VLOOKUP($T167,'2020_CapacityTable'!$B$49:$F$71,5)</f>
        <v>33800</v>
      </c>
      <c r="BO167" s="15">
        <f t="shared" si="254"/>
        <v>0</v>
      </c>
      <c r="BP167" s="15">
        <f t="shared" si="255"/>
        <v>13050</v>
      </c>
      <c r="BQ167" s="15">
        <f t="shared" si="256"/>
        <v>29160</v>
      </c>
      <c r="BR167" s="15">
        <f t="shared" si="257"/>
        <v>30420</v>
      </c>
      <c r="BS167" s="3">
        <f t="shared" si="291"/>
        <v>29160</v>
      </c>
      <c r="BT167" s="40">
        <f>'State of the System - Sumter Co'!AD167</f>
        <v>12145</v>
      </c>
      <c r="BU167" s="41">
        <f t="shared" si="258"/>
        <v>0.42</v>
      </c>
      <c r="BV167" s="2" t="str">
        <f t="shared" si="259"/>
        <v>C</v>
      </c>
      <c r="BW167" s="2">
        <f t="shared" si="260"/>
        <v>2.62</v>
      </c>
      <c r="BX167" s="15">
        <f>VLOOKUP($U167,'2020_CapacityTable'!$B$23:$F$45,2)</f>
        <v>0</v>
      </c>
      <c r="BY167" s="15">
        <f>VLOOKUP($U167,'2020_CapacityTable'!$B$23:$F$45,3)</f>
        <v>730</v>
      </c>
      <c r="BZ167" s="15">
        <f>VLOOKUP($U167,'2020_CapacityTable'!$B$23:$F$45,4)</f>
        <v>1630</v>
      </c>
      <c r="CA167" s="15">
        <f>VLOOKUP($U167,'2020_CapacityTable'!$B$23:$F$45,5)</f>
        <v>1700</v>
      </c>
      <c r="CB167" s="15">
        <f t="shared" si="261"/>
        <v>0</v>
      </c>
      <c r="CC167" s="15">
        <f t="shared" si="262"/>
        <v>657</v>
      </c>
      <c r="CD167" s="15">
        <f t="shared" si="263"/>
        <v>1467</v>
      </c>
      <c r="CE167" s="15">
        <f t="shared" si="264"/>
        <v>1530</v>
      </c>
      <c r="CF167" s="3">
        <f t="shared" si="292"/>
        <v>1467</v>
      </c>
      <c r="CG167" s="2">
        <f>'State of the System - Sumter Co'!AH167</f>
        <v>532</v>
      </c>
      <c r="CH167" s="2">
        <f>'State of the System - Sumter Co'!AI167</f>
        <v>596</v>
      </c>
      <c r="CI167" s="11">
        <f t="shared" si="265"/>
        <v>0.41</v>
      </c>
      <c r="CJ167" s="2" t="str">
        <f t="shared" si="293"/>
        <v>C</v>
      </c>
      <c r="CK167" s="3">
        <f t="shared" si="266"/>
        <v>32854</v>
      </c>
      <c r="CL167" s="11">
        <f t="shared" si="267"/>
        <v>0.37</v>
      </c>
      <c r="CM167" s="11" t="str">
        <f t="shared" si="268"/>
        <v>NOT CONGESTED</v>
      </c>
      <c r="CN167" s="3">
        <f t="shared" si="269"/>
        <v>1652</v>
      </c>
      <c r="CO167" s="11">
        <f t="shared" si="270"/>
        <v>0.36</v>
      </c>
      <c r="CP167" s="156" t="str">
        <f t="shared" si="294"/>
        <v>NOT CONGESTED</v>
      </c>
      <c r="CQ167" s="2"/>
      <c r="CR167" s="42"/>
      <c r="CS167" s="11" t="str">
        <f t="shared" si="271"/>
        <v/>
      </c>
      <c r="CT167" s="11" t="str">
        <f t="shared" si="295"/>
        <v/>
      </c>
      <c r="CU167" s="11" t="str">
        <f t="shared" si="272"/>
        <v/>
      </c>
      <c r="CV167" s="11" t="str">
        <f t="shared" si="273"/>
        <v/>
      </c>
      <c r="CW167" s="2"/>
      <c r="CX167" s="1"/>
      <c r="CY167" s="145" t="str">
        <f t="shared" si="274"/>
        <v/>
      </c>
      <c r="CZ167" s="32" t="str">
        <f t="shared" si="275"/>
        <v/>
      </c>
    </row>
    <row r="168" spans="1:104" ht="12.75" customHeight="1">
      <c r="A168" s="2">
        <v>6000001</v>
      </c>
      <c r="B168" s="1">
        <f t="shared" si="276"/>
        <v>154</v>
      </c>
      <c r="C168" s="199">
        <v>1260</v>
      </c>
      <c r="D168" s="1">
        <f>VLOOKUP(C168,'2022 counts'!$A$6:$B$304,2,FALSE)</f>
        <v>154</v>
      </c>
      <c r="E168" s="2"/>
      <c r="F168" s="2" t="s">
        <v>6</v>
      </c>
      <c r="G168" s="156">
        <v>55</v>
      </c>
      <c r="H168" s="11">
        <v>0.22</v>
      </c>
      <c r="I168" s="34" t="s">
        <v>767</v>
      </c>
      <c r="J168" s="34" t="s">
        <v>23</v>
      </c>
      <c r="K168" s="34" t="s">
        <v>541</v>
      </c>
      <c r="L168" s="157">
        <v>4</v>
      </c>
      <c r="M168" s="1">
        <f>'State of the System - Sumter Co'!K168</f>
        <v>4</v>
      </c>
      <c r="N168" s="1" t="str">
        <f>IF('State of the System - Sumter Co'!L168="URBAN","U","R")</f>
        <v>U</v>
      </c>
      <c r="O168" s="1" t="str">
        <f>IF('State of the System - Sumter Co'!M168="UNDIVIDED","U",IF('State of the System - Sumter Co'!M168="DIVIDED","D","F"))</f>
        <v>D</v>
      </c>
      <c r="P168" s="1" t="str">
        <f>'State of the System - Sumter Co'!N168</f>
        <v>INTERRUPTED</v>
      </c>
      <c r="Q168" s="1" t="str">
        <f t="shared" si="234"/>
        <v/>
      </c>
      <c r="R168" s="1" t="str">
        <f>'State of the System - Sumter Co'!O168</f>
        <v/>
      </c>
      <c r="S168" s="1" t="str">
        <f t="shared" si="281"/>
        <v>-1</v>
      </c>
      <c r="T168" s="1" t="str">
        <f t="shared" si="236"/>
        <v>U-4D-1</v>
      </c>
      <c r="U168" s="1" t="str">
        <f t="shared" si="279"/>
        <v>U-4D-1</v>
      </c>
      <c r="V168" s="2" t="s">
        <v>10</v>
      </c>
      <c r="W168" s="1" t="s">
        <v>11</v>
      </c>
      <c r="X168" s="1" t="s">
        <v>12</v>
      </c>
      <c r="Y168" s="1" t="str">
        <f>'State of the System - Sumter Co'!R168</f>
        <v>D</v>
      </c>
      <c r="Z168" s="157" t="str">
        <f t="shared" si="237"/>
        <v>Other CMP Network Roadways</v>
      </c>
      <c r="AA168" s="15">
        <f>VLOOKUP($T168,'2020_CapacityTable'!$B$49:$F$71,2)</f>
        <v>0</v>
      </c>
      <c r="AB168" s="15">
        <f>VLOOKUP($T168,'2020_CapacityTable'!$B$49:$F$71,3)</f>
        <v>37900</v>
      </c>
      <c r="AC168" s="15">
        <f>VLOOKUP($T168,'2020_CapacityTable'!$B$49:$F$71,4)</f>
        <v>39800</v>
      </c>
      <c r="AD168" s="15">
        <f>VLOOKUP($T168,'2020_CapacityTable'!$B$49:$F$71,5)</f>
        <v>39800</v>
      </c>
      <c r="AE168" s="35">
        <f t="shared" si="288"/>
        <v>-0.1</v>
      </c>
      <c r="AF168" s="36" t="str">
        <f t="shared" si="238"/>
        <v/>
      </c>
      <c r="AG168" s="2"/>
      <c r="AH168" s="2"/>
      <c r="AI168" s="2"/>
      <c r="AJ168" s="2"/>
      <c r="AK168" s="15">
        <f t="shared" si="239"/>
        <v>0</v>
      </c>
      <c r="AL168" s="15">
        <f t="shared" si="240"/>
        <v>34110</v>
      </c>
      <c r="AM168" s="15">
        <f t="shared" si="241"/>
        <v>35820</v>
      </c>
      <c r="AN168" s="15">
        <f t="shared" si="242"/>
        <v>35820</v>
      </c>
      <c r="AO168" s="3">
        <f t="shared" si="289"/>
        <v>35820</v>
      </c>
      <c r="AP168" s="138">
        <f>VLOOKUP($B168,'2022 counts'!$B$6:$R$304,17,FALSE)</f>
        <v>16624</v>
      </c>
      <c r="AQ168" s="11">
        <f t="shared" si="243"/>
        <v>0.46</v>
      </c>
      <c r="AR168" s="2" t="str">
        <f t="shared" si="244"/>
        <v>C</v>
      </c>
      <c r="AS168" s="26">
        <f t="shared" si="245"/>
        <v>1.33</v>
      </c>
      <c r="AT168" s="15">
        <f>VLOOKUP($T168,'2020_CapacityTable'!$B$23:$F$45,2)</f>
        <v>0</v>
      </c>
      <c r="AU168" s="15">
        <f>VLOOKUP($T168,'2020_CapacityTable'!$B$23:$F$45,3)</f>
        <v>1910</v>
      </c>
      <c r="AV168" s="15">
        <f>VLOOKUP($T168,'2020_CapacityTable'!$B$23:$F$45,4)</f>
        <v>2000</v>
      </c>
      <c r="AW168" s="15">
        <f>VLOOKUP($T168,'2020_CapacityTable'!$B$23:$F$45,5)</f>
        <v>2000</v>
      </c>
      <c r="AX168" s="15">
        <f t="shared" si="246"/>
        <v>0</v>
      </c>
      <c r="AY168" s="15">
        <f t="shared" si="247"/>
        <v>1719</v>
      </c>
      <c r="AZ168" s="15">
        <f t="shared" si="248"/>
        <v>1800</v>
      </c>
      <c r="BA168" s="15">
        <f t="shared" si="249"/>
        <v>1800</v>
      </c>
      <c r="BB168" s="3">
        <f t="shared" si="290"/>
        <v>1800</v>
      </c>
      <c r="BC168" s="138">
        <f>VLOOKUP($B168,'2022 counts'!$B$6:$AD$304,28,FALSE)</f>
        <v>734</v>
      </c>
      <c r="BD168" s="138">
        <f>VLOOKUP($B168,'2022 counts'!$B$6:$AD$304,29,FALSE)</f>
        <v>772</v>
      </c>
      <c r="BE168" s="11">
        <f t="shared" si="250"/>
        <v>0.43</v>
      </c>
      <c r="BF168" s="2" t="str">
        <f t="shared" si="251"/>
        <v>C</v>
      </c>
      <c r="BG168" s="135">
        <v>8.7500000000000008E-2</v>
      </c>
      <c r="BH168" s="135">
        <f>IF($AQ168="","",VLOOKUP($B168, '2022 counts'!$B$6:$T$304,19,FALSE))</f>
        <v>8.7500000000000008E-2</v>
      </c>
      <c r="BI168" s="38">
        <f t="shared" si="252"/>
        <v>8.7500000000000008E-2</v>
      </c>
      <c r="BJ168" s="39" t="str">
        <f t="shared" si="253"/>
        <v/>
      </c>
      <c r="BK168" s="15">
        <f>VLOOKUP($U168,'2020_CapacityTable'!$B$49:$F$71,2)</f>
        <v>0</v>
      </c>
      <c r="BL168" s="15">
        <f>VLOOKUP($U168,'2020_CapacityTable'!$B$49:$F$71,3)</f>
        <v>37900</v>
      </c>
      <c r="BM168" s="15">
        <f>VLOOKUP($T168,'2020_CapacityTable'!$B$49:$F$71,4)</f>
        <v>39800</v>
      </c>
      <c r="BN168" s="15">
        <f>VLOOKUP($T168,'2020_CapacityTable'!$B$49:$F$71,5)</f>
        <v>39800</v>
      </c>
      <c r="BO168" s="15">
        <f t="shared" si="254"/>
        <v>0</v>
      </c>
      <c r="BP168" s="15">
        <f t="shared" si="255"/>
        <v>34110</v>
      </c>
      <c r="BQ168" s="15">
        <f t="shared" si="256"/>
        <v>35820</v>
      </c>
      <c r="BR168" s="15">
        <f t="shared" si="257"/>
        <v>35820</v>
      </c>
      <c r="BS168" s="3">
        <f t="shared" si="291"/>
        <v>35820</v>
      </c>
      <c r="BT168" s="40">
        <f>'State of the System - Sumter Co'!AD168</f>
        <v>25286</v>
      </c>
      <c r="BU168" s="41">
        <f t="shared" si="258"/>
        <v>0.71</v>
      </c>
      <c r="BV168" s="2" t="str">
        <f t="shared" si="259"/>
        <v>C</v>
      </c>
      <c r="BW168" s="2">
        <f t="shared" si="260"/>
        <v>2.0299999999999998</v>
      </c>
      <c r="BX168" s="15">
        <f>VLOOKUP($U168,'2020_CapacityTable'!$B$23:$F$45,2)</f>
        <v>0</v>
      </c>
      <c r="BY168" s="15">
        <f>VLOOKUP($U168,'2020_CapacityTable'!$B$23:$F$45,3)</f>
        <v>1910</v>
      </c>
      <c r="BZ168" s="15">
        <f>VLOOKUP($U168,'2020_CapacityTable'!$B$23:$F$45,4)</f>
        <v>2000</v>
      </c>
      <c r="CA168" s="15">
        <f>VLOOKUP($U168,'2020_CapacityTable'!$B$23:$F$45,5)</f>
        <v>2000</v>
      </c>
      <c r="CB168" s="15">
        <f t="shared" si="261"/>
        <v>0</v>
      </c>
      <c r="CC168" s="15">
        <f t="shared" si="262"/>
        <v>1719</v>
      </c>
      <c r="CD168" s="15">
        <f t="shared" si="263"/>
        <v>1800</v>
      </c>
      <c r="CE168" s="15">
        <f t="shared" si="264"/>
        <v>1800</v>
      </c>
      <c r="CF168" s="3">
        <f t="shared" si="292"/>
        <v>1800</v>
      </c>
      <c r="CG168" s="2">
        <f>'State of the System - Sumter Co'!AH168</f>
        <v>1116</v>
      </c>
      <c r="CH168" s="2">
        <f>'State of the System - Sumter Co'!AI168</f>
        <v>1174</v>
      </c>
      <c r="CI168" s="11">
        <f t="shared" si="265"/>
        <v>0.65</v>
      </c>
      <c r="CJ168" s="2" t="str">
        <f t="shared" si="293"/>
        <v>C</v>
      </c>
      <c r="CK168" s="3">
        <f t="shared" si="266"/>
        <v>38686</v>
      </c>
      <c r="CL168" s="11">
        <f t="shared" si="267"/>
        <v>0.65</v>
      </c>
      <c r="CM168" s="11" t="str">
        <f t="shared" si="268"/>
        <v>NOT CONGESTED</v>
      </c>
      <c r="CN168" s="3">
        <f t="shared" si="269"/>
        <v>1944</v>
      </c>
      <c r="CO168" s="11">
        <f t="shared" si="270"/>
        <v>0.6</v>
      </c>
      <c r="CP168" s="156" t="str">
        <f t="shared" si="294"/>
        <v>NOT CONGESTED</v>
      </c>
      <c r="CQ168" s="2"/>
      <c r="CR168" s="42"/>
      <c r="CS168" s="11" t="str">
        <f t="shared" si="271"/>
        <v/>
      </c>
      <c r="CT168" s="11" t="str">
        <f t="shared" si="295"/>
        <v/>
      </c>
      <c r="CU168" s="11" t="str">
        <f t="shared" si="272"/>
        <v/>
      </c>
      <c r="CV168" s="11" t="str">
        <f t="shared" si="273"/>
        <v/>
      </c>
      <c r="CW168" s="2"/>
      <c r="CX168" s="1"/>
      <c r="CY168" s="145" t="str">
        <f t="shared" si="274"/>
        <v/>
      </c>
      <c r="CZ168" s="32" t="str">
        <f t="shared" si="275"/>
        <v/>
      </c>
    </row>
    <row r="169" spans="1:104" ht="12.75" customHeight="1">
      <c r="A169" s="2">
        <v>6000002</v>
      </c>
      <c r="B169" s="1">
        <f t="shared" si="276"/>
        <v>155</v>
      </c>
      <c r="C169" s="199">
        <v>1270</v>
      </c>
      <c r="D169" s="1">
        <f>VLOOKUP(C169,'2022 counts'!$A$6:$B$304,2,FALSE)</f>
        <v>155</v>
      </c>
      <c r="E169" s="2"/>
      <c r="F169" s="2" t="s">
        <v>6</v>
      </c>
      <c r="G169" s="156">
        <v>55</v>
      </c>
      <c r="H169" s="11">
        <v>1.63</v>
      </c>
      <c r="I169" s="34" t="s">
        <v>767</v>
      </c>
      <c r="J169" s="34" t="s">
        <v>541</v>
      </c>
      <c r="K169" s="34" t="s">
        <v>683</v>
      </c>
      <c r="L169" s="157">
        <v>4</v>
      </c>
      <c r="M169" s="1">
        <f>'State of the System - Sumter Co'!K169</f>
        <v>4</v>
      </c>
      <c r="N169" s="1" t="str">
        <f>IF('State of the System - Sumter Co'!L169="URBAN","U","R")</f>
        <v>U</v>
      </c>
      <c r="O169" s="1" t="str">
        <f>IF('State of the System - Sumter Co'!M169="UNDIVIDED","U",IF('State of the System - Sumter Co'!M169="DIVIDED","D","F"))</f>
        <v>D</v>
      </c>
      <c r="P169" s="1" t="str">
        <f>'State of the System - Sumter Co'!N169</f>
        <v>INTERRUPTED</v>
      </c>
      <c r="Q169" s="1" t="str">
        <f t="shared" si="234"/>
        <v/>
      </c>
      <c r="R169" s="1" t="str">
        <f>'State of the System - Sumter Co'!O169</f>
        <v/>
      </c>
      <c r="S169" s="1" t="str">
        <f t="shared" si="281"/>
        <v>-1</v>
      </c>
      <c r="T169" s="1" t="str">
        <f t="shared" si="236"/>
        <v>U-4D-1</v>
      </c>
      <c r="U169" s="1" t="str">
        <f t="shared" si="279"/>
        <v>U-4D-1</v>
      </c>
      <c r="V169" s="2" t="s">
        <v>10</v>
      </c>
      <c r="W169" s="1" t="s">
        <v>11</v>
      </c>
      <c r="X169" s="1" t="s">
        <v>12</v>
      </c>
      <c r="Y169" s="1" t="str">
        <f>'State of the System - Sumter Co'!R169</f>
        <v>D</v>
      </c>
      <c r="Z169" s="157" t="str">
        <f t="shared" si="237"/>
        <v>Other CMP Network Roadways</v>
      </c>
      <c r="AA169" s="15">
        <f>VLOOKUP($T169,'2020_CapacityTable'!$B$49:$F$71,2)</f>
        <v>0</v>
      </c>
      <c r="AB169" s="15">
        <f>VLOOKUP($T169,'2020_CapacityTable'!$B$49:$F$71,3)</f>
        <v>37900</v>
      </c>
      <c r="AC169" s="15">
        <f>VLOOKUP($T169,'2020_CapacityTable'!$B$49:$F$71,4)</f>
        <v>39800</v>
      </c>
      <c r="AD169" s="15">
        <f>VLOOKUP($T169,'2020_CapacityTable'!$B$49:$F$71,5)</f>
        <v>39800</v>
      </c>
      <c r="AE169" s="35">
        <f t="shared" si="288"/>
        <v>-0.1</v>
      </c>
      <c r="AF169" s="36" t="str">
        <f t="shared" si="238"/>
        <v/>
      </c>
      <c r="AG169" s="2"/>
      <c r="AH169" s="2"/>
      <c r="AI169" s="2"/>
      <c r="AJ169" s="2"/>
      <c r="AK169" s="15">
        <f t="shared" si="239"/>
        <v>0</v>
      </c>
      <c r="AL169" s="15">
        <f t="shared" si="240"/>
        <v>34110</v>
      </c>
      <c r="AM169" s="15">
        <f t="shared" si="241"/>
        <v>35820</v>
      </c>
      <c r="AN169" s="15">
        <f t="shared" si="242"/>
        <v>35820</v>
      </c>
      <c r="AO169" s="3">
        <f t="shared" si="289"/>
        <v>35820</v>
      </c>
      <c r="AP169" s="138">
        <f>VLOOKUP($B169,'2022 counts'!$B$6:$R$304,17,FALSE)</f>
        <v>19101</v>
      </c>
      <c r="AQ169" s="11">
        <f t="shared" si="243"/>
        <v>0.53</v>
      </c>
      <c r="AR169" s="2" t="str">
        <f t="shared" si="244"/>
        <v>C</v>
      </c>
      <c r="AS169" s="26">
        <f t="shared" si="245"/>
        <v>11.36</v>
      </c>
      <c r="AT169" s="15">
        <f>VLOOKUP($T169,'2020_CapacityTable'!$B$23:$F$45,2)</f>
        <v>0</v>
      </c>
      <c r="AU169" s="15">
        <f>VLOOKUP($T169,'2020_CapacityTable'!$B$23:$F$45,3)</f>
        <v>1910</v>
      </c>
      <c r="AV169" s="15">
        <f>VLOOKUP($T169,'2020_CapacityTable'!$B$23:$F$45,4)</f>
        <v>2000</v>
      </c>
      <c r="AW169" s="15">
        <f>VLOOKUP($T169,'2020_CapacityTable'!$B$23:$F$45,5)</f>
        <v>2000</v>
      </c>
      <c r="AX169" s="15">
        <f t="shared" si="246"/>
        <v>0</v>
      </c>
      <c r="AY169" s="15">
        <f t="shared" si="247"/>
        <v>1719</v>
      </c>
      <c r="AZ169" s="15">
        <f t="shared" si="248"/>
        <v>1800</v>
      </c>
      <c r="BA169" s="15">
        <f t="shared" si="249"/>
        <v>1800</v>
      </c>
      <c r="BB169" s="3">
        <f t="shared" si="290"/>
        <v>1800</v>
      </c>
      <c r="BC169" s="138">
        <f>VLOOKUP($B169,'2022 counts'!$B$6:$AD$304,28,FALSE)</f>
        <v>826</v>
      </c>
      <c r="BD169" s="138">
        <f>VLOOKUP($B169,'2022 counts'!$B$6:$AD$304,29,FALSE)</f>
        <v>929</v>
      </c>
      <c r="BE169" s="11">
        <f t="shared" si="250"/>
        <v>0.52</v>
      </c>
      <c r="BF169" s="2" t="str">
        <f t="shared" si="251"/>
        <v>C</v>
      </c>
      <c r="BG169" s="135">
        <v>5.2499999999999998E-2</v>
      </c>
      <c r="BH169" s="135">
        <f>IF($AQ169="","",VLOOKUP($B169, '2022 counts'!$B$6:$T$304,19,FALSE))</f>
        <v>5.2499999999999998E-2</v>
      </c>
      <c r="BI169" s="38">
        <f t="shared" si="252"/>
        <v>5.2499999999999998E-2</v>
      </c>
      <c r="BJ169" s="39" t="str">
        <f t="shared" si="253"/>
        <v/>
      </c>
      <c r="BK169" s="15">
        <f>VLOOKUP($U169,'2020_CapacityTable'!$B$49:$F$71,2)</f>
        <v>0</v>
      </c>
      <c r="BL169" s="15">
        <f>VLOOKUP($U169,'2020_CapacityTable'!$B$49:$F$71,3)</f>
        <v>37900</v>
      </c>
      <c r="BM169" s="15">
        <f>VLOOKUP($T169,'2020_CapacityTable'!$B$49:$F$71,4)</f>
        <v>39800</v>
      </c>
      <c r="BN169" s="15">
        <f>VLOOKUP($T169,'2020_CapacityTable'!$B$49:$F$71,5)</f>
        <v>39800</v>
      </c>
      <c r="BO169" s="15">
        <f t="shared" si="254"/>
        <v>0</v>
      </c>
      <c r="BP169" s="15">
        <f t="shared" si="255"/>
        <v>34110</v>
      </c>
      <c r="BQ169" s="15">
        <f t="shared" si="256"/>
        <v>35820</v>
      </c>
      <c r="BR169" s="15">
        <f t="shared" si="257"/>
        <v>35820</v>
      </c>
      <c r="BS169" s="3">
        <f t="shared" si="291"/>
        <v>35820</v>
      </c>
      <c r="BT169" s="40">
        <f>'State of the System - Sumter Co'!AD169</f>
        <v>24670</v>
      </c>
      <c r="BU169" s="41">
        <f t="shared" si="258"/>
        <v>0.69</v>
      </c>
      <c r="BV169" s="2" t="str">
        <f t="shared" si="259"/>
        <v>C</v>
      </c>
      <c r="BW169" s="2">
        <f t="shared" si="260"/>
        <v>14.68</v>
      </c>
      <c r="BX169" s="15">
        <f>VLOOKUP($U169,'2020_CapacityTable'!$B$23:$F$45,2)</f>
        <v>0</v>
      </c>
      <c r="BY169" s="15">
        <f>VLOOKUP($U169,'2020_CapacityTable'!$B$23:$F$45,3)</f>
        <v>1910</v>
      </c>
      <c r="BZ169" s="15">
        <f>VLOOKUP($U169,'2020_CapacityTable'!$B$23:$F$45,4)</f>
        <v>2000</v>
      </c>
      <c r="CA169" s="15">
        <f>VLOOKUP($U169,'2020_CapacityTable'!$B$23:$F$45,5)</f>
        <v>2000</v>
      </c>
      <c r="CB169" s="15">
        <f t="shared" si="261"/>
        <v>0</v>
      </c>
      <c r="CC169" s="15">
        <f t="shared" si="262"/>
        <v>1719</v>
      </c>
      <c r="CD169" s="15">
        <f t="shared" si="263"/>
        <v>1800</v>
      </c>
      <c r="CE169" s="15">
        <f t="shared" si="264"/>
        <v>1800</v>
      </c>
      <c r="CF169" s="3">
        <f t="shared" si="292"/>
        <v>1800</v>
      </c>
      <c r="CG169" s="2">
        <f>'State of the System - Sumter Co'!AH169</f>
        <v>1067</v>
      </c>
      <c r="CH169" s="2">
        <f>'State of the System - Sumter Co'!AI169</f>
        <v>1200</v>
      </c>
      <c r="CI169" s="11">
        <f t="shared" si="265"/>
        <v>0.67</v>
      </c>
      <c r="CJ169" s="2" t="str">
        <f t="shared" si="293"/>
        <v>C</v>
      </c>
      <c r="CK169" s="3">
        <f t="shared" si="266"/>
        <v>38686</v>
      </c>
      <c r="CL169" s="11">
        <f t="shared" si="267"/>
        <v>0.64</v>
      </c>
      <c r="CM169" s="11" t="str">
        <f t="shared" si="268"/>
        <v>NOT CONGESTED</v>
      </c>
      <c r="CN169" s="3">
        <f t="shared" si="269"/>
        <v>1944</v>
      </c>
      <c r="CO169" s="11">
        <f t="shared" si="270"/>
        <v>0.62</v>
      </c>
      <c r="CP169" s="156" t="str">
        <f t="shared" si="294"/>
        <v>NOT CONGESTED</v>
      </c>
      <c r="CQ169" s="3"/>
      <c r="CR169" s="3"/>
      <c r="CS169" s="11" t="str">
        <f t="shared" si="271"/>
        <v/>
      </c>
      <c r="CT169" s="11" t="str">
        <f t="shared" si="295"/>
        <v/>
      </c>
      <c r="CU169" s="11" t="str">
        <f t="shared" si="272"/>
        <v/>
      </c>
      <c r="CV169" s="11" t="str">
        <f t="shared" si="273"/>
        <v/>
      </c>
      <c r="CW169" s="2"/>
      <c r="CX169" s="1"/>
      <c r="CY169" s="145" t="str">
        <f t="shared" si="274"/>
        <v/>
      </c>
      <c r="CZ169" s="32" t="str">
        <f t="shared" si="275"/>
        <v/>
      </c>
    </row>
    <row r="170" spans="1:104" ht="12.75" customHeight="1">
      <c r="A170" s="2">
        <v>6000003</v>
      </c>
      <c r="B170" s="1">
        <f t="shared" si="276"/>
        <v>132</v>
      </c>
      <c r="C170" s="199">
        <v>485</v>
      </c>
      <c r="D170" s="1">
        <f>VLOOKUP(C170,'2022 counts'!$A$6:$B$304,2,FALSE)</f>
        <v>132</v>
      </c>
      <c r="E170" s="2"/>
      <c r="F170" s="2" t="s">
        <v>6</v>
      </c>
      <c r="G170" s="156">
        <v>35</v>
      </c>
      <c r="H170" s="11">
        <v>0.96</v>
      </c>
      <c r="I170" s="34" t="s">
        <v>55</v>
      </c>
      <c r="J170" s="34" t="s">
        <v>683</v>
      </c>
      <c r="K170" s="34" t="s">
        <v>684</v>
      </c>
      <c r="L170" s="157">
        <v>4</v>
      </c>
      <c r="M170" s="1">
        <f>'State of the System - Sumter Co'!K170</f>
        <v>4</v>
      </c>
      <c r="N170" s="1" t="str">
        <f>IF('State of the System - Sumter Co'!L170="URBAN","U","R")</f>
        <v>U</v>
      </c>
      <c r="O170" s="1" t="str">
        <f>IF('State of the System - Sumter Co'!M170="UNDIVIDED","U",IF('State of the System - Sumter Co'!M170="DIVIDED","D","F"))</f>
        <v>D</v>
      </c>
      <c r="P170" s="1" t="str">
        <f>'State of the System - Sumter Co'!N170</f>
        <v>INTERRUPTED</v>
      </c>
      <c r="Q170" s="1" t="str">
        <f t="shared" si="234"/>
        <v/>
      </c>
      <c r="R170" s="1" t="str">
        <f>'State of the System - Sumter Co'!O170</f>
        <v/>
      </c>
      <c r="S170" s="1" t="str">
        <f t="shared" si="281"/>
        <v>-2</v>
      </c>
      <c r="T170" s="1" t="str">
        <f t="shared" si="236"/>
        <v>U-4D-2</v>
      </c>
      <c r="U170" s="1" t="str">
        <f t="shared" si="279"/>
        <v>U-4D-2</v>
      </c>
      <c r="V170" s="2" t="s">
        <v>10</v>
      </c>
      <c r="W170" s="1" t="s">
        <v>11</v>
      </c>
      <c r="X170" s="1" t="s">
        <v>12</v>
      </c>
      <c r="Y170" s="1" t="str">
        <f>'State of the System - Sumter Co'!R170</f>
        <v>D</v>
      </c>
      <c r="Z170" s="157" t="str">
        <f t="shared" si="237"/>
        <v>Other CMP Network Roadways</v>
      </c>
      <c r="AA170" s="15">
        <f>VLOOKUP($T170,'2020_CapacityTable'!$B$49:$F$71,2)</f>
        <v>0</v>
      </c>
      <c r="AB170" s="15">
        <f>VLOOKUP($T170,'2020_CapacityTable'!$B$49:$F$71,3)</f>
        <v>14500</v>
      </c>
      <c r="AC170" s="15">
        <f>VLOOKUP($T170,'2020_CapacityTable'!$B$49:$F$71,4)</f>
        <v>32400</v>
      </c>
      <c r="AD170" s="15">
        <f>VLOOKUP($T170,'2020_CapacityTable'!$B$49:$F$71,5)</f>
        <v>33800</v>
      </c>
      <c r="AE170" s="35">
        <f t="shared" si="288"/>
        <v>-0.1</v>
      </c>
      <c r="AF170" s="36" t="str">
        <f t="shared" si="238"/>
        <v/>
      </c>
      <c r="AG170" s="2"/>
      <c r="AH170" s="2"/>
      <c r="AI170" s="2"/>
      <c r="AJ170" s="2"/>
      <c r="AK170" s="15">
        <f t="shared" si="239"/>
        <v>0</v>
      </c>
      <c r="AL170" s="15">
        <f t="shared" si="240"/>
        <v>13050</v>
      </c>
      <c r="AM170" s="15">
        <f t="shared" si="241"/>
        <v>29160</v>
      </c>
      <c r="AN170" s="15">
        <f t="shared" si="242"/>
        <v>30420</v>
      </c>
      <c r="AO170" s="3">
        <f t="shared" si="289"/>
        <v>29160</v>
      </c>
      <c r="AP170" s="138">
        <f>VLOOKUP($B170,'2022 counts'!$B$6:$R$304,17,FALSE)</f>
        <v>16973</v>
      </c>
      <c r="AQ170" s="11">
        <f t="shared" si="243"/>
        <v>0.57999999999999996</v>
      </c>
      <c r="AR170" s="2" t="str">
        <f t="shared" si="244"/>
        <v>D</v>
      </c>
      <c r="AS170" s="26">
        <f t="shared" si="245"/>
        <v>5.95</v>
      </c>
      <c r="AT170" s="15">
        <f>VLOOKUP($T170,'2020_CapacityTable'!$B$23:$F$45,2)</f>
        <v>0</v>
      </c>
      <c r="AU170" s="15">
        <f>VLOOKUP($T170,'2020_CapacityTable'!$B$23:$F$45,3)</f>
        <v>730</v>
      </c>
      <c r="AV170" s="15">
        <f>VLOOKUP($T170,'2020_CapacityTable'!$B$23:$F$45,4)</f>
        <v>1630</v>
      </c>
      <c r="AW170" s="15">
        <f>VLOOKUP($T170,'2020_CapacityTable'!$B$23:$F$45,5)</f>
        <v>1700</v>
      </c>
      <c r="AX170" s="15">
        <f t="shared" si="246"/>
        <v>0</v>
      </c>
      <c r="AY170" s="15">
        <f t="shared" si="247"/>
        <v>657</v>
      </c>
      <c r="AZ170" s="15">
        <f t="shared" si="248"/>
        <v>1467</v>
      </c>
      <c r="BA170" s="15">
        <f t="shared" si="249"/>
        <v>1530</v>
      </c>
      <c r="BB170" s="3">
        <f t="shared" si="290"/>
        <v>1467</v>
      </c>
      <c r="BC170" s="138">
        <f>VLOOKUP($B170,'2022 counts'!$B$6:$AD$304,28,FALSE)</f>
        <v>780</v>
      </c>
      <c r="BD170" s="138">
        <f>VLOOKUP($B170,'2022 counts'!$B$6:$AD$304,29,FALSE)</f>
        <v>825</v>
      </c>
      <c r="BE170" s="11">
        <f t="shared" si="250"/>
        <v>0.56000000000000005</v>
      </c>
      <c r="BF170" s="2" t="str">
        <f t="shared" si="251"/>
        <v>D</v>
      </c>
      <c r="BG170" s="135">
        <v>4.2500000000000003E-2</v>
      </c>
      <c r="BH170" s="135">
        <f>IF($AQ170="","",VLOOKUP($B170, '2022 counts'!$B$6:$T$304,19,FALSE))</f>
        <v>4.2500000000000003E-2</v>
      </c>
      <c r="BI170" s="38">
        <f t="shared" si="252"/>
        <v>4.2500000000000003E-2</v>
      </c>
      <c r="BJ170" s="39" t="str">
        <f t="shared" si="253"/>
        <v/>
      </c>
      <c r="BK170" s="15">
        <f>VLOOKUP($U170,'2020_CapacityTable'!$B$49:$F$71,2)</f>
        <v>0</v>
      </c>
      <c r="BL170" s="15">
        <f>VLOOKUP($U170,'2020_CapacityTable'!$B$49:$F$71,3)</f>
        <v>14500</v>
      </c>
      <c r="BM170" s="15">
        <f>VLOOKUP($T170,'2020_CapacityTable'!$B$49:$F$71,4)</f>
        <v>32400</v>
      </c>
      <c r="BN170" s="15">
        <f>VLOOKUP($T170,'2020_CapacityTable'!$B$49:$F$71,5)</f>
        <v>33800</v>
      </c>
      <c r="BO170" s="15">
        <f t="shared" si="254"/>
        <v>0</v>
      </c>
      <c r="BP170" s="15">
        <f t="shared" si="255"/>
        <v>13050</v>
      </c>
      <c r="BQ170" s="15">
        <f t="shared" si="256"/>
        <v>29160</v>
      </c>
      <c r="BR170" s="15">
        <f t="shared" si="257"/>
        <v>30420</v>
      </c>
      <c r="BS170" s="3">
        <f t="shared" si="291"/>
        <v>29160</v>
      </c>
      <c r="BT170" s="40">
        <f>'State of the System - Sumter Co'!AD170</f>
        <v>20900</v>
      </c>
      <c r="BU170" s="41">
        <f t="shared" si="258"/>
        <v>0.72</v>
      </c>
      <c r="BV170" s="2" t="str">
        <f t="shared" si="259"/>
        <v>D</v>
      </c>
      <c r="BW170" s="2">
        <f t="shared" si="260"/>
        <v>7.32</v>
      </c>
      <c r="BX170" s="15">
        <f>VLOOKUP($U170,'2020_CapacityTable'!$B$23:$F$45,2)</f>
        <v>0</v>
      </c>
      <c r="BY170" s="15">
        <f>VLOOKUP($U170,'2020_CapacityTable'!$B$23:$F$45,3)</f>
        <v>730</v>
      </c>
      <c r="BZ170" s="15">
        <f>VLOOKUP($U170,'2020_CapacityTable'!$B$23:$F$45,4)</f>
        <v>1630</v>
      </c>
      <c r="CA170" s="15">
        <f>VLOOKUP($U170,'2020_CapacityTable'!$B$23:$F$45,5)</f>
        <v>1700</v>
      </c>
      <c r="CB170" s="15">
        <f t="shared" si="261"/>
        <v>0</v>
      </c>
      <c r="CC170" s="15">
        <f t="shared" si="262"/>
        <v>657</v>
      </c>
      <c r="CD170" s="15">
        <f t="shared" si="263"/>
        <v>1467</v>
      </c>
      <c r="CE170" s="15">
        <f t="shared" si="264"/>
        <v>1530</v>
      </c>
      <c r="CF170" s="3">
        <f t="shared" si="292"/>
        <v>1467</v>
      </c>
      <c r="CG170" s="2">
        <f>'State of the System - Sumter Co'!AH170</f>
        <v>960</v>
      </c>
      <c r="CH170" s="2">
        <f>'State of the System - Sumter Co'!AI170</f>
        <v>1016</v>
      </c>
      <c r="CI170" s="11">
        <f t="shared" si="265"/>
        <v>0.69</v>
      </c>
      <c r="CJ170" s="2" t="str">
        <f t="shared" si="293"/>
        <v>D</v>
      </c>
      <c r="CK170" s="3">
        <f t="shared" si="266"/>
        <v>32854</v>
      </c>
      <c r="CL170" s="11">
        <f t="shared" si="267"/>
        <v>0.64</v>
      </c>
      <c r="CM170" s="11" t="str">
        <f t="shared" si="268"/>
        <v>NOT CONGESTED</v>
      </c>
      <c r="CN170" s="3">
        <f t="shared" si="269"/>
        <v>1652</v>
      </c>
      <c r="CO170" s="11">
        <f t="shared" si="270"/>
        <v>0.62</v>
      </c>
      <c r="CP170" s="156" t="str">
        <f t="shared" si="294"/>
        <v>NOT CONGESTED</v>
      </c>
      <c r="CQ170" s="3"/>
      <c r="CR170" s="3"/>
      <c r="CS170" s="11" t="str">
        <f t="shared" si="271"/>
        <v/>
      </c>
      <c r="CT170" s="11" t="str">
        <f t="shared" si="295"/>
        <v/>
      </c>
      <c r="CU170" s="11" t="str">
        <f t="shared" si="272"/>
        <v/>
      </c>
      <c r="CV170" s="11" t="str">
        <f t="shared" si="273"/>
        <v/>
      </c>
      <c r="CW170" s="2"/>
      <c r="CX170" s="1"/>
      <c r="CY170" s="145" t="str">
        <f t="shared" si="274"/>
        <v/>
      </c>
      <c r="CZ170" s="32" t="str">
        <f t="shared" si="275"/>
        <v/>
      </c>
    </row>
    <row r="171" spans="1:104" ht="12.75" customHeight="1">
      <c r="A171" s="2">
        <v>6000004</v>
      </c>
      <c r="B171" s="1">
        <f t="shared" si="276"/>
        <v>133</v>
      </c>
      <c r="C171" s="199">
        <v>490</v>
      </c>
      <c r="D171" s="1">
        <f>VLOOKUP(C171,'2022 counts'!$A$6:$B$304,2,FALSE)</f>
        <v>133</v>
      </c>
      <c r="E171" s="2"/>
      <c r="F171" s="2" t="s">
        <v>6</v>
      </c>
      <c r="G171" s="156">
        <v>35</v>
      </c>
      <c r="H171" s="11">
        <v>0.36</v>
      </c>
      <c r="I171" s="34" t="s">
        <v>55</v>
      </c>
      <c r="J171" s="34" t="s">
        <v>684</v>
      </c>
      <c r="K171" s="34" t="s">
        <v>727</v>
      </c>
      <c r="L171" s="157">
        <v>4</v>
      </c>
      <c r="M171" s="1">
        <f>'State of the System - Sumter Co'!K171</f>
        <v>4</v>
      </c>
      <c r="N171" s="1" t="str">
        <f>IF('State of the System - Sumter Co'!L171="URBAN","U","R")</f>
        <v>U</v>
      </c>
      <c r="O171" s="1" t="str">
        <f>IF('State of the System - Sumter Co'!M171="UNDIVIDED","U",IF('State of the System - Sumter Co'!M171="DIVIDED","D","F"))</f>
        <v>D</v>
      </c>
      <c r="P171" s="1" t="str">
        <f>'State of the System - Sumter Co'!N171</f>
        <v>INTERRUPTED</v>
      </c>
      <c r="Q171" s="1" t="str">
        <f t="shared" si="234"/>
        <v/>
      </c>
      <c r="R171" s="1" t="str">
        <f>'State of the System - Sumter Co'!O171</f>
        <v/>
      </c>
      <c r="S171" s="1" t="str">
        <f t="shared" si="281"/>
        <v>-2</v>
      </c>
      <c r="T171" s="1" t="str">
        <f t="shared" si="236"/>
        <v>U-4D-2</v>
      </c>
      <c r="U171" s="1" t="str">
        <f t="shared" si="279"/>
        <v>U-4D-2</v>
      </c>
      <c r="V171" s="2" t="s">
        <v>10</v>
      </c>
      <c r="W171" s="1" t="s">
        <v>11</v>
      </c>
      <c r="X171" s="1" t="s">
        <v>12</v>
      </c>
      <c r="Y171" s="1" t="str">
        <f>'State of the System - Sumter Co'!R171</f>
        <v>D</v>
      </c>
      <c r="Z171" s="157" t="str">
        <f t="shared" si="237"/>
        <v>Other CMP Network Roadways</v>
      </c>
      <c r="AA171" s="15">
        <f>VLOOKUP($T171,'2020_CapacityTable'!$B$49:$F$71,2)</f>
        <v>0</v>
      </c>
      <c r="AB171" s="15">
        <f>VLOOKUP($T171,'2020_CapacityTable'!$B$49:$F$71,3)</f>
        <v>14500</v>
      </c>
      <c r="AC171" s="15">
        <f>VLOOKUP($T171,'2020_CapacityTable'!$B$49:$F$71,4)</f>
        <v>32400</v>
      </c>
      <c r="AD171" s="15">
        <f>VLOOKUP($T171,'2020_CapacityTable'!$B$49:$F$71,5)</f>
        <v>33800</v>
      </c>
      <c r="AE171" s="35">
        <f t="shared" si="288"/>
        <v>-0.1</v>
      </c>
      <c r="AF171" s="36" t="str">
        <f t="shared" si="238"/>
        <v/>
      </c>
      <c r="AG171" s="2"/>
      <c r="AH171" s="2"/>
      <c r="AI171" s="2"/>
      <c r="AJ171" s="2"/>
      <c r="AK171" s="15">
        <f t="shared" si="239"/>
        <v>0</v>
      </c>
      <c r="AL171" s="15">
        <f t="shared" si="240"/>
        <v>13050</v>
      </c>
      <c r="AM171" s="15">
        <f t="shared" si="241"/>
        <v>29160</v>
      </c>
      <c r="AN171" s="15">
        <f t="shared" si="242"/>
        <v>30420</v>
      </c>
      <c r="AO171" s="3">
        <f t="shared" si="289"/>
        <v>29160</v>
      </c>
      <c r="AP171" s="138">
        <f>VLOOKUP($B171,'2022 counts'!$B$6:$R$304,17,FALSE)</f>
        <v>17949</v>
      </c>
      <c r="AQ171" s="11">
        <f t="shared" si="243"/>
        <v>0.62</v>
      </c>
      <c r="AR171" s="2" t="str">
        <f t="shared" si="244"/>
        <v>D</v>
      </c>
      <c r="AS171" s="26">
        <f t="shared" si="245"/>
        <v>2.36</v>
      </c>
      <c r="AT171" s="15">
        <f>VLOOKUP($T171,'2020_CapacityTable'!$B$23:$F$45,2)</f>
        <v>0</v>
      </c>
      <c r="AU171" s="15">
        <f>VLOOKUP($T171,'2020_CapacityTable'!$B$23:$F$45,3)</f>
        <v>730</v>
      </c>
      <c r="AV171" s="15">
        <f>VLOOKUP($T171,'2020_CapacityTable'!$B$23:$F$45,4)</f>
        <v>1630</v>
      </c>
      <c r="AW171" s="15">
        <f>VLOOKUP($T171,'2020_CapacityTable'!$B$23:$F$45,5)</f>
        <v>1700</v>
      </c>
      <c r="AX171" s="15">
        <f t="shared" si="246"/>
        <v>0</v>
      </c>
      <c r="AY171" s="15">
        <f t="shared" si="247"/>
        <v>657</v>
      </c>
      <c r="AZ171" s="15">
        <f t="shared" si="248"/>
        <v>1467</v>
      </c>
      <c r="BA171" s="15">
        <f t="shared" si="249"/>
        <v>1530</v>
      </c>
      <c r="BB171" s="3">
        <f t="shared" si="290"/>
        <v>1467</v>
      </c>
      <c r="BC171" s="138">
        <f>VLOOKUP($B171,'2022 counts'!$B$6:$AD$304,28,FALSE)</f>
        <v>825</v>
      </c>
      <c r="BD171" s="138">
        <f>VLOOKUP($B171,'2022 counts'!$B$6:$AD$304,29,FALSE)</f>
        <v>888</v>
      </c>
      <c r="BE171" s="11">
        <f t="shared" si="250"/>
        <v>0.61</v>
      </c>
      <c r="BF171" s="2" t="str">
        <f t="shared" si="251"/>
        <v>D</v>
      </c>
      <c r="BG171" s="135">
        <v>0</v>
      </c>
      <c r="BH171" s="135">
        <f>IF($AQ171="","",VLOOKUP($B171, '2022 counts'!$B$6:$T$304,19,FALSE))</f>
        <v>0</v>
      </c>
      <c r="BI171" s="38">
        <f t="shared" si="252"/>
        <v>0.01</v>
      </c>
      <c r="BJ171" s="39" t="str">
        <f t="shared" si="253"/>
        <v>minimum</v>
      </c>
      <c r="BK171" s="15">
        <f>VLOOKUP($U171,'2020_CapacityTable'!$B$49:$F$71,2)</f>
        <v>0</v>
      </c>
      <c r="BL171" s="15">
        <f>VLOOKUP($U171,'2020_CapacityTable'!$B$49:$F$71,3)</f>
        <v>14500</v>
      </c>
      <c r="BM171" s="15">
        <f>VLOOKUP($T171,'2020_CapacityTable'!$B$49:$F$71,4)</f>
        <v>32400</v>
      </c>
      <c r="BN171" s="15">
        <f>VLOOKUP($T171,'2020_CapacityTable'!$B$49:$F$71,5)</f>
        <v>33800</v>
      </c>
      <c r="BO171" s="15">
        <f t="shared" si="254"/>
        <v>0</v>
      </c>
      <c r="BP171" s="15">
        <f t="shared" si="255"/>
        <v>13050</v>
      </c>
      <c r="BQ171" s="15">
        <f t="shared" si="256"/>
        <v>29160</v>
      </c>
      <c r="BR171" s="15">
        <f t="shared" si="257"/>
        <v>30420</v>
      </c>
      <c r="BS171" s="3">
        <f t="shared" si="291"/>
        <v>29160</v>
      </c>
      <c r="BT171" s="40">
        <f>'State of the System - Sumter Co'!AD171</f>
        <v>18865</v>
      </c>
      <c r="BU171" s="41">
        <f t="shared" si="258"/>
        <v>0.65</v>
      </c>
      <c r="BV171" s="2" t="str">
        <f t="shared" si="259"/>
        <v>D</v>
      </c>
      <c r="BW171" s="2">
        <f t="shared" si="260"/>
        <v>2.48</v>
      </c>
      <c r="BX171" s="15">
        <f>VLOOKUP($U171,'2020_CapacityTable'!$B$23:$F$45,2)</f>
        <v>0</v>
      </c>
      <c r="BY171" s="15">
        <f>VLOOKUP($U171,'2020_CapacityTable'!$B$23:$F$45,3)</f>
        <v>730</v>
      </c>
      <c r="BZ171" s="15">
        <f>VLOOKUP($U171,'2020_CapacityTable'!$B$23:$F$45,4)</f>
        <v>1630</v>
      </c>
      <c r="CA171" s="15">
        <f>VLOOKUP($U171,'2020_CapacityTable'!$B$23:$F$45,5)</f>
        <v>1700</v>
      </c>
      <c r="CB171" s="15">
        <f t="shared" si="261"/>
        <v>0</v>
      </c>
      <c r="CC171" s="15">
        <f t="shared" si="262"/>
        <v>657</v>
      </c>
      <c r="CD171" s="15">
        <f t="shared" si="263"/>
        <v>1467</v>
      </c>
      <c r="CE171" s="15">
        <f t="shared" si="264"/>
        <v>1530</v>
      </c>
      <c r="CF171" s="3">
        <f t="shared" si="292"/>
        <v>1467</v>
      </c>
      <c r="CG171" s="2">
        <f>'State of the System - Sumter Co'!AH171</f>
        <v>867</v>
      </c>
      <c r="CH171" s="2">
        <f>'State of the System - Sumter Co'!AI171</f>
        <v>933</v>
      </c>
      <c r="CI171" s="11">
        <f t="shared" si="265"/>
        <v>0.64</v>
      </c>
      <c r="CJ171" s="2" t="str">
        <f t="shared" si="293"/>
        <v>D</v>
      </c>
      <c r="CK171" s="3">
        <f t="shared" si="266"/>
        <v>32854</v>
      </c>
      <c r="CL171" s="11">
        <f t="shared" si="267"/>
        <v>0.56999999999999995</v>
      </c>
      <c r="CM171" s="11" t="str">
        <f t="shared" si="268"/>
        <v>NOT CONGESTED</v>
      </c>
      <c r="CN171" s="3">
        <f t="shared" si="269"/>
        <v>1652</v>
      </c>
      <c r="CO171" s="11">
        <f t="shared" si="270"/>
        <v>0.56000000000000005</v>
      </c>
      <c r="CP171" s="156" t="str">
        <f t="shared" si="294"/>
        <v>NOT CONGESTED</v>
      </c>
      <c r="CQ171" s="3"/>
      <c r="CR171" s="3"/>
      <c r="CS171" s="11" t="str">
        <f t="shared" si="271"/>
        <v/>
      </c>
      <c r="CT171" s="11" t="str">
        <f t="shared" si="295"/>
        <v/>
      </c>
      <c r="CU171" s="11" t="str">
        <f t="shared" si="272"/>
        <v/>
      </c>
      <c r="CV171" s="11" t="str">
        <f t="shared" si="273"/>
        <v/>
      </c>
      <c r="CW171" s="2"/>
      <c r="CX171" s="1"/>
      <c r="CY171" s="145" t="str">
        <f t="shared" si="274"/>
        <v/>
      </c>
      <c r="CZ171" s="32" t="str">
        <f t="shared" si="275"/>
        <v/>
      </c>
    </row>
    <row r="172" spans="1:104" ht="12.75" customHeight="1">
      <c r="A172" s="1">
        <v>6000005</v>
      </c>
      <c r="B172" s="1">
        <f t="shared" si="276"/>
        <v>158</v>
      </c>
      <c r="C172" s="1">
        <v>314</v>
      </c>
      <c r="D172" s="1">
        <f>VLOOKUP(C172,'2022 counts'!$A$6:$B$304,2,FALSE)</f>
        <v>158</v>
      </c>
      <c r="E172" s="1"/>
      <c r="F172" s="2" t="s">
        <v>6</v>
      </c>
      <c r="G172" s="156">
        <v>35</v>
      </c>
      <c r="H172" s="11">
        <v>0.39418369201499998</v>
      </c>
      <c r="I172" s="10" t="s">
        <v>18</v>
      </c>
      <c r="J172" s="10" t="s">
        <v>727</v>
      </c>
      <c r="K172" s="10" t="s">
        <v>28</v>
      </c>
      <c r="L172" s="157">
        <v>4</v>
      </c>
      <c r="M172" s="1">
        <f>'State of the System - Sumter Co'!K172</f>
        <v>4</v>
      </c>
      <c r="N172" s="1" t="str">
        <f>IF('State of the System - Sumter Co'!L172="URBAN","U","R")</f>
        <v>U</v>
      </c>
      <c r="O172" s="1" t="str">
        <f>IF('State of the System - Sumter Co'!M172="UNDIVIDED","U",IF('State of the System - Sumter Co'!M172="DIVIDED","D","F"))</f>
        <v>D</v>
      </c>
      <c r="P172" s="1" t="str">
        <f>'State of the System - Sumter Co'!N172</f>
        <v>INTERRUPTED</v>
      </c>
      <c r="Q172" s="1" t="str">
        <f t="shared" si="234"/>
        <v/>
      </c>
      <c r="R172" s="1" t="str">
        <f>'State of the System - Sumter Co'!O172</f>
        <v/>
      </c>
      <c r="S172" s="1" t="str">
        <f t="shared" si="281"/>
        <v>-2</v>
      </c>
      <c r="T172" s="1" t="str">
        <f t="shared" si="236"/>
        <v>U-4D-2</v>
      </c>
      <c r="U172" s="1" t="str">
        <f t="shared" si="279"/>
        <v>U-4D-2</v>
      </c>
      <c r="V172" s="1" t="s">
        <v>10</v>
      </c>
      <c r="W172" s="1" t="s">
        <v>11</v>
      </c>
      <c r="X172" s="1" t="s">
        <v>12</v>
      </c>
      <c r="Y172" s="1" t="str">
        <f>'State of the System - Sumter Co'!R172</f>
        <v>D</v>
      </c>
      <c r="Z172" s="157" t="str">
        <f t="shared" si="237"/>
        <v>Other CMP Network Roadways</v>
      </c>
      <c r="AA172" s="15">
        <f>VLOOKUP($T172,'2020_CapacityTable'!$B$49:$F$71,2)</f>
        <v>0</v>
      </c>
      <c r="AB172" s="15">
        <f>VLOOKUP($T172,'2020_CapacityTable'!$B$49:$F$71,3)</f>
        <v>14500</v>
      </c>
      <c r="AC172" s="15">
        <f>VLOOKUP($T172,'2020_CapacityTable'!$B$49:$F$71,4)</f>
        <v>32400</v>
      </c>
      <c r="AD172" s="15">
        <f>VLOOKUP($T172,'2020_CapacityTable'!$B$49:$F$71,5)</f>
        <v>33800</v>
      </c>
      <c r="AE172" s="35">
        <f t="shared" si="288"/>
        <v>-0.1</v>
      </c>
      <c r="AF172" s="36" t="str">
        <f t="shared" si="238"/>
        <v/>
      </c>
      <c r="AG172" s="35" t="str">
        <f>IF(L172=2,IF(P172="interrupted","LOOK",""),"")</f>
        <v/>
      </c>
      <c r="AH172" s="35" t="str">
        <f>IF(O172="U",IF(#REF!&gt;2,"LOOK",""),"")</f>
        <v/>
      </c>
      <c r="AI172" s="35"/>
      <c r="AJ172" s="36"/>
      <c r="AK172" s="15">
        <f t="shared" si="239"/>
        <v>0</v>
      </c>
      <c r="AL172" s="15">
        <f t="shared" si="240"/>
        <v>13050</v>
      </c>
      <c r="AM172" s="15">
        <f t="shared" si="241"/>
        <v>29160</v>
      </c>
      <c r="AN172" s="15">
        <f t="shared" si="242"/>
        <v>30420</v>
      </c>
      <c r="AO172" s="3">
        <f t="shared" si="289"/>
        <v>29160</v>
      </c>
      <c r="AP172" s="138">
        <f>VLOOKUP($B172,'2022 counts'!$B$6:$R$304,17,FALSE)</f>
        <v>22158</v>
      </c>
      <c r="AQ172" s="11">
        <f t="shared" si="243"/>
        <v>0.76</v>
      </c>
      <c r="AR172" s="2" t="str">
        <f t="shared" si="244"/>
        <v>D</v>
      </c>
      <c r="AS172" s="26">
        <f t="shared" si="245"/>
        <v>3.19</v>
      </c>
      <c r="AT172" s="15">
        <f>VLOOKUP($T172,'2020_CapacityTable'!$B$23:$F$45,2)</f>
        <v>0</v>
      </c>
      <c r="AU172" s="15">
        <f>VLOOKUP($T172,'2020_CapacityTable'!$B$23:$F$45,3)</f>
        <v>730</v>
      </c>
      <c r="AV172" s="15">
        <f>VLOOKUP($T172,'2020_CapacityTable'!$B$23:$F$45,4)</f>
        <v>1630</v>
      </c>
      <c r="AW172" s="15">
        <f>VLOOKUP($T172,'2020_CapacityTable'!$B$23:$F$45,5)</f>
        <v>1700</v>
      </c>
      <c r="AX172" s="15">
        <f t="shared" si="246"/>
        <v>0</v>
      </c>
      <c r="AY172" s="15">
        <f t="shared" si="247"/>
        <v>657</v>
      </c>
      <c r="AZ172" s="15">
        <f t="shared" si="248"/>
        <v>1467</v>
      </c>
      <c r="BA172" s="15">
        <f t="shared" si="249"/>
        <v>1530</v>
      </c>
      <c r="BB172" s="3">
        <f t="shared" si="290"/>
        <v>1467</v>
      </c>
      <c r="BC172" s="138">
        <f>VLOOKUP($B172,'2022 counts'!$B$6:$AD$304,28,FALSE)</f>
        <v>1014</v>
      </c>
      <c r="BD172" s="138">
        <f>VLOOKUP($B172,'2022 counts'!$B$6:$AD$304,29,FALSE)</f>
        <v>1120</v>
      </c>
      <c r="BE172" s="11">
        <f t="shared" si="250"/>
        <v>0.76</v>
      </c>
      <c r="BF172" s="2" t="str">
        <f t="shared" si="251"/>
        <v>D</v>
      </c>
      <c r="BG172" s="135">
        <v>1.2500000000000001E-2</v>
      </c>
      <c r="BH172" s="135">
        <f>IF($AQ172="","",VLOOKUP($B172, '2022 counts'!$B$6:$T$304,19,FALSE))</f>
        <v>1.2500000000000001E-2</v>
      </c>
      <c r="BI172" s="38">
        <f t="shared" si="252"/>
        <v>1.2500000000000001E-2</v>
      </c>
      <c r="BJ172" s="39" t="str">
        <f t="shared" si="253"/>
        <v/>
      </c>
      <c r="BK172" s="15">
        <f>VLOOKUP($U172,'2020_CapacityTable'!$B$49:$F$71,2)</f>
        <v>0</v>
      </c>
      <c r="BL172" s="15">
        <f>VLOOKUP($U172,'2020_CapacityTable'!$B$49:$F$71,3)</f>
        <v>14500</v>
      </c>
      <c r="BM172" s="15">
        <f>VLOOKUP($T172,'2020_CapacityTable'!$B$49:$F$71,4)</f>
        <v>32400</v>
      </c>
      <c r="BN172" s="15">
        <f>VLOOKUP($T172,'2020_CapacityTable'!$B$49:$F$71,5)</f>
        <v>33800</v>
      </c>
      <c r="BO172" s="15">
        <f t="shared" si="254"/>
        <v>0</v>
      </c>
      <c r="BP172" s="15">
        <f t="shared" si="255"/>
        <v>13050</v>
      </c>
      <c r="BQ172" s="15">
        <f t="shared" si="256"/>
        <v>29160</v>
      </c>
      <c r="BR172" s="15">
        <f t="shared" si="257"/>
        <v>30420</v>
      </c>
      <c r="BS172" s="3">
        <f t="shared" si="291"/>
        <v>29160</v>
      </c>
      <c r="BT172" s="40">
        <f>'State of the System - Sumter Co'!AD172</f>
        <v>23578</v>
      </c>
      <c r="BU172" s="41">
        <f t="shared" si="258"/>
        <v>0.81</v>
      </c>
      <c r="BV172" s="2" t="str">
        <f t="shared" si="259"/>
        <v>D</v>
      </c>
      <c r="BW172" s="2">
        <f t="shared" si="260"/>
        <v>3.39</v>
      </c>
      <c r="BX172" s="15">
        <f>VLOOKUP($U172,'2020_CapacityTable'!$B$23:$F$45,2)</f>
        <v>0</v>
      </c>
      <c r="BY172" s="15">
        <f>VLOOKUP($U172,'2020_CapacityTable'!$B$23:$F$45,3)</f>
        <v>730</v>
      </c>
      <c r="BZ172" s="15">
        <f>VLOOKUP($U172,'2020_CapacityTable'!$B$23:$F$45,4)</f>
        <v>1630</v>
      </c>
      <c r="CA172" s="15">
        <f>VLOOKUP($U172,'2020_CapacityTable'!$B$23:$F$45,5)</f>
        <v>1700</v>
      </c>
      <c r="CB172" s="15">
        <f t="shared" si="261"/>
        <v>0</v>
      </c>
      <c r="CC172" s="15">
        <f t="shared" si="262"/>
        <v>657</v>
      </c>
      <c r="CD172" s="15">
        <f t="shared" si="263"/>
        <v>1467</v>
      </c>
      <c r="CE172" s="15">
        <f t="shared" si="264"/>
        <v>1530</v>
      </c>
      <c r="CF172" s="3">
        <f t="shared" si="292"/>
        <v>1467</v>
      </c>
      <c r="CG172" s="2">
        <f>'State of the System - Sumter Co'!AH172</f>
        <v>1079</v>
      </c>
      <c r="CH172" s="2">
        <f>'State of the System - Sumter Co'!AI172</f>
        <v>1192</v>
      </c>
      <c r="CI172" s="11">
        <f t="shared" si="265"/>
        <v>0.81</v>
      </c>
      <c r="CJ172" s="2" t="str">
        <f t="shared" si="293"/>
        <v>D</v>
      </c>
      <c r="CK172" s="3">
        <f t="shared" si="266"/>
        <v>32854</v>
      </c>
      <c r="CL172" s="11">
        <f t="shared" si="267"/>
        <v>0.72</v>
      </c>
      <c r="CM172" s="11" t="str">
        <f t="shared" si="268"/>
        <v>NOT CONGESTED</v>
      </c>
      <c r="CN172" s="3">
        <f t="shared" si="269"/>
        <v>1652</v>
      </c>
      <c r="CO172" s="11">
        <f t="shared" si="270"/>
        <v>0.72</v>
      </c>
      <c r="CP172" s="156" t="str">
        <f t="shared" si="294"/>
        <v>NOT CONGESTED</v>
      </c>
      <c r="CQ172" s="2"/>
      <c r="CR172" s="42"/>
      <c r="CS172" s="11" t="str">
        <f t="shared" si="271"/>
        <v/>
      </c>
      <c r="CT172" s="11" t="str">
        <f t="shared" si="295"/>
        <v/>
      </c>
      <c r="CU172" s="11" t="str">
        <f t="shared" si="272"/>
        <v/>
      </c>
      <c r="CV172" s="11" t="str">
        <f t="shared" si="273"/>
        <v/>
      </c>
      <c r="CW172" s="2"/>
      <c r="CX172" s="1"/>
      <c r="CY172" s="145" t="str">
        <f t="shared" si="274"/>
        <v/>
      </c>
      <c r="CZ172" s="32" t="str">
        <f t="shared" si="275"/>
        <v/>
      </c>
    </row>
    <row r="173" spans="1:104" ht="12.75" customHeight="1">
      <c r="A173" s="1">
        <v>6000010</v>
      </c>
      <c r="B173" s="1">
        <f t="shared" si="276"/>
        <v>153</v>
      </c>
      <c r="C173" s="1">
        <v>350</v>
      </c>
      <c r="D173" s="1">
        <f>VLOOKUP(C173,'2022 counts'!$A$6:$B$304,2,FALSE)</f>
        <v>153</v>
      </c>
      <c r="E173" s="1"/>
      <c r="F173" s="2" t="s">
        <v>6</v>
      </c>
      <c r="G173" s="156">
        <v>35</v>
      </c>
      <c r="H173" s="11">
        <v>2.0734209326199999</v>
      </c>
      <c r="I173" s="10" t="s">
        <v>18</v>
      </c>
      <c r="J173" s="10" t="s">
        <v>712</v>
      </c>
      <c r="K173" s="10" t="s">
        <v>727</v>
      </c>
      <c r="L173" s="157">
        <v>4</v>
      </c>
      <c r="M173" s="1">
        <f>'State of the System - Sumter Co'!K173</f>
        <v>4</v>
      </c>
      <c r="N173" s="1" t="str">
        <f>IF('State of the System - Sumter Co'!L173="URBAN","U","R")</f>
        <v>U</v>
      </c>
      <c r="O173" s="1" t="str">
        <f>IF('State of the System - Sumter Co'!M173="UNDIVIDED","U",IF('State of the System - Sumter Co'!M173="DIVIDED","D","F"))</f>
        <v>D</v>
      </c>
      <c r="P173" s="1" t="str">
        <f>'State of the System - Sumter Co'!N173</f>
        <v>INTERRUPTED</v>
      </c>
      <c r="Q173" s="1" t="str">
        <f t="shared" si="234"/>
        <v/>
      </c>
      <c r="R173" s="1" t="str">
        <f>'State of the System - Sumter Co'!O173</f>
        <v/>
      </c>
      <c r="S173" s="1" t="str">
        <f t="shared" si="281"/>
        <v>-2</v>
      </c>
      <c r="T173" s="1" t="str">
        <f t="shared" si="236"/>
        <v>U-4D-2</v>
      </c>
      <c r="U173" s="1" t="str">
        <f t="shared" si="279"/>
        <v>U-4D-2</v>
      </c>
      <c r="V173" s="1" t="s">
        <v>10</v>
      </c>
      <c r="W173" s="1" t="s">
        <v>11</v>
      </c>
      <c r="X173" s="1" t="s">
        <v>12</v>
      </c>
      <c r="Y173" s="1" t="str">
        <f>'State of the System - Sumter Co'!R173</f>
        <v>D</v>
      </c>
      <c r="Z173" s="157" t="str">
        <f t="shared" si="237"/>
        <v>Other CMP Network Roadways</v>
      </c>
      <c r="AA173" s="15">
        <f>VLOOKUP($T173,'2020_CapacityTable'!$B$49:$F$71,2)</f>
        <v>0</v>
      </c>
      <c r="AB173" s="15">
        <f>VLOOKUP($T173,'2020_CapacityTable'!$B$49:$F$71,3)</f>
        <v>14500</v>
      </c>
      <c r="AC173" s="15">
        <f>VLOOKUP($T173,'2020_CapacityTable'!$B$49:$F$71,4)</f>
        <v>32400</v>
      </c>
      <c r="AD173" s="15">
        <f>VLOOKUP($T173,'2020_CapacityTable'!$B$49:$F$71,5)</f>
        <v>33800</v>
      </c>
      <c r="AE173" s="35">
        <f t="shared" si="288"/>
        <v>-0.1</v>
      </c>
      <c r="AF173" s="36" t="str">
        <f t="shared" si="238"/>
        <v/>
      </c>
      <c r="AG173" s="35" t="str">
        <f>IF(L173=2,IF(P173="interrupted","LOOK",""),"")</f>
        <v/>
      </c>
      <c r="AH173" s="35" t="str">
        <f>IF(O173="U",IF(#REF!&gt;2,"LOOK",""),"")</f>
        <v/>
      </c>
      <c r="AI173" s="35"/>
      <c r="AJ173" s="36"/>
      <c r="AK173" s="15">
        <f t="shared" si="239"/>
        <v>0</v>
      </c>
      <c r="AL173" s="15">
        <f t="shared" si="240"/>
        <v>13050</v>
      </c>
      <c r="AM173" s="15">
        <f t="shared" si="241"/>
        <v>29160</v>
      </c>
      <c r="AN173" s="15">
        <f t="shared" si="242"/>
        <v>30420</v>
      </c>
      <c r="AO173" s="3">
        <f t="shared" si="289"/>
        <v>29160</v>
      </c>
      <c r="AP173" s="138">
        <f>VLOOKUP($B173,'2022 counts'!$B$6:$R$304,17,FALSE)</f>
        <v>6714</v>
      </c>
      <c r="AQ173" s="11">
        <f t="shared" si="243"/>
        <v>0.23</v>
      </c>
      <c r="AR173" s="2" t="str">
        <f t="shared" si="244"/>
        <v>C</v>
      </c>
      <c r="AS173" s="26">
        <f t="shared" si="245"/>
        <v>5.08</v>
      </c>
      <c r="AT173" s="15">
        <f>VLOOKUP($T173,'2020_CapacityTable'!$B$23:$F$45,2)</f>
        <v>0</v>
      </c>
      <c r="AU173" s="15">
        <f>VLOOKUP($T173,'2020_CapacityTable'!$B$23:$F$45,3)</f>
        <v>730</v>
      </c>
      <c r="AV173" s="15">
        <f>VLOOKUP($T173,'2020_CapacityTable'!$B$23:$F$45,4)</f>
        <v>1630</v>
      </c>
      <c r="AW173" s="15">
        <f>VLOOKUP($T173,'2020_CapacityTable'!$B$23:$F$45,5)</f>
        <v>1700</v>
      </c>
      <c r="AX173" s="15">
        <f t="shared" si="246"/>
        <v>0</v>
      </c>
      <c r="AY173" s="15">
        <f t="shared" si="247"/>
        <v>657</v>
      </c>
      <c r="AZ173" s="15">
        <f t="shared" si="248"/>
        <v>1467</v>
      </c>
      <c r="BA173" s="15">
        <f t="shared" si="249"/>
        <v>1530</v>
      </c>
      <c r="BB173" s="3">
        <f t="shared" si="290"/>
        <v>1467</v>
      </c>
      <c r="BC173" s="138">
        <f>VLOOKUP($B173,'2022 counts'!$B$6:$AD$304,28,FALSE)</f>
        <v>258</v>
      </c>
      <c r="BD173" s="138">
        <f>VLOOKUP($B173,'2022 counts'!$B$6:$AD$304,29,FALSE)</f>
        <v>338</v>
      </c>
      <c r="BE173" s="11">
        <f t="shared" si="250"/>
        <v>0.23</v>
      </c>
      <c r="BF173" s="2" t="str">
        <f t="shared" si="251"/>
        <v>C</v>
      </c>
      <c r="BG173" s="135">
        <v>7.4999999999999997E-2</v>
      </c>
      <c r="BH173" s="135">
        <f>IF($AQ173="","",VLOOKUP($B173, '2022 counts'!$B$6:$T$304,19,FALSE))</f>
        <v>7.4999999999999997E-2</v>
      </c>
      <c r="BI173" s="38">
        <f t="shared" si="252"/>
        <v>7.4999999999999997E-2</v>
      </c>
      <c r="BJ173" s="39" t="str">
        <f t="shared" si="253"/>
        <v/>
      </c>
      <c r="BK173" s="15">
        <f>VLOOKUP($U173,'2020_CapacityTable'!$B$49:$F$71,2)</f>
        <v>0</v>
      </c>
      <c r="BL173" s="15">
        <f>VLOOKUP($U173,'2020_CapacityTable'!$B$49:$F$71,3)</f>
        <v>14500</v>
      </c>
      <c r="BM173" s="15">
        <f>VLOOKUP($T173,'2020_CapacityTable'!$B$49:$F$71,4)</f>
        <v>32400</v>
      </c>
      <c r="BN173" s="15">
        <f>VLOOKUP($T173,'2020_CapacityTable'!$B$49:$F$71,5)</f>
        <v>33800</v>
      </c>
      <c r="BO173" s="15">
        <f t="shared" si="254"/>
        <v>0</v>
      </c>
      <c r="BP173" s="15">
        <f t="shared" si="255"/>
        <v>13050</v>
      </c>
      <c r="BQ173" s="15">
        <f t="shared" si="256"/>
        <v>29160</v>
      </c>
      <c r="BR173" s="15">
        <f t="shared" si="257"/>
        <v>30420</v>
      </c>
      <c r="BS173" s="3">
        <f t="shared" si="291"/>
        <v>29160</v>
      </c>
      <c r="BT173" s="40">
        <f>'State of the System - Sumter Co'!AD173</f>
        <v>9639</v>
      </c>
      <c r="BU173" s="41">
        <f t="shared" si="258"/>
        <v>0.33</v>
      </c>
      <c r="BV173" s="2" t="str">
        <f t="shared" si="259"/>
        <v>C</v>
      </c>
      <c r="BW173" s="2">
        <f t="shared" si="260"/>
        <v>7.29</v>
      </c>
      <c r="BX173" s="15">
        <f>VLOOKUP($U173,'2020_CapacityTable'!$B$23:$F$45,2)</f>
        <v>0</v>
      </c>
      <c r="BY173" s="15">
        <f>VLOOKUP($U173,'2020_CapacityTable'!$B$23:$F$45,3)</f>
        <v>730</v>
      </c>
      <c r="BZ173" s="15">
        <f>VLOOKUP($U173,'2020_CapacityTable'!$B$23:$F$45,4)</f>
        <v>1630</v>
      </c>
      <c r="CA173" s="15">
        <f>VLOOKUP($U173,'2020_CapacityTable'!$B$23:$F$45,5)</f>
        <v>1700</v>
      </c>
      <c r="CB173" s="15">
        <f t="shared" si="261"/>
        <v>0</v>
      </c>
      <c r="CC173" s="15">
        <f t="shared" si="262"/>
        <v>657</v>
      </c>
      <c r="CD173" s="15">
        <f t="shared" si="263"/>
        <v>1467</v>
      </c>
      <c r="CE173" s="15">
        <f t="shared" si="264"/>
        <v>1530</v>
      </c>
      <c r="CF173" s="3">
        <f t="shared" si="292"/>
        <v>1467</v>
      </c>
      <c r="CG173" s="2">
        <f>'State of the System - Sumter Co'!AH173</f>
        <v>370</v>
      </c>
      <c r="CH173" s="2">
        <f>'State of the System - Sumter Co'!AI173</f>
        <v>485</v>
      </c>
      <c r="CI173" s="11">
        <f t="shared" si="265"/>
        <v>0.33</v>
      </c>
      <c r="CJ173" s="2" t="str">
        <f t="shared" si="293"/>
        <v>C</v>
      </c>
      <c r="CK173" s="3">
        <f t="shared" si="266"/>
        <v>32854</v>
      </c>
      <c r="CL173" s="11">
        <f t="shared" si="267"/>
        <v>0.28999999999999998</v>
      </c>
      <c r="CM173" s="11" t="str">
        <f t="shared" si="268"/>
        <v>NOT CONGESTED</v>
      </c>
      <c r="CN173" s="3">
        <f t="shared" si="269"/>
        <v>1652</v>
      </c>
      <c r="CO173" s="11">
        <f t="shared" si="270"/>
        <v>0.28999999999999998</v>
      </c>
      <c r="CP173" s="156" t="str">
        <f t="shared" si="294"/>
        <v>NOT CONGESTED</v>
      </c>
      <c r="CQ173" s="3"/>
      <c r="CR173" s="3"/>
      <c r="CS173" s="11" t="str">
        <f t="shared" si="271"/>
        <v/>
      </c>
      <c r="CT173" s="11" t="str">
        <f t="shared" si="295"/>
        <v/>
      </c>
      <c r="CU173" s="11" t="str">
        <f t="shared" si="272"/>
        <v/>
      </c>
      <c r="CV173" s="11" t="str">
        <f t="shared" si="273"/>
        <v/>
      </c>
      <c r="CW173" s="2"/>
      <c r="CX173" s="1"/>
      <c r="CY173" s="145" t="str">
        <f t="shared" si="274"/>
        <v/>
      </c>
      <c r="CZ173" s="32" t="str">
        <f t="shared" si="275"/>
        <v/>
      </c>
    </row>
    <row r="174" spans="1:104" ht="12.75" customHeight="1">
      <c r="A174" s="1">
        <v>6000015</v>
      </c>
      <c r="B174" s="1">
        <f t="shared" si="276"/>
        <v>152</v>
      </c>
      <c r="C174" s="1">
        <v>348</v>
      </c>
      <c r="D174" s="1">
        <f>VLOOKUP(C174,'2022 counts'!$A$6:$B$304,2,FALSE)</f>
        <v>152</v>
      </c>
      <c r="E174" s="1"/>
      <c r="F174" s="2" t="s">
        <v>6</v>
      </c>
      <c r="G174" s="156">
        <v>35</v>
      </c>
      <c r="H174" s="11">
        <v>0.43119014005</v>
      </c>
      <c r="I174" s="10" t="s">
        <v>18</v>
      </c>
      <c r="J174" s="10" t="s">
        <v>23</v>
      </c>
      <c r="K174" s="10" t="s">
        <v>712</v>
      </c>
      <c r="L174" s="157">
        <v>4</v>
      </c>
      <c r="M174" s="1">
        <f>'State of the System - Sumter Co'!K174</f>
        <v>4</v>
      </c>
      <c r="N174" s="1" t="str">
        <f>IF('State of the System - Sumter Co'!L174="URBAN","U","R")</f>
        <v>U</v>
      </c>
      <c r="O174" s="1" t="str">
        <f>IF('State of the System - Sumter Co'!M174="UNDIVIDED","U",IF('State of the System - Sumter Co'!M174="DIVIDED","D","F"))</f>
        <v>D</v>
      </c>
      <c r="P174" s="1" t="str">
        <f>'State of the System - Sumter Co'!N174</f>
        <v>INTERRUPTED</v>
      </c>
      <c r="Q174" s="1" t="str">
        <f t="shared" si="234"/>
        <v/>
      </c>
      <c r="R174" s="1" t="str">
        <f>'State of the System - Sumter Co'!O174</f>
        <v/>
      </c>
      <c r="S174" s="1" t="str">
        <f t="shared" si="281"/>
        <v>-2</v>
      </c>
      <c r="T174" s="1" t="str">
        <f t="shared" si="236"/>
        <v>U-4D-2</v>
      </c>
      <c r="U174" s="1" t="str">
        <f t="shared" si="279"/>
        <v>U-4D-2</v>
      </c>
      <c r="V174" s="1" t="s">
        <v>10</v>
      </c>
      <c r="W174" s="1" t="s">
        <v>25</v>
      </c>
      <c r="X174" s="1" t="s">
        <v>12</v>
      </c>
      <c r="Y174" s="1" t="str">
        <f>'State of the System - Sumter Co'!R174</f>
        <v>D</v>
      </c>
      <c r="Z174" s="157" t="str">
        <f t="shared" si="237"/>
        <v>Other CMP Network Roadways</v>
      </c>
      <c r="AA174" s="15">
        <f>VLOOKUP($T174,'2020_CapacityTable'!$B$49:$F$71,2)</f>
        <v>0</v>
      </c>
      <c r="AB174" s="15">
        <f>VLOOKUP($T174,'2020_CapacityTable'!$B$49:$F$71,3)</f>
        <v>14500</v>
      </c>
      <c r="AC174" s="15">
        <f>VLOOKUP($T174,'2020_CapacityTable'!$B$49:$F$71,4)</f>
        <v>32400</v>
      </c>
      <c r="AD174" s="15">
        <f>VLOOKUP($T174,'2020_CapacityTable'!$B$49:$F$71,5)</f>
        <v>33800</v>
      </c>
      <c r="AE174" s="35">
        <f t="shared" si="288"/>
        <v>-0.1</v>
      </c>
      <c r="AF174" s="36" t="str">
        <f t="shared" si="238"/>
        <v/>
      </c>
      <c r="AG174" s="35" t="str">
        <f>IF(L174=2,IF(P174="interrupted","LOOK",""),"")</f>
        <v/>
      </c>
      <c r="AH174" s="35" t="str">
        <f>IF(O174="U",IF(#REF!&gt;2,"LOOK",""),"")</f>
        <v/>
      </c>
      <c r="AI174" s="35"/>
      <c r="AJ174" s="36"/>
      <c r="AK174" s="15">
        <f t="shared" si="239"/>
        <v>0</v>
      </c>
      <c r="AL174" s="15">
        <f t="shared" si="240"/>
        <v>13050</v>
      </c>
      <c r="AM174" s="15">
        <f t="shared" si="241"/>
        <v>29160</v>
      </c>
      <c r="AN174" s="15">
        <f t="shared" si="242"/>
        <v>30420</v>
      </c>
      <c r="AO174" s="3">
        <f t="shared" si="289"/>
        <v>29160</v>
      </c>
      <c r="AP174" s="138">
        <f>VLOOKUP($B174,'2022 counts'!$B$6:$R$304,17,FALSE)</f>
        <v>13948</v>
      </c>
      <c r="AQ174" s="11">
        <f t="shared" si="243"/>
        <v>0.48</v>
      </c>
      <c r="AR174" s="2" t="str">
        <f t="shared" si="244"/>
        <v>D</v>
      </c>
      <c r="AS174" s="26">
        <f t="shared" si="245"/>
        <v>2.2000000000000002</v>
      </c>
      <c r="AT174" s="15">
        <f>VLOOKUP($T174,'2020_CapacityTable'!$B$23:$F$45,2)</f>
        <v>0</v>
      </c>
      <c r="AU174" s="15">
        <f>VLOOKUP($T174,'2020_CapacityTable'!$B$23:$F$45,3)</f>
        <v>730</v>
      </c>
      <c r="AV174" s="15">
        <f>VLOOKUP($T174,'2020_CapacityTable'!$B$23:$F$45,4)</f>
        <v>1630</v>
      </c>
      <c r="AW174" s="15">
        <f>VLOOKUP($T174,'2020_CapacityTable'!$B$23:$F$45,5)</f>
        <v>1700</v>
      </c>
      <c r="AX174" s="15">
        <f t="shared" si="246"/>
        <v>0</v>
      </c>
      <c r="AY174" s="15">
        <f t="shared" si="247"/>
        <v>657</v>
      </c>
      <c r="AZ174" s="15">
        <f t="shared" si="248"/>
        <v>1467</v>
      </c>
      <c r="BA174" s="15">
        <f t="shared" si="249"/>
        <v>1530</v>
      </c>
      <c r="BB174" s="3">
        <f t="shared" si="290"/>
        <v>1467</v>
      </c>
      <c r="BC174" s="138">
        <f>VLOOKUP($B174,'2022 counts'!$B$6:$AD$304,28,FALSE)</f>
        <v>724</v>
      </c>
      <c r="BD174" s="138">
        <f>VLOOKUP($B174,'2022 counts'!$B$6:$AD$304,29,FALSE)</f>
        <v>706</v>
      </c>
      <c r="BE174" s="11">
        <f t="shared" si="250"/>
        <v>0.49</v>
      </c>
      <c r="BF174" s="2" t="str">
        <f t="shared" si="251"/>
        <v>D</v>
      </c>
      <c r="BG174" s="135">
        <v>2.5000000000000001E-3</v>
      </c>
      <c r="BH174" s="135">
        <f>IF($AQ174="","",VLOOKUP($B174, '2022 counts'!$B$6:$T$304,19,FALSE))</f>
        <v>2.5000000000000001E-3</v>
      </c>
      <c r="BI174" s="38">
        <f t="shared" si="252"/>
        <v>0.01</v>
      </c>
      <c r="BJ174" s="39" t="str">
        <f t="shared" si="253"/>
        <v>minimum</v>
      </c>
      <c r="BK174" s="15">
        <f>VLOOKUP($U174,'2020_CapacityTable'!$B$49:$F$71,2)</f>
        <v>0</v>
      </c>
      <c r="BL174" s="15">
        <f>VLOOKUP($U174,'2020_CapacityTable'!$B$49:$F$71,3)</f>
        <v>14500</v>
      </c>
      <c r="BM174" s="15">
        <f>VLOOKUP($T174,'2020_CapacityTable'!$B$49:$F$71,4)</f>
        <v>32400</v>
      </c>
      <c r="BN174" s="15">
        <f>VLOOKUP($T174,'2020_CapacityTable'!$B$49:$F$71,5)</f>
        <v>33800</v>
      </c>
      <c r="BO174" s="15">
        <f t="shared" si="254"/>
        <v>0</v>
      </c>
      <c r="BP174" s="15">
        <f t="shared" si="255"/>
        <v>13050</v>
      </c>
      <c r="BQ174" s="15">
        <f t="shared" si="256"/>
        <v>29160</v>
      </c>
      <c r="BR174" s="15">
        <f t="shared" si="257"/>
        <v>30420</v>
      </c>
      <c r="BS174" s="3">
        <f t="shared" si="291"/>
        <v>29160</v>
      </c>
      <c r="BT174" s="40">
        <f>'State of the System - Sumter Co'!AD174</f>
        <v>14659</v>
      </c>
      <c r="BU174" s="41">
        <f t="shared" si="258"/>
        <v>0.5</v>
      </c>
      <c r="BV174" s="2" t="str">
        <f t="shared" si="259"/>
        <v>D</v>
      </c>
      <c r="BW174" s="2">
        <f t="shared" si="260"/>
        <v>2.31</v>
      </c>
      <c r="BX174" s="15">
        <f>VLOOKUP($U174,'2020_CapacityTable'!$B$23:$F$45,2)</f>
        <v>0</v>
      </c>
      <c r="BY174" s="15">
        <f>VLOOKUP($U174,'2020_CapacityTable'!$B$23:$F$45,3)</f>
        <v>730</v>
      </c>
      <c r="BZ174" s="15">
        <f>VLOOKUP($U174,'2020_CapacityTable'!$B$23:$F$45,4)</f>
        <v>1630</v>
      </c>
      <c r="CA174" s="15">
        <f>VLOOKUP($U174,'2020_CapacityTable'!$B$23:$F$45,5)</f>
        <v>1700</v>
      </c>
      <c r="CB174" s="15">
        <f t="shared" si="261"/>
        <v>0</v>
      </c>
      <c r="CC174" s="15">
        <f t="shared" si="262"/>
        <v>657</v>
      </c>
      <c r="CD174" s="15">
        <f t="shared" si="263"/>
        <v>1467</v>
      </c>
      <c r="CE174" s="15">
        <f t="shared" si="264"/>
        <v>1530</v>
      </c>
      <c r="CF174" s="3">
        <f t="shared" si="292"/>
        <v>1467</v>
      </c>
      <c r="CG174" s="2">
        <f>'State of the System - Sumter Co'!AH174</f>
        <v>761</v>
      </c>
      <c r="CH174" s="2">
        <f>'State of the System - Sumter Co'!AI174</f>
        <v>742</v>
      </c>
      <c r="CI174" s="11">
        <f t="shared" si="265"/>
        <v>0.52</v>
      </c>
      <c r="CJ174" s="2" t="str">
        <f t="shared" si="293"/>
        <v>D</v>
      </c>
      <c r="CK174" s="3">
        <f t="shared" si="266"/>
        <v>32854</v>
      </c>
      <c r="CL174" s="11">
        <f t="shared" si="267"/>
        <v>0.45</v>
      </c>
      <c r="CM174" s="11" t="str">
        <f t="shared" si="268"/>
        <v>NOT CONGESTED</v>
      </c>
      <c r="CN174" s="3">
        <f t="shared" si="269"/>
        <v>1652</v>
      </c>
      <c r="CO174" s="11">
        <f t="shared" si="270"/>
        <v>0.46</v>
      </c>
      <c r="CP174" s="156" t="str">
        <f t="shared" si="294"/>
        <v>NOT CONGESTED</v>
      </c>
      <c r="CQ174" s="2"/>
      <c r="CR174" s="42"/>
      <c r="CS174" s="11" t="str">
        <f t="shared" si="271"/>
        <v/>
      </c>
      <c r="CT174" s="11" t="str">
        <f t="shared" si="295"/>
        <v/>
      </c>
      <c r="CU174" s="11" t="str">
        <f t="shared" si="272"/>
        <v/>
      </c>
      <c r="CV174" s="11" t="str">
        <f t="shared" si="273"/>
        <v/>
      </c>
      <c r="CW174" s="2"/>
      <c r="CX174" s="1"/>
      <c r="CY174" s="145" t="str">
        <f t="shared" si="274"/>
        <v/>
      </c>
      <c r="CZ174" s="32" t="str">
        <f t="shared" si="275"/>
        <v/>
      </c>
    </row>
    <row r="175" spans="1:104" ht="12.75" customHeight="1">
      <c r="A175" s="1">
        <v>6000020</v>
      </c>
      <c r="B175" s="1"/>
      <c r="C175" s="1">
        <v>220</v>
      </c>
      <c r="D175" s="1" t="e">
        <f>VLOOKUP(C175,'2022 counts'!$A$6:$B$304,2,FALSE)</f>
        <v>#N/A</v>
      </c>
      <c r="E175" s="1"/>
      <c r="F175" s="2" t="s">
        <v>588</v>
      </c>
      <c r="G175" s="156">
        <v>30</v>
      </c>
      <c r="H175" s="11">
        <v>0.09</v>
      </c>
      <c r="I175" s="10" t="s">
        <v>124</v>
      </c>
      <c r="J175" s="10" t="s">
        <v>753</v>
      </c>
      <c r="K175" s="10" t="s">
        <v>125</v>
      </c>
      <c r="L175" s="157">
        <v>2</v>
      </c>
      <c r="M175" s="1">
        <f>'State of the System - Sumter Co'!K175</f>
        <v>2</v>
      </c>
      <c r="N175" s="1" t="str">
        <f>IF('State of the System - Sumter Co'!L175="URBAN","U","R")</f>
        <v>U</v>
      </c>
      <c r="O175" s="1" t="str">
        <f>IF('State of the System - Sumter Co'!M175="UNDIVIDED","U",IF('State of the System - Sumter Co'!M175="DIVIDED","D","F"))</f>
        <v>U</v>
      </c>
      <c r="P175" s="1" t="str">
        <f>'State of the System - Sumter Co'!N175</f>
        <v>INTERRUPTED</v>
      </c>
      <c r="Q175" s="1" t="str">
        <f t="shared" si="234"/>
        <v/>
      </c>
      <c r="R175" s="1" t="str">
        <f>'State of the System - Sumter Co'!O175</f>
        <v/>
      </c>
      <c r="S175" s="1" t="str">
        <f t="shared" si="281"/>
        <v>-2</v>
      </c>
      <c r="T175" s="1" t="str">
        <f t="shared" si="236"/>
        <v>U-2U-2</v>
      </c>
      <c r="U175" s="1" t="str">
        <f t="shared" si="279"/>
        <v>U-2U-2</v>
      </c>
      <c r="V175" s="1" t="s">
        <v>10</v>
      </c>
      <c r="W175" s="1" t="s">
        <v>11</v>
      </c>
      <c r="X175" s="1" t="s">
        <v>21</v>
      </c>
      <c r="Y175" s="1" t="str">
        <f>'State of the System - Sumter Co'!R175</f>
        <v>D</v>
      </c>
      <c r="Z175" s="157" t="str">
        <f t="shared" si="237"/>
        <v>Other CMP Network Roadways</v>
      </c>
      <c r="AA175" s="15">
        <f>VLOOKUP($T175,'2020_CapacityTable'!$B$49:$F$71,2)</f>
        <v>0</v>
      </c>
      <c r="AB175" s="15">
        <f>VLOOKUP($T175,'2020_CapacityTable'!$B$49:$F$71,3)</f>
        <v>7300</v>
      </c>
      <c r="AC175" s="15">
        <f>VLOOKUP($T175,'2020_CapacityTable'!$B$49:$F$71,4)</f>
        <v>14800</v>
      </c>
      <c r="AD175" s="15">
        <f>VLOOKUP($T175,'2020_CapacityTable'!$B$49:$F$71,5)</f>
        <v>15600</v>
      </c>
      <c r="AE175" s="35">
        <f t="shared" si="288"/>
        <v>-0.1</v>
      </c>
      <c r="AF175" s="36" t="str">
        <f t="shared" si="238"/>
        <v/>
      </c>
      <c r="AG175" s="35"/>
      <c r="AH175" s="35" t="str">
        <f t="shared" ref="AH175:AH193" si="296">IF(O175="U",IF(L175&gt;2,"LOOK",""),"")</f>
        <v/>
      </c>
      <c r="AI175" s="35"/>
      <c r="AJ175" s="36"/>
      <c r="AK175" s="15">
        <f t="shared" si="239"/>
        <v>0</v>
      </c>
      <c r="AL175" s="15">
        <f t="shared" si="240"/>
        <v>6570</v>
      </c>
      <c r="AM175" s="15">
        <f t="shared" si="241"/>
        <v>13320</v>
      </c>
      <c r="AN175" s="15">
        <f t="shared" si="242"/>
        <v>14040</v>
      </c>
      <c r="AO175" s="3">
        <f t="shared" si="289"/>
        <v>13320</v>
      </c>
      <c r="AP175" s="138" t="s">
        <v>243</v>
      </c>
      <c r="AQ175" s="11" t="s">
        <v>243</v>
      </c>
      <c r="AR175" s="2"/>
      <c r="AS175" s="26"/>
      <c r="AT175" s="15">
        <f>VLOOKUP($T175,'2020_CapacityTable'!$B$23:$F$45,2)</f>
        <v>0</v>
      </c>
      <c r="AU175" s="15">
        <f>VLOOKUP($T175,'2020_CapacityTable'!$B$23:$F$45,3)</f>
        <v>370</v>
      </c>
      <c r="AV175" s="15">
        <f>VLOOKUP($T175,'2020_CapacityTable'!$B$23:$F$45,4)</f>
        <v>750</v>
      </c>
      <c r="AW175" s="15">
        <f>VLOOKUP($T175,'2020_CapacityTable'!$B$23:$F$45,5)</f>
        <v>800</v>
      </c>
      <c r="AX175" s="15">
        <f t="shared" si="246"/>
        <v>0</v>
      </c>
      <c r="AY175" s="15">
        <f t="shared" si="247"/>
        <v>333</v>
      </c>
      <c r="AZ175" s="15">
        <f t="shared" si="248"/>
        <v>675</v>
      </c>
      <c r="BA175" s="15">
        <f t="shared" si="249"/>
        <v>720</v>
      </c>
      <c r="BB175" s="3">
        <f t="shared" si="290"/>
        <v>675</v>
      </c>
      <c r="BC175" s="138" t="s">
        <v>243</v>
      </c>
      <c r="BD175" s="138" t="s">
        <v>243</v>
      </c>
      <c r="BE175" s="11"/>
      <c r="BF175" s="2"/>
      <c r="BG175" s="135" t="s">
        <v>243</v>
      </c>
      <c r="BH175" s="135" t="s">
        <v>243</v>
      </c>
      <c r="BI175" s="38" t="s">
        <v>243</v>
      </c>
      <c r="BJ175" s="39" t="s">
        <v>243</v>
      </c>
      <c r="BK175" s="15">
        <f>VLOOKUP($U175,'2020_CapacityTable'!$B$49:$F$71,2)</f>
        <v>0</v>
      </c>
      <c r="BL175" s="15">
        <f>VLOOKUP($U175,'2020_CapacityTable'!$B$49:$F$71,3)</f>
        <v>7300</v>
      </c>
      <c r="BM175" s="15">
        <f>VLOOKUP($T175,'2020_CapacityTable'!$B$49:$F$71,4)</f>
        <v>14800</v>
      </c>
      <c r="BN175" s="15">
        <f>VLOOKUP($T175,'2020_CapacityTable'!$B$49:$F$71,5)</f>
        <v>15600</v>
      </c>
      <c r="BO175" s="15">
        <f t="shared" si="254"/>
        <v>0</v>
      </c>
      <c r="BP175" s="15">
        <f t="shared" si="255"/>
        <v>6570</v>
      </c>
      <c r="BQ175" s="15">
        <f t="shared" si="256"/>
        <v>13320</v>
      </c>
      <c r="BR175" s="15">
        <f t="shared" si="257"/>
        <v>14040</v>
      </c>
      <c r="BS175" s="3">
        <f t="shared" si="291"/>
        <v>13320</v>
      </c>
      <c r="BT175" s="40" t="str">
        <f>'State of the System - Sumter Co'!AD175</f>
        <v>-</v>
      </c>
      <c r="BU175" s="41" t="str">
        <f t="shared" si="258"/>
        <v/>
      </c>
      <c r="BV175" s="2" t="str">
        <f t="shared" si="259"/>
        <v/>
      </c>
      <c r="BW175" s="2" t="str">
        <f t="shared" si="260"/>
        <v/>
      </c>
      <c r="BX175" s="15">
        <f>VLOOKUP($U175,'2020_CapacityTable'!$B$23:$F$45,2)</f>
        <v>0</v>
      </c>
      <c r="BY175" s="15">
        <f>VLOOKUP($U175,'2020_CapacityTable'!$B$23:$F$45,3)</f>
        <v>370</v>
      </c>
      <c r="BZ175" s="15">
        <f>VLOOKUP($U175,'2020_CapacityTable'!$B$23:$F$45,4)</f>
        <v>750</v>
      </c>
      <c r="CA175" s="15">
        <f>VLOOKUP($U175,'2020_CapacityTable'!$B$23:$F$45,5)</f>
        <v>800</v>
      </c>
      <c r="CB175" s="15">
        <f t="shared" si="261"/>
        <v>0</v>
      </c>
      <c r="CC175" s="15">
        <f t="shared" si="262"/>
        <v>333</v>
      </c>
      <c r="CD175" s="15">
        <f t="shared" si="263"/>
        <v>675</v>
      </c>
      <c r="CE175" s="15">
        <f t="shared" si="264"/>
        <v>720</v>
      </c>
      <c r="CF175" s="3">
        <f t="shared" si="292"/>
        <v>675</v>
      </c>
      <c r="CG175" s="2"/>
      <c r="CH175" s="2"/>
      <c r="CI175" s="11" t="str">
        <f t="shared" si="265"/>
        <v/>
      </c>
      <c r="CJ175" s="2" t="str">
        <f t="shared" si="293"/>
        <v/>
      </c>
      <c r="CK175" s="3">
        <f t="shared" si="266"/>
        <v>15163</v>
      </c>
      <c r="CL175" s="11" t="str">
        <f t="shared" si="267"/>
        <v/>
      </c>
      <c r="CM175" s="11" t="str">
        <f t="shared" si="268"/>
        <v/>
      </c>
      <c r="CN175" s="3">
        <f t="shared" si="269"/>
        <v>778</v>
      </c>
      <c r="CO175" s="11" t="str">
        <f t="shared" si="270"/>
        <v/>
      </c>
      <c r="CP175" s="156" t="str">
        <f t="shared" si="294"/>
        <v/>
      </c>
      <c r="CQ175" s="2"/>
      <c r="CR175" s="42"/>
      <c r="CS175" s="11" t="str">
        <f t="shared" si="271"/>
        <v/>
      </c>
      <c r="CT175" s="11" t="str">
        <f t="shared" si="295"/>
        <v/>
      </c>
      <c r="CU175" s="11" t="str">
        <f t="shared" si="272"/>
        <v/>
      </c>
      <c r="CV175" s="11" t="str">
        <f t="shared" si="273"/>
        <v/>
      </c>
      <c r="CW175" s="2"/>
      <c r="CX175" s="1"/>
      <c r="CY175" s="145" t="str">
        <f t="shared" si="274"/>
        <v/>
      </c>
      <c r="CZ175" s="32" t="str">
        <f t="shared" si="275"/>
        <v/>
      </c>
    </row>
    <row r="176" spans="1:104" ht="12.75" customHeight="1">
      <c r="A176" s="1">
        <v>6000030</v>
      </c>
      <c r="B176" s="1">
        <f t="shared" si="276"/>
        <v>6</v>
      </c>
      <c r="C176" s="1">
        <v>185</v>
      </c>
      <c r="D176" s="1">
        <f>VLOOKUP(C176,'2022 counts'!$A$6:$B$304,2,FALSE)</f>
        <v>6</v>
      </c>
      <c r="E176" s="1"/>
      <c r="F176" s="2" t="s">
        <v>6</v>
      </c>
      <c r="G176" s="156">
        <v>30</v>
      </c>
      <c r="H176" s="11">
        <v>0.358122920954</v>
      </c>
      <c r="I176" s="10" t="s">
        <v>15</v>
      </c>
      <c r="J176" s="10" t="s">
        <v>753</v>
      </c>
      <c r="K176" s="10" t="s">
        <v>17</v>
      </c>
      <c r="L176" s="157">
        <v>2</v>
      </c>
      <c r="M176" s="1">
        <f>'State of the System - Sumter Co'!K176</f>
        <v>2</v>
      </c>
      <c r="N176" s="1" t="str">
        <f>IF('State of the System - Sumter Co'!L176="URBAN","U","R")</f>
        <v>U</v>
      </c>
      <c r="O176" s="1" t="str">
        <f>IF('State of the System - Sumter Co'!M176="UNDIVIDED","U",IF('State of the System - Sumter Co'!M176="DIVIDED","D","F"))</f>
        <v>U</v>
      </c>
      <c r="P176" s="1" t="str">
        <f>'State of the System - Sumter Co'!N176</f>
        <v>INTERRUPTED</v>
      </c>
      <c r="Q176" s="1" t="str">
        <f t="shared" si="234"/>
        <v/>
      </c>
      <c r="R176" s="1" t="str">
        <f>'State of the System - Sumter Co'!O176</f>
        <v/>
      </c>
      <c r="S176" s="1" t="str">
        <f t="shared" si="281"/>
        <v>-2</v>
      </c>
      <c r="T176" s="1" t="str">
        <f t="shared" si="236"/>
        <v>U-2U-2</v>
      </c>
      <c r="U176" s="1" t="str">
        <f t="shared" si="279"/>
        <v>U-2U-2</v>
      </c>
      <c r="V176" s="1" t="s">
        <v>10</v>
      </c>
      <c r="W176" s="1" t="s">
        <v>11</v>
      </c>
      <c r="X176" s="1" t="s">
        <v>12</v>
      </c>
      <c r="Y176" s="1" t="str">
        <f>'State of the System - Sumter Co'!R176</f>
        <v>D</v>
      </c>
      <c r="Z176" s="157" t="str">
        <f t="shared" si="237"/>
        <v>Other CMP Network Roadways</v>
      </c>
      <c r="AA176" s="15">
        <f>VLOOKUP($T176,'2020_CapacityTable'!$B$49:$F$71,2)</f>
        <v>0</v>
      </c>
      <c r="AB176" s="15">
        <f>VLOOKUP($T176,'2020_CapacityTable'!$B$49:$F$71,3)</f>
        <v>7300</v>
      </c>
      <c r="AC176" s="15">
        <f>VLOOKUP($T176,'2020_CapacityTable'!$B$49:$F$71,4)</f>
        <v>14800</v>
      </c>
      <c r="AD176" s="15">
        <f>VLOOKUP($T176,'2020_CapacityTable'!$B$49:$F$71,5)</f>
        <v>15600</v>
      </c>
      <c r="AE176" s="35">
        <f t="shared" si="288"/>
        <v>-0.1</v>
      </c>
      <c r="AF176" s="36" t="str">
        <f t="shared" si="238"/>
        <v/>
      </c>
      <c r="AG176" s="35"/>
      <c r="AH176" s="35" t="str">
        <f t="shared" si="296"/>
        <v/>
      </c>
      <c r="AI176" s="35"/>
      <c r="AJ176" s="36"/>
      <c r="AK176" s="15">
        <f t="shared" si="239"/>
        <v>0</v>
      </c>
      <c r="AL176" s="15">
        <f t="shared" si="240"/>
        <v>6570</v>
      </c>
      <c r="AM176" s="15">
        <f t="shared" si="241"/>
        <v>13320</v>
      </c>
      <c r="AN176" s="15">
        <f t="shared" si="242"/>
        <v>14040</v>
      </c>
      <c r="AO176" s="3">
        <f t="shared" si="289"/>
        <v>13320</v>
      </c>
      <c r="AP176" s="138">
        <f>VLOOKUP($B176,'2022 counts'!$B$6:$R$304,17,FALSE)</f>
        <v>9830</v>
      </c>
      <c r="AQ176" s="11">
        <f t="shared" si="243"/>
        <v>0.74</v>
      </c>
      <c r="AR176" s="2" t="str">
        <f t="shared" si="244"/>
        <v>D</v>
      </c>
      <c r="AS176" s="26">
        <f t="shared" si="245"/>
        <v>1.28</v>
      </c>
      <c r="AT176" s="15">
        <f>VLOOKUP($T176,'2020_CapacityTable'!$B$23:$F$45,2)</f>
        <v>0</v>
      </c>
      <c r="AU176" s="15">
        <f>VLOOKUP($T176,'2020_CapacityTable'!$B$23:$F$45,3)</f>
        <v>370</v>
      </c>
      <c r="AV176" s="15">
        <f>VLOOKUP($T176,'2020_CapacityTable'!$B$23:$F$45,4)</f>
        <v>750</v>
      </c>
      <c r="AW176" s="15">
        <f>VLOOKUP($T176,'2020_CapacityTable'!$B$23:$F$45,5)</f>
        <v>800</v>
      </c>
      <c r="AX176" s="15">
        <f t="shared" si="246"/>
        <v>0</v>
      </c>
      <c r="AY176" s="15">
        <f t="shared" si="247"/>
        <v>333</v>
      </c>
      <c r="AZ176" s="15">
        <f t="shared" si="248"/>
        <v>675</v>
      </c>
      <c r="BA176" s="15">
        <f t="shared" si="249"/>
        <v>720</v>
      </c>
      <c r="BB176" s="3">
        <f t="shared" si="290"/>
        <v>675</v>
      </c>
      <c r="BC176" s="138">
        <f>VLOOKUP($B176,'2022 counts'!$B$6:$AD$304,28,FALSE)</f>
        <v>531</v>
      </c>
      <c r="BD176" s="138">
        <f>VLOOKUP($B176,'2022 counts'!$B$6:$AD$304,29,FALSE)</f>
        <v>530</v>
      </c>
      <c r="BE176" s="11">
        <f t="shared" si="250"/>
        <v>0.79</v>
      </c>
      <c r="BF176" s="2" t="str">
        <f t="shared" si="251"/>
        <v>D</v>
      </c>
      <c r="BG176" s="135">
        <v>0</v>
      </c>
      <c r="BH176" s="135">
        <f>IF($AQ176="","",VLOOKUP($B176, '2022 counts'!$B$6:$T$304,19,FALSE))</f>
        <v>0</v>
      </c>
      <c r="BI176" s="38">
        <f t="shared" si="252"/>
        <v>0.01</v>
      </c>
      <c r="BJ176" s="39" t="str">
        <f t="shared" si="253"/>
        <v>minimum</v>
      </c>
      <c r="BK176" s="15">
        <f>VLOOKUP($U176,'2020_CapacityTable'!$B$49:$F$71,2)</f>
        <v>0</v>
      </c>
      <c r="BL176" s="15">
        <f>VLOOKUP($U176,'2020_CapacityTable'!$B$49:$F$71,3)</f>
        <v>7300</v>
      </c>
      <c r="BM176" s="15">
        <f>VLOOKUP($T176,'2020_CapacityTable'!$B$49:$F$71,4)</f>
        <v>14800</v>
      </c>
      <c r="BN176" s="15">
        <f>VLOOKUP($T176,'2020_CapacityTable'!$B$49:$F$71,5)</f>
        <v>15600</v>
      </c>
      <c r="BO176" s="15">
        <f t="shared" si="254"/>
        <v>0</v>
      </c>
      <c r="BP176" s="15">
        <f t="shared" si="255"/>
        <v>6570</v>
      </c>
      <c r="BQ176" s="15">
        <f t="shared" si="256"/>
        <v>13320</v>
      </c>
      <c r="BR176" s="15">
        <f t="shared" si="257"/>
        <v>14040</v>
      </c>
      <c r="BS176" s="3">
        <f t="shared" si="291"/>
        <v>13320</v>
      </c>
      <c r="BT176" s="40">
        <f>'State of the System - Sumter Co'!AD176</f>
        <v>10331</v>
      </c>
      <c r="BU176" s="41">
        <f t="shared" si="258"/>
        <v>0.78</v>
      </c>
      <c r="BV176" s="2" t="str">
        <f t="shared" si="259"/>
        <v>D</v>
      </c>
      <c r="BW176" s="2">
        <f t="shared" si="260"/>
        <v>1.35</v>
      </c>
      <c r="BX176" s="15">
        <f>VLOOKUP($U176,'2020_CapacityTable'!$B$23:$F$45,2)</f>
        <v>0</v>
      </c>
      <c r="BY176" s="15">
        <f>VLOOKUP($U176,'2020_CapacityTable'!$B$23:$F$45,3)</f>
        <v>370</v>
      </c>
      <c r="BZ176" s="15">
        <f>VLOOKUP($U176,'2020_CapacityTable'!$B$23:$F$45,4)</f>
        <v>750</v>
      </c>
      <c r="CA176" s="15">
        <f>VLOOKUP($U176,'2020_CapacityTable'!$B$23:$F$45,5)</f>
        <v>800</v>
      </c>
      <c r="CB176" s="15">
        <f t="shared" si="261"/>
        <v>0</v>
      </c>
      <c r="CC176" s="15">
        <f t="shared" si="262"/>
        <v>333</v>
      </c>
      <c r="CD176" s="15">
        <f t="shared" si="263"/>
        <v>675</v>
      </c>
      <c r="CE176" s="15">
        <f t="shared" si="264"/>
        <v>720</v>
      </c>
      <c r="CF176" s="3">
        <f t="shared" si="292"/>
        <v>675</v>
      </c>
      <c r="CG176" s="2">
        <f>'State of the System - Sumter Co'!AH176</f>
        <v>558</v>
      </c>
      <c r="CH176" s="2">
        <f>'State of the System - Sumter Co'!AI176</f>
        <v>557</v>
      </c>
      <c r="CI176" s="11">
        <f t="shared" si="265"/>
        <v>0.83</v>
      </c>
      <c r="CJ176" s="2" t="str">
        <f t="shared" si="293"/>
        <v>D</v>
      </c>
      <c r="CK176" s="3">
        <f t="shared" si="266"/>
        <v>15163</v>
      </c>
      <c r="CL176" s="11">
        <f t="shared" si="267"/>
        <v>0.68</v>
      </c>
      <c r="CM176" s="11" t="str">
        <f t="shared" si="268"/>
        <v>NOT CONGESTED</v>
      </c>
      <c r="CN176" s="3">
        <f t="shared" si="269"/>
        <v>778</v>
      </c>
      <c r="CO176" s="11">
        <f t="shared" si="270"/>
        <v>0.72</v>
      </c>
      <c r="CP176" s="156" t="str">
        <f t="shared" si="294"/>
        <v>NOT CONGESTED</v>
      </c>
      <c r="CQ176" s="2" t="s">
        <v>559</v>
      </c>
      <c r="CR176" s="43">
        <v>1</v>
      </c>
      <c r="CS176" s="11" t="str">
        <f t="shared" si="271"/>
        <v/>
      </c>
      <c r="CT176" s="11" t="str">
        <f t="shared" si="295"/>
        <v/>
      </c>
      <c r="CU176" s="11" t="str">
        <f t="shared" si="272"/>
        <v/>
      </c>
      <c r="CV176" s="11" t="str">
        <f t="shared" si="273"/>
        <v/>
      </c>
      <c r="CW176" s="2"/>
      <c r="CX176" s="1"/>
      <c r="CY176" s="145" t="str">
        <f t="shared" si="274"/>
        <v/>
      </c>
      <c r="CZ176" s="32" t="str">
        <f t="shared" si="275"/>
        <v/>
      </c>
    </row>
    <row r="177" spans="1:104" ht="12.75" customHeight="1">
      <c r="A177" s="1">
        <v>6000035</v>
      </c>
      <c r="B177" s="1">
        <f t="shared" si="276"/>
        <v>7</v>
      </c>
      <c r="C177" s="1">
        <v>187</v>
      </c>
      <c r="D177" s="1">
        <f>VLOOKUP(C177,'2022 counts'!$A$6:$B$304,2,FALSE)</f>
        <v>7</v>
      </c>
      <c r="E177" s="1"/>
      <c r="F177" s="2" t="s">
        <v>6</v>
      </c>
      <c r="G177" s="156">
        <v>30</v>
      </c>
      <c r="H177" s="11">
        <v>1.33395090489</v>
      </c>
      <c r="I177" s="10" t="s">
        <v>15</v>
      </c>
      <c r="J177" s="10" t="s">
        <v>17</v>
      </c>
      <c r="K177" s="10" t="s">
        <v>18</v>
      </c>
      <c r="L177" s="157">
        <v>2</v>
      </c>
      <c r="M177" s="1">
        <f>'State of the System - Sumter Co'!K177</f>
        <v>2</v>
      </c>
      <c r="N177" s="1" t="str">
        <f>IF('State of the System - Sumter Co'!L177="URBAN","U","R")</f>
        <v>U</v>
      </c>
      <c r="O177" s="1" t="str">
        <f>IF('State of the System - Sumter Co'!M177="UNDIVIDED","U",IF('State of the System - Sumter Co'!M177="DIVIDED","D","F"))</f>
        <v>U</v>
      </c>
      <c r="P177" s="1" t="str">
        <f>'State of the System - Sumter Co'!N177</f>
        <v>INTERRUPTED</v>
      </c>
      <c r="Q177" s="1" t="str">
        <f t="shared" si="234"/>
        <v/>
      </c>
      <c r="R177" s="1" t="str">
        <f>'State of the System - Sumter Co'!O177</f>
        <v/>
      </c>
      <c r="S177" s="1" t="str">
        <f t="shared" si="281"/>
        <v>-2</v>
      </c>
      <c r="T177" s="1" t="str">
        <f t="shared" si="236"/>
        <v>U-2U-2</v>
      </c>
      <c r="U177" s="1" t="str">
        <f t="shared" si="279"/>
        <v>U-2U-2</v>
      </c>
      <c r="V177" s="1" t="s">
        <v>10</v>
      </c>
      <c r="W177" s="1" t="s">
        <v>11</v>
      </c>
      <c r="X177" s="1" t="s">
        <v>12</v>
      </c>
      <c r="Y177" s="1" t="str">
        <f>'State of the System - Sumter Co'!R177</f>
        <v>D</v>
      </c>
      <c r="Z177" s="157" t="str">
        <f t="shared" si="237"/>
        <v>Other CMP Network Roadways</v>
      </c>
      <c r="AA177" s="15">
        <f>VLOOKUP($T177,'2020_CapacityTable'!$B$49:$F$71,2)</f>
        <v>0</v>
      </c>
      <c r="AB177" s="15">
        <f>VLOOKUP($T177,'2020_CapacityTable'!$B$49:$F$71,3)</f>
        <v>7300</v>
      </c>
      <c r="AC177" s="15">
        <f>VLOOKUP($T177,'2020_CapacityTable'!$B$49:$F$71,4)</f>
        <v>14800</v>
      </c>
      <c r="AD177" s="15">
        <f>VLOOKUP($T177,'2020_CapacityTable'!$B$49:$F$71,5)</f>
        <v>15600</v>
      </c>
      <c r="AE177" s="35">
        <f t="shared" si="288"/>
        <v>-0.1</v>
      </c>
      <c r="AF177" s="36" t="str">
        <f t="shared" si="238"/>
        <v/>
      </c>
      <c r="AG177" s="35"/>
      <c r="AH177" s="35" t="str">
        <f t="shared" si="296"/>
        <v/>
      </c>
      <c r="AI177" s="35"/>
      <c r="AJ177" s="36"/>
      <c r="AK177" s="15">
        <f t="shared" si="239"/>
        <v>0</v>
      </c>
      <c r="AL177" s="15">
        <f t="shared" si="240"/>
        <v>6570</v>
      </c>
      <c r="AM177" s="15">
        <f t="shared" si="241"/>
        <v>13320</v>
      </c>
      <c r="AN177" s="15">
        <f t="shared" si="242"/>
        <v>14040</v>
      </c>
      <c r="AO177" s="3">
        <f t="shared" si="289"/>
        <v>13320</v>
      </c>
      <c r="AP177" s="138">
        <f>VLOOKUP($B177,'2022 counts'!$B$6:$R$304,17,FALSE)</f>
        <v>7685</v>
      </c>
      <c r="AQ177" s="11">
        <f t="shared" si="243"/>
        <v>0.57999999999999996</v>
      </c>
      <c r="AR177" s="2" t="str">
        <f t="shared" si="244"/>
        <v>D</v>
      </c>
      <c r="AS177" s="26">
        <f t="shared" si="245"/>
        <v>3.74</v>
      </c>
      <c r="AT177" s="15">
        <f>VLOOKUP($T177,'2020_CapacityTable'!$B$23:$F$45,2)</f>
        <v>0</v>
      </c>
      <c r="AU177" s="15">
        <f>VLOOKUP($T177,'2020_CapacityTable'!$B$23:$F$45,3)</f>
        <v>370</v>
      </c>
      <c r="AV177" s="15">
        <f>VLOOKUP($T177,'2020_CapacityTable'!$B$23:$F$45,4)</f>
        <v>750</v>
      </c>
      <c r="AW177" s="15">
        <f>VLOOKUP($T177,'2020_CapacityTable'!$B$23:$F$45,5)</f>
        <v>800</v>
      </c>
      <c r="AX177" s="15">
        <f t="shared" si="246"/>
        <v>0</v>
      </c>
      <c r="AY177" s="15">
        <f t="shared" si="247"/>
        <v>333</v>
      </c>
      <c r="AZ177" s="15">
        <f t="shared" si="248"/>
        <v>675</v>
      </c>
      <c r="BA177" s="15">
        <f t="shared" si="249"/>
        <v>720</v>
      </c>
      <c r="BB177" s="3">
        <f t="shared" si="290"/>
        <v>675</v>
      </c>
      <c r="BC177" s="138">
        <f>VLOOKUP($B177,'2022 counts'!$B$6:$AD$304,28,FALSE)</f>
        <v>436</v>
      </c>
      <c r="BD177" s="138">
        <f>VLOOKUP($B177,'2022 counts'!$B$6:$AD$304,29,FALSE)</f>
        <v>360</v>
      </c>
      <c r="BE177" s="11">
        <f t="shared" si="250"/>
        <v>0.65</v>
      </c>
      <c r="BF177" s="2" t="str">
        <f t="shared" si="251"/>
        <v>D</v>
      </c>
      <c r="BG177" s="135">
        <v>0</v>
      </c>
      <c r="BH177" s="135">
        <f>IF($AQ177="","",VLOOKUP($B177, '2022 counts'!$B$6:$T$304,19,FALSE))</f>
        <v>0</v>
      </c>
      <c r="BI177" s="38">
        <f t="shared" si="252"/>
        <v>0.01</v>
      </c>
      <c r="BJ177" s="39" t="str">
        <f t="shared" si="253"/>
        <v>minimum</v>
      </c>
      <c r="BK177" s="15">
        <f>VLOOKUP($U177,'2020_CapacityTable'!$B$49:$F$71,2)</f>
        <v>0</v>
      </c>
      <c r="BL177" s="15">
        <f>VLOOKUP($U177,'2020_CapacityTable'!$B$49:$F$71,3)</f>
        <v>7300</v>
      </c>
      <c r="BM177" s="15">
        <f>VLOOKUP($T177,'2020_CapacityTable'!$B$49:$F$71,4)</f>
        <v>14800</v>
      </c>
      <c r="BN177" s="15">
        <f>VLOOKUP($T177,'2020_CapacityTable'!$B$49:$F$71,5)</f>
        <v>15600</v>
      </c>
      <c r="BO177" s="15">
        <f t="shared" si="254"/>
        <v>0</v>
      </c>
      <c r="BP177" s="15">
        <f t="shared" si="255"/>
        <v>6570</v>
      </c>
      <c r="BQ177" s="15">
        <f t="shared" si="256"/>
        <v>13320</v>
      </c>
      <c r="BR177" s="15">
        <f t="shared" si="257"/>
        <v>14040</v>
      </c>
      <c r="BS177" s="3">
        <f t="shared" si="291"/>
        <v>13320</v>
      </c>
      <c r="BT177" s="40">
        <f>'State of the System - Sumter Co'!AD177</f>
        <v>8077</v>
      </c>
      <c r="BU177" s="41">
        <f t="shared" si="258"/>
        <v>0.61</v>
      </c>
      <c r="BV177" s="2" t="str">
        <f t="shared" si="259"/>
        <v>D</v>
      </c>
      <c r="BW177" s="2">
        <f t="shared" si="260"/>
        <v>3.93</v>
      </c>
      <c r="BX177" s="15">
        <f>VLOOKUP($U177,'2020_CapacityTable'!$B$23:$F$45,2)</f>
        <v>0</v>
      </c>
      <c r="BY177" s="15">
        <f>VLOOKUP($U177,'2020_CapacityTable'!$B$23:$F$45,3)</f>
        <v>370</v>
      </c>
      <c r="BZ177" s="15">
        <f>VLOOKUP($U177,'2020_CapacityTable'!$B$23:$F$45,4)</f>
        <v>750</v>
      </c>
      <c r="CA177" s="15">
        <f>VLOOKUP($U177,'2020_CapacityTable'!$B$23:$F$45,5)</f>
        <v>800</v>
      </c>
      <c r="CB177" s="15">
        <f t="shared" si="261"/>
        <v>0</v>
      </c>
      <c r="CC177" s="15">
        <f t="shared" si="262"/>
        <v>333</v>
      </c>
      <c r="CD177" s="15">
        <f t="shared" si="263"/>
        <v>675</v>
      </c>
      <c r="CE177" s="15">
        <f t="shared" si="264"/>
        <v>720</v>
      </c>
      <c r="CF177" s="3">
        <f t="shared" si="292"/>
        <v>675</v>
      </c>
      <c r="CG177" s="2">
        <f>'State of the System - Sumter Co'!AH177</f>
        <v>458</v>
      </c>
      <c r="CH177" s="2">
        <f>'State of the System - Sumter Co'!AI177</f>
        <v>378</v>
      </c>
      <c r="CI177" s="11">
        <f t="shared" si="265"/>
        <v>0.68</v>
      </c>
      <c r="CJ177" s="2" t="str">
        <f t="shared" si="293"/>
        <v>D</v>
      </c>
      <c r="CK177" s="3">
        <f t="shared" si="266"/>
        <v>15163</v>
      </c>
      <c r="CL177" s="11">
        <f t="shared" si="267"/>
        <v>0.53</v>
      </c>
      <c r="CM177" s="11" t="str">
        <f t="shared" si="268"/>
        <v>NOT CONGESTED</v>
      </c>
      <c r="CN177" s="3">
        <f t="shared" si="269"/>
        <v>778</v>
      </c>
      <c r="CO177" s="11">
        <f t="shared" si="270"/>
        <v>0.59</v>
      </c>
      <c r="CP177" s="156" t="str">
        <f t="shared" si="294"/>
        <v>NOT CONGESTED</v>
      </c>
      <c r="CQ177" s="2"/>
      <c r="CR177" s="42"/>
      <c r="CS177" s="11" t="str">
        <f t="shared" si="271"/>
        <v/>
      </c>
      <c r="CT177" s="11" t="str">
        <f t="shared" si="295"/>
        <v/>
      </c>
      <c r="CU177" s="11" t="str">
        <f t="shared" si="272"/>
        <v/>
      </c>
      <c r="CV177" s="11" t="str">
        <f t="shared" si="273"/>
        <v/>
      </c>
      <c r="CW177" s="2"/>
      <c r="CX177" s="1"/>
      <c r="CY177" s="145" t="str">
        <f t="shared" si="274"/>
        <v/>
      </c>
      <c r="CZ177" s="32" t="str">
        <f t="shared" si="275"/>
        <v/>
      </c>
    </row>
    <row r="178" spans="1:104" ht="12.75" customHeight="1">
      <c r="A178" s="1">
        <v>6000045</v>
      </c>
      <c r="B178" s="1">
        <f t="shared" si="276"/>
        <v>9</v>
      </c>
      <c r="C178" s="1">
        <v>329</v>
      </c>
      <c r="D178" s="1">
        <f>VLOOKUP(C178,'2022 counts'!$A$6:$B$304,2,FALSE)</f>
        <v>9</v>
      </c>
      <c r="E178" s="1"/>
      <c r="F178" s="2" t="s">
        <v>6</v>
      </c>
      <c r="G178" s="156">
        <v>20</v>
      </c>
      <c r="H178" s="11">
        <v>0.51276440731600004</v>
      </c>
      <c r="I178" s="10" t="s">
        <v>19</v>
      </c>
      <c r="J178" s="10" t="s">
        <v>20</v>
      </c>
      <c r="K178" s="10" t="s">
        <v>22</v>
      </c>
      <c r="L178" s="157">
        <v>2</v>
      </c>
      <c r="M178" s="1">
        <f>'State of the System - Sumter Co'!K178</f>
        <v>2</v>
      </c>
      <c r="N178" s="1" t="str">
        <f>IF('State of the System - Sumter Co'!L178="URBAN","U","R")</f>
        <v>U</v>
      </c>
      <c r="O178" s="1" t="str">
        <f>IF('State of the System - Sumter Co'!M178="UNDIVIDED","U",IF('State of the System - Sumter Co'!M178="DIVIDED","D","F"))</f>
        <v>U</v>
      </c>
      <c r="P178" s="1" t="str">
        <f>'State of the System - Sumter Co'!N178</f>
        <v>INTERRUPTED</v>
      </c>
      <c r="Q178" s="1" t="str">
        <f t="shared" si="234"/>
        <v/>
      </c>
      <c r="R178" s="1" t="str">
        <f>'State of the System - Sumter Co'!O178</f>
        <v/>
      </c>
      <c r="S178" s="1" t="str">
        <f t="shared" si="281"/>
        <v>-2</v>
      </c>
      <c r="T178" s="1" t="str">
        <f t="shared" si="236"/>
        <v>U-2U-2</v>
      </c>
      <c r="U178" s="1" t="str">
        <f t="shared" si="279"/>
        <v>U-2U-2</v>
      </c>
      <c r="V178" s="1" t="s">
        <v>10</v>
      </c>
      <c r="W178" s="1" t="s">
        <v>11</v>
      </c>
      <c r="X178" s="1" t="s">
        <v>21</v>
      </c>
      <c r="Y178" s="1" t="str">
        <f>'State of the System - Sumter Co'!R178</f>
        <v>D</v>
      </c>
      <c r="Z178" s="157" t="str">
        <f t="shared" si="237"/>
        <v>Other CMP Network Roadways</v>
      </c>
      <c r="AA178" s="15">
        <f>VLOOKUP($T178,'2020_CapacityTable'!$B$49:$F$71,2)</f>
        <v>0</v>
      </c>
      <c r="AB178" s="15">
        <f>VLOOKUP($T178,'2020_CapacityTable'!$B$49:$F$71,3)</f>
        <v>7300</v>
      </c>
      <c r="AC178" s="15">
        <f>VLOOKUP($T178,'2020_CapacityTable'!$B$49:$F$71,4)</f>
        <v>14800</v>
      </c>
      <c r="AD178" s="15">
        <f>VLOOKUP($T178,'2020_CapacityTable'!$B$49:$F$71,5)</f>
        <v>15600</v>
      </c>
      <c r="AE178" s="35">
        <f t="shared" si="288"/>
        <v>-0.1</v>
      </c>
      <c r="AF178" s="36" t="str">
        <f t="shared" si="238"/>
        <v/>
      </c>
      <c r="AG178" s="35"/>
      <c r="AH178" s="35" t="str">
        <f t="shared" si="296"/>
        <v/>
      </c>
      <c r="AI178" s="35"/>
      <c r="AJ178" s="36"/>
      <c r="AK178" s="15">
        <f t="shared" si="239"/>
        <v>0</v>
      </c>
      <c r="AL178" s="15">
        <f t="shared" si="240"/>
        <v>6570</v>
      </c>
      <c r="AM178" s="15">
        <f t="shared" si="241"/>
        <v>13320</v>
      </c>
      <c r="AN178" s="15">
        <f t="shared" si="242"/>
        <v>14040</v>
      </c>
      <c r="AO178" s="3">
        <f t="shared" si="289"/>
        <v>13320</v>
      </c>
      <c r="AP178" s="138">
        <f>VLOOKUP($B178,'2022 counts'!$B$6:$R$304,17,FALSE)</f>
        <v>5040</v>
      </c>
      <c r="AQ178" s="11">
        <f t="shared" si="243"/>
        <v>0.38</v>
      </c>
      <c r="AR178" s="2" t="str">
        <f t="shared" si="244"/>
        <v>C</v>
      </c>
      <c r="AS178" s="26">
        <f t="shared" si="245"/>
        <v>0.94</v>
      </c>
      <c r="AT178" s="15">
        <f>VLOOKUP($T178,'2020_CapacityTable'!$B$23:$F$45,2)</f>
        <v>0</v>
      </c>
      <c r="AU178" s="15">
        <f>VLOOKUP($T178,'2020_CapacityTable'!$B$23:$F$45,3)</f>
        <v>370</v>
      </c>
      <c r="AV178" s="15">
        <f>VLOOKUP($T178,'2020_CapacityTable'!$B$23:$F$45,4)</f>
        <v>750</v>
      </c>
      <c r="AW178" s="15">
        <f>VLOOKUP($T178,'2020_CapacityTable'!$B$23:$F$45,5)</f>
        <v>800</v>
      </c>
      <c r="AX178" s="15">
        <f t="shared" si="246"/>
        <v>0</v>
      </c>
      <c r="AY178" s="15">
        <f t="shared" si="247"/>
        <v>333</v>
      </c>
      <c r="AZ178" s="15">
        <f t="shared" si="248"/>
        <v>675</v>
      </c>
      <c r="BA178" s="15">
        <f t="shared" si="249"/>
        <v>720</v>
      </c>
      <c r="BB178" s="3">
        <f t="shared" si="290"/>
        <v>675</v>
      </c>
      <c r="BC178" s="138">
        <f>VLOOKUP($B178,'2022 counts'!$B$6:$AD$304,28,FALSE)</f>
        <v>260</v>
      </c>
      <c r="BD178" s="138">
        <f>VLOOKUP($B178,'2022 counts'!$B$6:$AD$304,29,FALSE)</f>
        <v>227</v>
      </c>
      <c r="BE178" s="11">
        <f t="shared" si="250"/>
        <v>0.39</v>
      </c>
      <c r="BF178" s="2" t="str">
        <f t="shared" si="251"/>
        <v>C</v>
      </c>
      <c r="BG178" s="135">
        <v>6.25E-2</v>
      </c>
      <c r="BH178" s="135">
        <f>IF($AQ178="","",VLOOKUP($B178, '2022 counts'!$B$6:$T$304,19,FALSE))</f>
        <v>6.25E-2</v>
      </c>
      <c r="BI178" s="38">
        <f t="shared" si="252"/>
        <v>6.25E-2</v>
      </c>
      <c r="BJ178" s="39" t="str">
        <f t="shared" si="253"/>
        <v/>
      </c>
      <c r="BK178" s="15">
        <f>VLOOKUP($U178,'2020_CapacityTable'!$B$49:$F$71,2)</f>
        <v>0</v>
      </c>
      <c r="BL178" s="15">
        <f>VLOOKUP($U178,'2020_CapacityTable'!$B$49:$F$71,3)</f>
        <v>7300</v>
      </c>
      <c r="BM178" s="15">
        <f>VLOOKUP($T178,'2020_CapacityTable'!$B$49:$F$71,4)</f>
        <v>14800</v>
      </c>
      <c r="BN178" s="15">
        <f>VLOOKUP($T178,'2020_CapacityTable'!$B$49:$F$71,5)</f>
        <v>15600</v>
      </c>
      <c r="BO178" s="15">
        <f t="shared" si="254"/>
        <v>0</v>
      </c>
      <c r="BP178" s="15">
        <f t="shared" si="255"/>
        <v>6570</v>
      </c>
      <c r="BQ178" s="15">
        <f t="shared" si="256"/>
        <v>13320</v>
      </c>
      <c r="BR178" s="15">
        <f t="shared" si="257"/>
        <v>14040</v>
      </c>
      <c r="BS178" s="3">
        <f t="shared" si="291"/>
        <v>13320</v>
      </c>
      <c r="BT178" s="40">
        <f>'State of the System - Sumter Co'!AD178</f>
        <v>6825</v>
      </c>
      <c r="BU178" s="41">
        <f t="shared" si="258"/>
        <v>0.51</v>
      </c>
      <c r="BV178" s="2" t="str">
        <f t="shared" si="259"/>
        <v>D</v>
      </c>
      <c r="BW178" s="2">
        <f t="shared" si="260"/>
        <v>1.28</v>
      </c>
      <c r="BX178" s="15">
        <f>VLOOKUP($U178,'2020_CapacityTable'!$B$23:$F$45,2)</f>
        <v>0</v>
      </c>
      <c r="BY178" s="15">
        <f>VLOOKUP($U178,'2020_CapacityTable'!$B$23:$F$45,3)</f>
        <v>370</v>
      </c>
      <c r="BZ178" s="15">
        <f>VLOOKUP($U178,'2020_CapacityTable'!$B$23:$F$45,4)</f>
        <v>750</v>
      </c>
      <c r="CA178" s="15">
        <f>VLOOKUP($U178,'2020_CapacityTable'!$B$23:$F$45,5)</f>
        <v>800</v>
      </c>
      <c r="CB178" s="15">
        <f t="shared" si="261"/>
        <v>0</v>
      </c>
      <c r="CC178" s="15">
        <f t="shared" si="262"/>
        <v>333</v>
      </c>
      <c r="CD178" s="15">
        <f t="shared" si="263"/>
        <v>675</v>
      </c>
      <c r="CE178" s="15">
        <f t="shared" si="264"/>
        <v>720</v>
      </c>
      <c r="CF178" s="3">
        <f t="shared" si="292"/>
        <v>675</v>
      </c>
      <c r="CG178" s="2">
        <f>'State of the System - Sumter Co'!AH178</f>
        <v>352</v>
      </c>
      <c r="CH178" s="2">
        <f>'State of the System - Sumter Co'!AI178</f>
        <v>307</v>
      </c>
      <c r="CI178" s="11">
        <f t="shared" si="265"/>
        <v>0.52</v>
      </c>
      <c r="CJ178" s="2" t="str">
        <f t="shared" si="293"/>
        <v>D</v>
      </c>
      <c r="CK178" s="3">
        <f t="shared" si="266"/>
        <v>15163</v>
      </c>
      <c r="CL178" s="11">
        <f t="shared" si="267"/>
        <v>0.45</v>
      </c>
      <c r="CM178" s="11" t="str">
        <f t="shared" si="268"/>
        <v>NOT CONGESTED</v>
      </c>
      <c r="CN178" s="3">
        <f t="shared" si="269"/>
        <v>778</v>
      </c>
      <c r="CO178" s="11">
        <f t="shared" si="270"/>
        <v>0.45</v>
      </c>
      <c r="CP178" s="156" t="str">
        <f t="shared" si="294"/>
        <v>NOT CONGESTED</v>
      </c>
      <c r="CQ178" s="2"/>
      <c r="CR178" s="42"/>
      <c r="CS178" s="11" t="str">
        <f t="shared" si="271"/>
        <v/>
      </c>
      <c r="CT178" s="11" t="str">
        <f t="shared" si="295"/>
        <v/>
      </c>
      <c r="CU178" s="11" t="str">
        <f t="shared" si="272"/>
        <v/>
      </c>
      <c r="CV178" s="11" t="str">
        <f t="shared" si="273"/>
        <v/>
      </c>
      <c r="CW178" s="2"/>
      <c r="CX178" s="1"/>
      <c r="CY178" s="145" t="str">
        <f t="shared" si="274"/>
        <v/>
      </c>
      <c r="CZ178" s="32" t="str">
        <f t="shared" si="275"/>
        <v/>
      </c>
    </row>
    <row r="179" spans="1:104" ht="12.75" customHeight="1">
      <c r="A179" s="1">
        <v>6000050</v>
      </c>
      <c r="B179" s="1">
        <f t="shared" si="276"/>
        <v>8</v>
      </c>
      <c r="C179" s="1">
        <v>326</v>
      </c>
      <c r="D179" s="1">
        <f>VLOOKUP(C179,'2022 counts'!$A$6:$B$304,2,FALSE)</f>
        <v>8</v>
      </c>
      <c r="E179" s="1"/>
      <c r="F179" s="2" t="s">
        <v>6</v>
      </c>
      <c r="G179" s="156">
        <v>20</v>
      </c>
      <c r="H179" s="11">
        <v>0.52268338965100003</v>
      </c>
      <c r="I179" s="10" t="s">
        <v>19</v>
      </c>
      <c r="J179" s="10" t="s">
        <v>18</v>
      </c>
      <c r="K179" s="10" t="s">
        <v>20</v>
      </c>
      <c r="L179" s="157">
        <v>2</v>
      </c>
      <c r="M179" s="1">
        <f>'State of the System - Sumter Co'!K179</f>
        <v>2</v>
      </c>
      <c r="N179" s="1" t="str">
        <f>IF('State of the System - Sumter Co'!L179="URBAN","U","R")</f>
        <v>U</v>
      </c>
      <c r="O179" s="1" t="str">
        <f>IF('State of the System - Sumter Co'!M179="UNDIVIDED","U",IF('State of the System - Sumter Co'!M179="DIVIDED","D","F"))</f>
        <v>U</v>
      </c>
      <c r="P179" s="1" t="str">
        <f>'State of the System - Sumter Co'!N179</f>
        <v>INTERRUPTED</v>
      </c>
      <c r="Q179" s="1" t="str">
        <f t="shared" si="234"/>
        <v/>
      </c>
      <c r="R179" s="1" t="str">
        <f>'State of the System - Sumter Co'!O179</f>
        <v/>
      </c>
      <c r="S179" s="1" t="str">
        <f t="shared" si="281"/>
        <v>-2</v>
      </c>
      <c r="T179" s="1" t="str">
        <f t="shared" si="236"/>
        <v>U-2U-2</v>
      </c>
      <c r="U179" s="1" t="str">
        <f t="shared" si="279"/>
        <v>U-2U-2</v>
      </c>
      <c r="V179" s="1" t="s">
        <v>10</v>
      </c>
      <c r="W179" s="1" t="s">
        <v>11</v>
      </c>
      <c r="X179" s="1" t="s">
        <v>21</v>
      </c>
      <c r="Y179" s="1" t="str">
        <f>'State of the System - Sumter Co'!R179</f>
        <v>D</v>
      </c>
      <c r="Z179" s="157" t="str">
        <f t="shared" si="237"/>
        <v>Other CMP Network Roadways</v>
      </c>
      <c r="AA179" s="15">
        <f>VLOOKUP($T179,'2020_CapacityTable'!$B$49:$F$71,2)</f>
        <v>0</v>
      </c>
      <c r="AB179" s="15">
        <f>VLOOKUP($T179,'2020_CapacityTable'!$B$49:$F$71,3)</f>
        <v>7300</v>
      </c>
      <c r="AC179" s="15">
        <f>VLOOKUP($T179,'2020_CapacityTable'!$B$49:$F$71,4)</f>
        <v>14800</v>
      </c>
      <c r="AD179" s="15">
        <f>VLOOKUP($T179,'2020_CapacityTable'!$B$49:$F$71,5)</f>
        <v>15600</v>
      </c>
      <c r="AE179" s="35">
        <f t="shared" si="288"/>
        <v>-0.1</v>
      </c>
      <c r="AF179" s="36" t="str">
        <f t="shared" si="238"/>
        <v/>
      </c>
      <c r="AG179" s="35"/>
      <c r="AH179" s="35" t="str">
        <f t="shared" si="296"/>
        <v/>
      </c>
      <c r="AI179" s="35"/>
      <c r="AJ179" s="36"/>
      <c r="AK179" s="15">
        <f t="shared" si="239"/>
        <v>0</v>
      </c>
      <c r="AL179" s="15">
        <f t="shared" si="240"/>
        <v>6570</v>
      </c>
      <c r="AM179" s="15">
        <f t="shared" si="241"/>
        <v>13320</v>
      </c>
      <c r="AN179" s="15">
        <f t="shared" si="242"/>
        <v>14040</v>
      </c>
      <c r="AO179" s="3">
        <f t="shared" si="289"/>
        <v>13320</v>
      </c>
      <c r="AP179" s="138">
        <f>VLOOKUP($B179,'2022 counts'!$B$6:$R$304,17,FALSE)</f>
        <v>4689</v>
      </c>
      <c r="AQ179" s="11">
        <f t="shared" si="243"/>
        <v>0.35</v>
      </c>
      <c r="AR179" s="2" t="str">
        <f t="shared" si="244"/>
        <v>C</v>
      </c>
      <c r="AS179" s="26">
        <f t="shared" si="245"/>
        <v>0.89</v>
      </c>
      <c r="AT179" s="15">
        <f>VLOOKUP($T179,'2020_CapacityTable'!$B$23:$F$45,2)</f>
        <v>0</v>
      </c>
      <c r="AU179" s="15">
        <f>VLOOKUP($T179,'2020_CapacityTable'!$B$23:$F$45,3)</f>
        <v>370</v>
      </c>
      <c r="AV179" s="15">
        <f>VLOOKUP($T179,'2020_CapacityTable'!$B$23:$F$45,4)</f>
        <v>750</v>
      </c>
      <c r="AW179" s="15">
        <f>VLOOKUP($T179,'2020_CapacityTable'!$B$23:$F$45,5)</f>
        <v>800</v>
      </c>
      <c r="AX179" s="15">
        <f t="shared" si="246"/>
        <v>0</v>
      </c>
      <c r="AY179" s="15">
        <f t="shared" si="247"/>
        <v>333</v>
      </c>
      <c r="AZ179" s="15">
        <f t="shared" si="248"/>
        <v>675</v>
      </c>
      <c r="BA179" s="15">
        <f t="shared" si="249"/>
        <v>720</v>
      </c>
      <c r="BB179" s="3">
        <f t="shared" si="290"/>
        <v>675</v>
      </c>
      <c r="BC179" s="138">
        <f>VLOOKUP($B179,'2022 counts'!$B$6:$AD$304,28,FALSE)</f>
        <v>243</v>
      </c>
      <c r="BD179" s="138">
        <f>VLOOKUP($B179,'2022 counts'!$B$6:$AD$304,29,FALSE)</f>
        <v>218</v>
      </c>
      <c r="BE179" s="11">
        <f t="shared" si="250"/>
        <v>0.36</v>
      </c>
      <c r="BF179" s="2" t="str">
        <f t="shared" si="251"/>
        <v>C</v>
      </c>
      <c r="BG179" s="135">
        <v>2.2499999999999999E-2</v>
      </c>
      <c r="BH179" s="135">
        <f>IF($AQ179="","",VLOOKUP($B179, '2022 counts'!$B$6:$T$304,19,FALSE))</f>
        <v>2.2499999999999999E-2</v>
      </c>
      <c r="BI179" s="38">
        <f t="shared" si="252"/>
        <v>2.2499999999999999E-2</v>
      </c>
      <c r="BJ179" s="39" t="str">
        <f t="shared" si="253"/>
        <v/>
      </c>
      <c r="BK179" s="15">
        <f>VLOOKUP($U179,'2020_CapacityTable'!$B$49:$F$71,2)</f>
        <v>0</v>
      </c>
      <c r="BL179" s="15">
        <f>VLOOKUP($U179,'2020_CapacityTable'!$B$49:$F$71,3)</f>
        <v>7300</v>
      </c>
      <c r="BM179" s="15">
        <f>VLOOKUP($T179,'2020_CapacityTable'!$B$49:$F$71,4)</f>
        <v>14800</v>
      </c>
      <c r="BN179" s="15">
        <f>VLOOKUP($T179,'2020_CapacityTable'!$B$49:$F$71,5)</f>
        <v>15600</v>
      </c>
      <c r="BO179" s="15">
        <f t="shared" si="254"/>
        <v>0</v>
      </c>
      <c r="BP179" s="15">
        <f t="shared" si="255"/>
        <v>6570</v>
      </c>
      <c r="BQ179" s="15">
        <f t="shared" si="256"/>
        <v>13320</v>
      </c>
      <c r="BR179" s="15">
        <f t="shared" si="257"/>
        <v>14040</v>
      </c>
      <c r="BS179" s="3">
        <f t="shared" si="291"/>
        <v>13320</v>
      </c>
      <c r="BT179" s="40">
        <f>'State of the System - Sumter Co'!AD179</f>
        <v>5241</v>
      </c>
      <c r="BU179" s="41">
        <f t="shared" si="258"/>
        <v>0.39</v>
      </c>
      <c r="BV179" s="2" t="str">
        <f t="shared" si="259"/>
        <v>C</v>
      </c>
      <c r="BW179" s="2">
        <f t="shared" si="260"/>
        <v>1</v>
      </c>
      <c r="BX179" s="15">
        <f>VLOOKUP($U179,'2020_CapacityTable'!$B$23:$F$45,2)</f>
        <v>0</v>
      </c>
      <c r="BY179" s="15">
        <f>VLOOKUP($U179,'2020_CapacityTable'!$B$23:$F$45,3)</f>
        <v>370</v>
      </c>
      <c r="BZ179" s="15">
        <f>VLOOKUP($U179,'2020_CapacityTable'!$B$23:$F$45,4)</f>
        <v>750</v>
      </c>
      <c r="CA179" s="15">
        <f>VLOOKUP($U179,'2020_CapacityTable'!$B$23:$F$45,5)</f>
        <v>800</v>
      </c>
      <c r="CB179" s="15">
        <f t="shared" si="261"/>
        <v>0</v>
      </c>
      <c r="CC179" s="15">
        <f t="shared" si="262"/>
        <v>333</v>
      </c>
      <c r="CD179" s="15">
        <f t="shared" si="263"/>
        <v>675</v>
      </c>
      <c r="CE179" s="15">
        <f t="shared" si="264"/>
        <v>720</v>
      </c>
      <c r="CF179" s="3">
        <f t="shared" si="292"/>
        <v>675</v>
      </c>
      <c r="CG179" s="2">
        <f>'State of the System - Sumter Co'!AH179</f>
        <v>272</v>
      </c>
      <c r="CH179" s="2">
        <f>'State of the System - Sumter Co'!AI179</f>
        <v>244</v>
      </c>
      <c r="CI179" s="11">
        <f t="shared" si="265"/>
        <v>0.4</v>
      </c>
      <c r="CJ179" s="2" t="str">
        <f t="shared" si="293"/>
        <v>C</v>
      </c>
      <c r="CK179" s="3">
        <f t="shared" si="266"/>
        <v>15163</v>
      </c>
      <c r="CL179" s="11">
        <f t="shared" si="267"/>
        <v>0.35</v>
      </c>
      <c r="CM179" s="11" t="str">
        <f t="shared" si="268"/>
        <v>NOT CONGESTED</v>
      </c>
      <c r="CN179" s="3">
        <f t="shared" si="269"/>
        <v>778</v>
      </c>
      <c r="CO179" s="11">
        <f t="shared" si="270"/>
        <v>0.35</v>
      </c>
      <c r="CP179" s="156" t="str">
        <f t="shared" si="294"/>
        <v>NOT CONGESTED</v>
      </c>
      <c r="CQ179" s="2"/>
      <c r="CR179" s="42"/>
      <c r="CS179" s="11" t="str">
        <f t="shared" si="271"/>
        <v/>
      </c>
      <c r="CT179" s="11" t="str">
        <f t="shared" si="295"/>
        <v/>
      </c>
      <c r="CU179" s="11" t="str">
        <f t="shared" si="272"/>
        <v/>
      </c>
      <c r="CV179" s="11" t="str">
        <f t="shared" si="273"/>
        <v/>
      </c>
      <c r="CW179" s="2"/>
      <c r="CX179" s="1"/>
      <c r="CY179" s="145" t="str">
        <f t="shared" si="274"/>
        <v/>
      </c>
      <c r="CZ179" s="32" t="str">
        <f t="shared" si="275"/>
        <v/>
      </c>
    </row>
    <row r="180" spans="1:104" ht="12.75" customHeight="1">
      <c r="A180" s="1">
        <v>6000055</v>
      </c>
      <c r="B180" s="1">
        <f t="shared" si="276"/>
        <v>87</v>
      </c>
      <c r="C180" s="1">
        <v>216</v>
      </c>
      <c r="D180" s="1">
        <f>VLOOKUP(C180,'2022 counts'!$A$6:$B$304,2,FALSE)</f>
        <v>87</v>
      </c>
      <c r="E180" s="1"/>
      <c r="F180" s="2" t="s">
        <v>6</v>
      </c>
      <c r="G180" s="156">
        <v>25</v>
      </c>
      <c r="H180" s="11">
        <v>0.48836954184499998</v>
      </c>
      <c r="I180" s="10" t="s">
        <v>20</v>
      </c>
      <c r="J180" s="10" t="s">
        <v>727</v>
      </c>
      <c r="K180" s="10" t="s">
        <v>100</v>
      </c>
      <c r="L180" s="157">
        <v>2</v>
      </c>
      <c r="M180" s="1">
        <f>'State of the System - Sumter Co'!K180</f>
        <v>2</v>
      </c>
      <c r="N180" s="1" t="str">
        <f>IF('State of the System - Sumter Co'!L180="URBAN","U","R")</f>
        <v>U</v>
      </c>
      <c r="O180" s="1" t="str">
        <f>IF('State of the System - Sumter Co'!M180="UNDIVIDED","U",IF('State of the System - Sumter Co'!M180="DIVIDED","D","F"))</f>
        <v>U</v>
      </c>
      <c r="P180" s="1" t="str">
        <f>'State of the System - Sumter Co'!N180</f>
        <v>INTERRUPTED</v>
      </c>
      <c r="Q180" s="1" t="str">
        <f t="shared" si="234"/>
        <v/>
      </c>
      <c r="R180" s="1" t="str">
        <f>'State of the System - Sumter Co'!O180</f>
        <v/>
      </c>
      <c r="S180" s="1" t="str">
        <f t="shared" si="281"/>
        <v>-2</v>
      </c>
      <c r="T180" s="1" t="str">
        <f t="shared" si="236"/>
        <v>U-2U-2</v>
      </c>
      <c r="U180" s="1" t="str">
        <f t="shared" si="279"/>
        <v>U-2U-2</v>
      </c>
      <c r="V180" s="1" t="s">
        <v>10</v>
      </c>
      <c r="W180" s="1" t="s">
        <v>11</v>
      </c>
      <c r="X180" s="1" t="s">
        <v>12</v>
      </c>
      <c r="Y180" s="1" t="str">
        <f>'State of the System - Sumter Co'!R180</f>
        <v>D</v>
      </c>
      <c r="Z180" s="157" t="str">
        <f t="shared" si="237"/>
        <v>Other CMP Network Roadways</v>
      </c>
      <c r="AA180" s="15">
        <f>VLOOKUP($T180,'2020_CapacityTable'!$B$49:$F$71,2)</f>
        <v>0</v>
      </c>
      <c r="AB180" s="15">
        <f>VLOOKUP($T180,'2020_CapacityTable'!$B$49:$F$71,3)</f>
        <v>7300</v>
      </c>
      <c r="AC180" s="15">
        <f>VLOOKUP($T180,'2020_CapacityTable'!$B$49:$F$71,4)</f>
        <v>14800</v>
      </c>
      <c r="AD180" s="15">
        <f>VLOOKUP($T180,'2020_CapacityTable'!$B$49:$F$71,5)</f>
        <v>15600</v>
      </c>
      <c r="AE180" s="35">
        <f t="shared" si="288"/>
        <v>-0.1</v>
      </c>
      <c r="AF180" s="36" t="str">
        <f t="shared" si="238"/>
        <v/>
      </c>
      <c r="AG180" s="35"/>
      <c r="AH180" s="35" t="str">
        <f t="shared" si="296"/>
        <v/>
      </c>
      <c r="AI180" s="35"/>
      <c r="AJ180" s="36"/>
      <c r="AK180" s="15">
        <f t="shared" si="239"/>
        <v>0</v>
      </c>
      <c r="AL180" s="15">
        <f t="shared" si="240"/>
        <v>6570</v>
      </c>
      <c r="AM180" s="15">
        <f t="shared" si="241"/>
        <v>13320</v>
      </c>
      <c r="AN180" s="15">
        <f t="shared" si="242"/>
        <v>14040</v>
      </c>
      <c r="AO180" s="3">
        <f t="shared" si="289"/>
        <v>13320</v>
      </c>
      <c r="AP180" s="138">
        <f>VLOOKUP($B180,'2022 counts'!$B$6:$R$304,17,FALSE)</f>
        <v>4010</v>
      </c>
      <c r="AQ180" s="11">
        <f t="shared" si="243"/>
        <v>0.3</v>
      </c>
      <c r="AR180" s="2" t="str">
        <f t="shared" si="244"/>
        <v>C</v>
      </c>
      <c r="AS180" s="26">
        <f t="shared" si="245"/>
        <v>0.71</v>
      </c>
      <c r="AT180" s="15">
        <f>VLOOKUP($T180,'2020_CapacityTable'!$B$23:$F$45,2)</f>
        <v>0</v>
      </c>
      <c r="AU180" s="15">
        <f>VLOOKUP($T180,'2020_CapacityTable'!$B$23:$F$45,3)</f>
        <v>370</v>
      </c>
      <c r="AV180" s="15">
        <f>VLOOKUP($T180,'2020_CapacityTable'!$B$23:$F$45,4)</f>
        <v>750</v>
      </c>
      <c r="AW180" s="15">
        <f>VLOOKUP($T180,'2020_CapacityTable'!$B$23:$F$45,5)</f>
        <v>800</v>
      </c>
      <c r="AX180" s="15">
        <f t="shared" si="246"/>
        <v>0</v>
      </c>
      <c r="AY180" s="15">
        <f t="shared" si="247"/>
        <v>333</v>
      </c>
      <c r="AZ180" s="15">
        <f t="shared" si="248"/>
        <v>675</v>
      </c>
      <c r="BA180" s="15">
        <f t="shared" si="249"/>
        <v>720</v>
      </c>
      <c r="BB180" s="3">
        <f t="shared" si="290"/>
        <v>675</v>
      </c>
      <c r="BC180" s="138">
        <f>VLOOKUP($B180,'2022 counts'!$B$6:$AD$304,28,FALSE)</f>
        <v>214</v>
      </c>
      <c r="BD180" s="138">
        <f>VLOOKUP($B180,'2022 counts'!$B$6:$AD$304,29,FALSE)</f>
        <v>202</v>
      </c>
      <c r="BE180" s="11">
        <f t="shared" si="250"/>
        <v>0.32</v>
      </c>
      <c r="BF180" s="2" t="str">
        <f t="shared" si="251"/>
        <v>C</v>
      </c>
      <c r="BG180" s="135">
        <v>7.4999999999999997E-3</v>
      </c>
      <c r="BH180" s="135">
        <f>IF($AQ180="","",VLOOKUP($B180, '2022 counts'!$B$6:$T$304,19,FALSE))</f>
        <v>7.4999999999999997E-3</v>
      </c>
      <c r="BI180" s="38">
        <f t="shared" si="252"/>
        <v>0.01</v>
      </c>
      <c r="BJ180" s="39" t="str">
        <f t="shared" si="253"/>
        <v>minimum</v>
      </c>
      <c r="BK180" s="15">
        <f>VLOOKUP($U180,'2020_CapacityTable'!$B$49:$F$71,2)</f>
        <v>0</v>
      </c>
      <c r="BL180" s="15">
        <f>VLOOKUP($U180,'2020_CapacityTable'!$B$49:$F$71,3)</f>
        <v>7300</v>
      </c>
      <c r="BM180" s="15">
        <f>VLOOKUP($T180,'2020_CapacityTable'!$B$49:$F$71,4)</f>
        <v>14800</v>
      </c>
      <c r="BN180" s="15">
        <f>VLOOKUP($T180,'2020_CapacityTable'!$B$49:$F$71,5)</f>
        <v>15600</v>
      </c>
      <c r="BO180" s="15">
        <f t="shared" si="254"/>
        <v>0</v>
      </c>
      <c r="BP180" s="15">
        <f t="shared" si="255"/>
        <v>6570</v>
      </c>
      <c r="BQ180" s="15">
        <f t="shared" si="256"/>
        <v>13320</v>
      </c>
      <c r="BR180" s="15">
        <f t="shared" si="257"/>
        <v>14040</v>
      </c>
      <c r="BS180" s="3">
        <f t="shared" si="291"/>
        <v>13320</v>
      </c>
      <c r="BT180" s="40">
        <f>'State of the System - Sumter Co'!AD180</f>
        <v>4215</v>
      </c>
      <c r="BU180" s="41">
        <f t="shared" si="258"/>
        <v>0.32</v>
      </c>
      <c r="BV180" s="2" t="str">
        <f t="shared" si="259"/>
        <v>C</v>
      </c>
      <c r="BW180" s="2">
        <f t="shared" si="260"/>
        <v>0.75</v>
      </c>
      <c r="BX180" s="15">
        <f>VLOOKUP($U180,'2020_CapacityTable'!$B$23:$F$45,2)</f>
        <v>0</v>
      </c>
      <c r="BY180" s="15">
        <f>VLOOKUP($U180,'2020_CapacityTable'!$B$23:$F$45,3)</f>
        <v>370</v>
      </c>
      <c r="BZ180" s="15">
        <f>VLOOKUP($U180,'2020_CapacityTable'!$B$23:$F$45,4)</f>
        <v>750</v>
      </c>
      <c r="CA180" s="15">
        <f>VLOOKUP($U180,'2020_CapacityTable'!$B$23:$F$45,5)</f>
        <v>800</v>
      </c>
      <c r="CB180" s="15">
        <f t="shared" si="261"/>
        <v>0</v>
      </c>
      <c r="CC180" s="15">
        <f t="shared" si="262"/>
        <v>333</v>
      </c>
      <c r="CD180" s="15">
        <f t="shared" si="263"/>
        <v>675</v>
      </c>
      <c r="CE180" s="15">
        <f t="shared" si="264"/>
        <v>720</v>
      </c>
      <c r="CF180" s="3">
        <f t="shared" si="292"/>
        <v>675</v>
      </c>
      <c r="CG180" s="2">
        <f>'State of the System - Sumter Co'!AH180</f>
        <v>225</v>
      </c>
      <c r="CH180" s="2">
        <f>'State of the System - Sumter Co'!AI180</f>
        <v>212</v>
      </c>
      <c r="CI180" s="11">
        <f t="shared" si="265"/>
        <v>0.33</v>
      </c>
      <c r="CJ180" s="2" t="str">
        <f t="shared" si="293"/>
        <v>C</v>
      </c>
      <c r="CK180" s="3">
        <f t="shared" si="266"/>
        <v>15163</v>
      </c>
      <c r="CL180" s="11">
        <f t="shared" si="267"/>
        <v>0.28000000000000003</v>
      </c>
      <c r="CM180" s="11" t="str">
        <f t="shared" si="268"/>
        <v>NOT CONGESTED</v>
      </c>
      <c r="CN180" s="3">
        <f t="shared" si="269"/>
        <v>778</v>
      </c>
      <c r="CO180" s="11">
        <f t="shared" si="270"/>
        <v>0.28999999999999998</v>
      </c>
      <c r="CP180" s="156" t="str">
        <f t="shared" si="294"/>
        <v>NOT CONGESTED</v>
      </c>
      <c r="CQ180" s="2"/>
      <c r="CR180" s="42"/>
      <c r="CS180" s="11" t="str">
        <f t="shared" si="271"/>
        <v/>
      </c>
      <c r="CT180" s="11" t="str">
        <f t="shared" si="295"/>
        <v/>
      </c>
      <c r="CU180" s="11" t="str">
        <f t="shared" si="272"/>
        <v/>
      </c>
      <c r="CV180" s="11" t="str">
        <f t="shared" si="273"/>
        <v/>
      </c>
      <c r="CW180" s="2"/>
      <c r="CX180" s="1"/>
      <c r="CY180" s="145" t="str">
        <f t="shared" si="274"/>
        <v/>
      </c>
      <c r="CZ180" s="32" t="str">
        <f t="shared" si="275"/>
        <v/>
      </c>
    </row>
    <row r="181" spans="1:104" ht="12.75" customHeight="1">
      <c r="A181" s="1">
        <v>6000060</v>
      </c>
      <c r="B181" s="1">
        <f t="shared" si="276"/>
        <v>86</v>
      </c>
      <c r="C181" s="1">
        <v>213</v>
      </c>
      <c r="D181" s="1">
        <f>VLOOKUP(C181,'2022 counts'!$A$6:$B$304,2,FALSE)</f>
        <v>86</v>
      </c>
      <c r="E181" s="1"/>
      <c r="F181" s="2" t="s">
        <v>6</v>
      </c>
      <c r="G181" s="156">
        <v>20</v>
      </c>
      <c r="H181" s="11">
        <v>0.62946872627100003</v>
      </c>
      <c r="I181" s="10" t="s">
        <v>20</v>
      </c>
      <c r="J181" s="10" t="s">
        <v>771</v>
      </c>
      <c r="K181" s="10" t="s">
        <v>19</v>
      </c>
      <c r="L181" s="157">
        <v>2</v>
      </c>
      <c r="M181" s="1">
        <f>'State of the System - Sumter Co'!K181</f>
        <v>2</v>
      </c>
      <c r="N181" s="1" t="str">
        <f>IF('State of the System - Sumter Co'!L181="URBAN","U","R")</f>
        <v>U</v>
      </c>
      <c r="O181" s="1" t="str">
        <f>IF('State of the System - Sumter Co'!M181="UNDIVIDED","U",IF('State of the System - Sumter Co'!M181="DIVIDED","D","F"))</f>
        <v>U</v>
      </c>
      <c r="P181" s="1" t="str">
        <f>'State of the System - Sumter Co'!N181</f>
        <v>INTERRUPTED</v>
      </c>
      <c r="Q181" s="1" t="str">
        <f t="shared" si="234"/>
        <v/>
      </c>
      <c r="R181" s="1" t="str">
        <f>'State of the System - Sumter Co'!O181</f>
        <v/>
      </c>
      <c r="S181" s="1" t="str">
        <f t="shared" si="281"/>
        <v>-2</v>
      </c>
      <c r="T181" s="1" t="str">
        <f t="shared" si="236"/>
        <v>U-2U-2</v>
      </c>
      <c r="U181" s="1" t="str">
        <f t="shared" si="279"/>
        <v>U-2U-2</v>
      </c>
      <c r="V181" s="1" t="s">
        <v>10</v>
      </c>
      <c r="W181" s="1" t="s">
        <v>11</v>
      </c>
      <c r="X181" s="1" t="s">
        <v>12</v>
      </c>
      <c r="Y181" s="1" t="str">
        <f>'State of the System - Sumter Co'!R181</f>
        <v>D</v>
      </c>
      <c r="Z181" s="157" t="str">
        <f t="shared" si="237"/>
        <v>Other CMP Network Roadways</v>
      </c>
      <c r="AA181" s="15">
        <f>VLOOKUP($T181,'2020_CapacityTable'!$B$49:$F$71,2)</f>
        <v>0</v>
      </c>
      <c r="AB181" s="15">
        <f>VLOOKUP($T181,'2020_CapacityTable'!$B$49:$F$71,3)</f>
        <v>7300</v>
      </c>
      <c r="AC181" s="15">
        <f>VLOOKUP($T181,'2020_CapacityTable'!$B$49:$F$71,4)</f>
        <v>14800</v>
      </c>
      <c r="AD181" s="15">
        <f>VLOOKUP($T181,'2020_CapacityTable'!$B$49:$F$71,5)</f>
        <v>15600</v>
      </c>
      <c r="AE181" s="35">
        <f t="shared" si="288"/>
        <v>-0.1</v>
      </c>
      <c r="AF181" s="36" t="str">
        <f t="shared" si="238"/>
        <v/>
      </c>
      <c r="AG181" s="35"/>
      <c r="AH181" s="35" t="str">
        <f t="shared" si="296"/>
        <v/>
      </c>
      <c r="AI181" s="35"/>
      <c r="AJ181" s="36"/>
      <c r="AK181" s="15">
        <f t="shared" si="239"/>
        <v>0</v>
      </c>
      <c r="AL181" s="15">
        <f t="shared" si="240"/>
        <v>6570</v>
      </c>
      <c r="AM181" s="15">
        <f t="shared" si="241"/>
        <v>13320</v>
      </c>
      <c r="AN181" s="15">
        <f t="shared" si="242"/>
        <v>14040</v>
      </c>
      <c r="AO181" s="3">
        <f t="shared" si="289"/>
        <v>13320</v>
      </c>
      <c r="AP181" s="138">
        <f>VLOOKUP($B181,'2022 counts'!$B$6:$R$304,17,FALSE)</f>
        <v>4881</v>
      </c>
      <c r="AQ181" s="11">
        <f t="shared" si="243"/>
        <v>0.37</v>
      </c>
      <c r="AR181" s="2" t="str">
        <f t="shared" si="244"/>
        <v>C</v>
      </c>
      <c r="AS181" s="26">
        <f t="shared" si="245"/>
        <v>1.1200000000000001</v>
      </c>
      <c r="AT181" s="15">
        <f>VLOOKUP($T181,'2020_CapacityTable'!$B$23:$F$45,2)</f>
        <v>0</v>
      </c>
      <c r="AU181" s="15">
        <f>VLOOKUP($T181,'2020_CapacityTable'!$B$23:$F$45,3)</f>
        <v>370</v>
      </c>
      <c r="AV181" s="15">
        <f>VLOOKUP($T181,'2020_CapacityTable'!$B$23:$F$45,4)</f>
        <v>750</v>
      </c>
      <c r="AW181" s="15">
        <f>VLOOKUP($T181,'2020_CapacityTable'!$B$23:$F$45,5)</f>
        <v>800</v>
      </c>
      <c r="AX181" s="15">
        <f t="shared" si="246"/>
        <v>0</v>
      </c>
      <c r="AY181" s="15">
        <f t="shared" si="247"/>
        <v>333</v>
      </c>
      <c r="AZ181" s="15">
        <f t="shared" si="248"/>
        <v>675</v>
      </c>
      <c r="BA181" s="15">
        <f t="shared" si="249"/>
        <v>720</v>
      </c>
      <c r="BB181" s="3">
        <f t="shared" si="290"/>
        <v>675</v>
      </c>
      <c r="BC181" s="138">
        <f>VLOOKUP($B181,'2022 counts'!$B$6:$AD$304,28,FALSE)</f>
        <v>235</v>
      </c>
      <c r="BD181" s="138">
        <f>VLOOKUP($B181,'2022 counts'!$B$6:$AD$304,29,FALSE)</f>
        <v>233</v>
      </c>
      <c r="BE181" s="11">
        <f t="shared" si="250"/>
        <v>0.35</v>
      </c>
      <c r="BF181" s="2" t="str">
        <f t="shared" si="251"/>
        <v>C</v>
      </c>
      <c r="BG181" s="135">
        <v>2.5000000000000001E-3</v>
      </c>
      <c r="BH181" s="135">
        <f>IF($AQ181="","",VLOOKUP($B181, '2022 counts'!$B$6:$T$304,19,FALSE))</f>
        <v>2.5000000000000001E-3</v>
      </c>
      <c r="BI181" s="38">
        <f t="shared" si="252"/>
        <v>0.01</v>
      </c>
      <c r="BJ181" s="39" t="str">
        <f t="shared" si="253"/>
        <v>minimum</v>
      </c>
      <c r="BK181" s="15">
        <f>VLOOKUP($U181,'2020_CapacityTable'!$B$49:$F$71,2)</f>
        <v>0</v>
      </c>
      <c r="BL181" s="15">
        <f>VLOOKUP($U181,'2020_CapacityTable'!$B$49:$F$71,3)</f>
        <v>7300</v>
      </c>
      <c r="BM181" s="15">
        <f>VLOOKUP($T181,'2020_CapacityTable'!$B$49:$F$71,4)</f>
        <v>14800</v>
      </c>
      <c r="BN181" s="15">
        <f>VLOOKUP($T181,'2020_CapacityTable'!$B$49:$F$71,5)</f>
        <v>15600</v>
      </c>
      <c r="BO181" s="15">
        <f t="shared" si="254"/>
        <v>0</v>
      </c>
      <c r="BP181" s="15">
        <f t="shared" si="255"/>
        <v>6570</v>
      </c>
      <c r="BQ181" s="15">
        <f t="shared" si="256"/>
        <v>13320</v>
      </c>
      <c r="BR181" s="15">
        <f t="shared" si="257"/>
        <v>14040</v>
      </c>
      <c r="BS181" s="3">
        <f t="shared" si="291"/>
        <v>13320</v>
      </c>
      <c r="BT181" s="40">
        <f>'State of the System - Sumter Co'!AD181</f>
        <v>5130</v>
      </c>
      <c r="BU181" s="41">
        <f t="shared" si="258"/>
        <v>0.39</v>
      </c>
      <c r="BV181" s="2" t="str">
        <f t="shared" si="259"/>
        <v>C</v>
      </c>
      <c r="BW181" s="2">
        <f t="shared" si="260"/>
        <v>1.18</v>
      </c>
      <c r="BX181" s="15">
        <f>VLOOKUP($U181,'2020_CapacityTable'!$B$23:$F$45,2)</f>
        <v>0</v>
      </c>
      <c r="BY181" s="15">
        <f>VLOOKUP($U181,'2020_CapacityTable'!$B$23:$F$45,3)</f>
        <v>370</v>
      </c>
      <c r="BZ181" s="15">
        <f>VLOOKUP($U181,'2020_CapacityTable'!$B$23:$F$45,4)</f>
        <v>750</v>
      </c>
      <c r="CA181" s="15">
        <f>VLOOKUP($U181,'2020_CapacityTable'!$B$23:$F$45,5)</f>
        <v>800</v>
      </c>
      <c r="CB181" s="15">
        <f t="shared" si="261"/>
        <v>0</v>
      </c>
      <c r="CC181" s="15">
        <f t="shared" si="262"/>
        <v>333</v>
      </c>
      <c r="CD181" s="15">
        <f t="shared" si="263"/>
        <v>675</v>
      </c>
      <c r="CE181" s="15">
        <f t="shared" si="264"/>
        <v>720</v>
      </c>
      <c r="CF181" s="3">
        <f t="shared" si="292"/>
        <v>675</v>
      </c>
      <c r="CG181" s="2">
        <f>'State of the System - Sumter Co'!AH181</f>
        <v>247</v>
      </c>
      <c r="CH181" s="2">
        <f>'State of the System - Sumter Co'!AI181</f>
        <v>245</v>
      </c>
      <c r="CI181" s="11">
        <f t="shared" si="265"/>
        <v>0.37</v>
      </c>
      <c r="CJ181" s="2" t="str">
        <f t="shared" si="293"/>
        <v>C</v>
      </c>
      <c r="CK181" s="3">
        <f t="shared" si="266"/>
        <v>15163</v>
      </c>
      <c r="CL181" s="11">
        <f t="shared" si="267"/>
        <v>0.34</v>
      </c>
      <c r="CM181" s="11" t="str">
        <f t="shared" si="268"/>
        <v>NOT CONGESTED</v>
      </c>
      <c r="CN181" s="3">
        <f t="shared" si="269"/>
        <v>778</v>
      </c>
      <c r="CO181" s="11">
        <f t="shared" si="270"/>
        <v>0.32</v>
      </c>
      <c r="CP181" s="156" t="str">
        <f t="shared" si="294"/>
        <v>NOT CONGESTED</v>
      </c>
      <c r="CQ181" s="2"/>
      <c r="CR181" s="42"/>
      <c r="CS181" s="11" t="str">
        <f t="shared" si="271"/>
        <v/>
      </c>
      <c r="CT181" s="11" t="str">
        <f t="shared" si="295"/>
        <v/>
      </c>
      <c r="CU181" s="11" t="str">
        <f t="shared" si="272"/>
        <v/>
      </c>
      <c r="CV181" s="11" t="str">
        <f t="shared" si="273"/>
        <v/>
      </c>
      <c r="CW181" s="2"/>
      <c r="CX181" s="1"/>
      <c r="CY181" s="145" t="str">
        <f t="shared" si="274"/>
        <v/>
      </c>
      <c r="CZ181" s="32" t="str">
        <f t="shared" si="275"/>
        <v/>
      </c>
    </row>
    <row r="182" spans="1:104" ht="12.75" customHeight="1">
      <c r="A182" s="1">
        <v>6000065</v>
      </c>
      <c r="B182" s="1">
        <f t="shared" si="276"/>
        <v>85</v>
      </c>
      <c r="C182" s="1">
        <v>204</v>
      </c>
      <c r="D182" s="1">
        <f>VLOOKUP(C182,'2022 counts'!$A$6:$B$304,2,FALSE)</f>
        <v>85</v>
      </c>
      <c r="E182" s="1"/>
      <c r="F182" s="2" t="s">
        <v>6</v>
      </c>
      <c r="G182" s="156">
        <v>30</v>
      </c>
      <c r="H182" s="11">
        <v>0.96666794166400005</v>
      </c>
      <c r="I182" s="10" t="s">
        <v>20</v>
      </c>
      <c r="J182" s="10" t="s">
        <v>19</v>
      </c>
      <c r="K182" s="10" t="s">
        <v>101</v>
      </c>
      <c r="L182" s="157">
        <v>2</v>
      </c>
      <c r="M182" s="1">
        <f>'State of the System - Sumter Co'!K182</f>
        <v>2</v>
      </c>
      <c r="N182" s="1" t="str">
        <f>IF('State of the System - Sumter Co'!L182="URBAN","U","R")</f>
        <v>U</v>
      </c>
      <c r="O182" s="1" t="str">
        <f>IF('State of the System - Sumter Co'!M182="UNDIVIDED","U",IF('State of the System - Sumter Co'!M182="DIVIDED","D","F"))</f>
        <v>U</v>
      </c>
      <c r="P182" s="1" t="str">
        <f>'State of the System - Sumter Co'!N182</f>
        <v>INTERRUPTED</v>
      </c>
      <c r="Q182" s="1" t="str">
        <f t="shared" si="234"/>
        <v/>
      </c>
      <c r="R182" s="1" t="str">
        <f>'State of the System - Sumter Co'!O182</f>
        <v/>
      </c>
      <c r="S182" s="1" t="str">
        <f t="shared" si="281"/>
        <v>-2</v>
      </c>
      <c r="T182" s="1" t="str">
        <f t="shared" si="236"/>
        <v>U-2U-2</v>
      </c>
      <c r="U182" s="1" t="str">
        <f t="shared" si="279"/>
        <v>U-2U-2</v>
      </c>
      <c r="V182" s="1" t="s">
        <v>10</v>
      </c>
      <c r="W182" s="1" t="s">
        <v>11</v>
      </c>
      <c r="X182" s="1" t="s">
        <v>12</v>
      </c>
      <c r="Y182" s="1" t="str">
        <f>'State of the System - Sumter Co'!R182</f>
        <v>D</v>
      </c>
      <c r="Z182" s="157" t="str">
        <f t="shared" si="237"/>
        <v>Other CMP Network Roadways</v>
      </c>
      <c r="AA182" s="15">
        <f>VLOOKUP($T182,'2020_CapacityTable'!$B$49:$F$71,2)</f>
        <v>0</v>
      </c>
      <c r="AB182" s="15">
        <f>VLOOKUP($T182,'2020_CapacityTable'!$B$49:$F$71,3)</f>
        <v>7300</v>
      </c>
      <c r="AC182" s="15">
        <f>VLOOKUP($T182,'2020_CapacityTable'!$B$49:$F$71,4)</f>
        <v>14800</v>
      </c>
      <c r="AD182" s="15">
        <f>VLOOKUP($T182,'2020_CapacityTable'!$B$49:$F$71,5)</f>
        <v>15600</v>
      </c>
      <c r="AE182" s="35">
        <f t="shared" si="288"/>
        <v>-0.1</v>
      </c>
      <c r="AF182" s="36" t="str">
        <f t="shared" si="238"/>
        <v/>
      </c>
      <c r="AG182" s="35"/>
      <c r="AH182" s="35" t="str">
        <f t="shared" si="296"/>
        <v/>
      </c>
      <c r="AI182" s="35"/>
      <c r="AJ182" s="36"/>
      <c r="AK182" s="15">
        <f t="shared" si="239"/>
        <v>0</v>
      </c>
      <c r="AL182" s="15">
        <f t="shared" si="240"/>
        <v>6570</v>
      </c>
      <c r="AM182" s="15">
        <f t="shared" si="241"/>
        <v>13320</v>
      </c>
      <c r="AN182" s="15">
        <f t="shared" si="242"/>
        <v>14040</v>
      </c>
      <c r="AO182" s="3">
        <f t="shared" si="289"/>
        <v>13320</v>
      </c>
      <c r="AP182" s="138">
        <f>VLOOKUP($B182,'2022 counts'!$B$6:$R$304,17,FALSE)</f>
        <v>6251</v>
      </c>
      <c r="AQ182" s="11">
        <f t="shared" si="243"/>
        <v>0.47</v>
      </c>
      <c r="AR182" s="2" t="str">
        <f t="shared" si="244"/>
        <v>C</v>
      </c>
      <c r="AS182" s="26">
        <f t="shared" si="245"/>
        <v>2.21</v>
      </c>
      <c r="AT182" s="15">
        <f>VLOOKUP($T182,'2020_CapacityTable'!$B$23:$F$45,2)</f>
        <v>0</v>
      </c>
      <c r="AU182" s="15">
        <f>VLOOKUP($T182,'2020_CapacityTable'!$B$23:$F$45,3)</f>
        <v>370</v>
      </c>
      <c r="AV182" s="15">
        <f>VLOOKUP($T182,'2020_CapacityTable'!$B$23:$F$45,4)</f>
        <v>750</v>
      </c>
      <c r="AW182" s="15">
        <f>VLOOKUP($T182,'2020_CapacityTable'!$B$23:$F$45,5)</f>
        <v>800</v>
      </c>
      <c r="AX182" s="15">
        <f t="shared" si="246"/>
        <v>0</v>
      </c>
      <c r="AY182" s="15">
        <f t="shared" si="247"/>
        <v>333</v>
      </c>
      <c r="AZ182" s="15">
        <f t="shared" si="248"/>
        <v>675</v>
      </c>
      <c r="BA182" s="15">
        <f t="shared" si="249"/>
        <v>720</v>
      </c>
      <c r="BB182" s="3">
        <f t="shared" si="290"/>
        <v>675</v>
      </c>
      <c r="BC182" s="138">
        <f>VLOOKUP($B182,'2022 counts'!$B$6:$AD$304,28,FALSE)</f>
        <v>287</v>
      </c>
      <c r="BD182" s="138">
        <f>VLOOKUP($B182,'2022 counts'!$B$6:$AD$304,29,FALSE)</f>
        <v>332</v>
      </c>
      <c r="BE182" s="11">
        <f t="shared" si="250"/>
        <v>0.49</v>
      </c>
      <c r="BF182" s="2" t="str">
        <f t="shared" si="251"/>
        <v>C</v>
      </c>
      <c r="BG182" s="135">
        <v>1.4999999999999999E-2</v>
      </c>
      <c r="BH182" s="135">
        <f>IF($AQ182="","",VLOOKUP($B182, '2022 counts'!$B$6:$T$304,19,FALSE))</f>
        <v>1.4999999999999999E-2</v>
      </c>
      <c r="BI182" s="38">
        <f t="shared" si="252"/>
        <v>1.4999999999999999E-2</v>
      </c>
      <c r="BJ182" s="39" t="str">
        <f t="shared" si="253"/>
        <v/>
      </c>
      <c r="BK182" s="15">
        <f>VLOOKUP($U182,'2020_CapacityTable'!$B$49:$F$71,2)</f>
        <v>0</v>
      </c>
      <c r="BL182" s="15">
        <f>VLOOKUP($U182,'2020_CapacityTable'!$B$49:$F$71,3)</f>
        <v>7300</v>
      </c>
      <c r="BM182" s="15">
        <f>VLOOKUP($T182,'2020_CapacityTable'!$B$49:$F$71,4)</f>
        <v>14800</v>
      </c>
      <c r="BN182" s="15">
        <f>VLOOKUP($T182,'2020_CapacityTable'!$B$49:$F$71,5)</f>
        <v>15600</v>
      </c>
      <c r="BO182" s="15">
        <f t="shared" si="254"/>
        <v>0</v>
      </c>
      <c r="BP182" s="15">
        <f t="shared" si="255"/>
        <v>6570</v>
      </c>
      <c r="BQ182" s="15">
        <f t="shared" si="256"/>
        <v>13320</v>
      </c>
      <c r="BR182" s="15">
        <f t="shared" si="257"/>
        <v>14040</v>
      </c>
      <c r="BS182" s="3">
        <f t="shared" si="291"/>
        <v>13320</v>
      </c>
      <c r="BT182" s="40">
        <f>'State of the System - Sumter Co'!AD182</f>
        <v>6734</v>
      </c>
      <c r="BU182" s="41">
        <f t="shared" si="258"/>
        <v>0.51</v>
      </c>
      <c r="BV182" s="2" t="str">
        <f t="shared" si="259"/>
        <v>D</v>
      </c>
      <c r="BW182" s="2">
        <f t="shared" si="260"/>
        <v>2.38</v>
      </c>
      <c r="BX182" s="15">
        <f>VLOOKUP($U182,'2020_CapacityTable'!$B$23:$F$45,2)</f>
        <v>0</v>
      </c>
      <c r="BY182" s="15">
        <f>VLOOKUP($U182,'2020_CapacityTable'!$B$23:$F$45,3)</f>
        <v>370</v>
      </c>
      <c r="BZ182" s="15">
        <f>VLOOKUP($U182,'2020_CapacityTable'!$B$23:$F$45,4)</f>
        <v>750</v>
      </c>
      <c r="CA182" s="15">
        <f>VLOOKUP($U182,'2020_CapacityTable'!$B$23:$F$45,5)</f>
        <v>800</v>
      </c>
      <c r="CB182" s="15">
        <f t="shared" si="261"/>
        <v>0</v>
      </c>
      <c r="CC182" s="15">
        <f t="shared" si="262"/>
        <v>333</v>
      </c>
      <c r="CD182" s="15">
        <f t="shared" si="263"/>
        <v>675</v>
      </c>
      <c r="CE182" s="15">
        <f t="shared" si="264"/>
        <v>720</v>
      </c>
      <c r="CF182" s="3">
        <f t="shared" si="292"/>
        <v>675</v>
      </c>
      <c r="CG182" s="2">
        <f>'State of the System - Sumter Co'!AH182</f>
        <v>309</v>
      </c>
      <c r="CH182" s="2">
        <f>'State of the System - Sumter Co'!AI182</f>
        <v>358</v>
      </c>
      <c r="CI182" s="11">
        <f t="shared" si="265"/>
        <v>0.53</v>
      </c>
      <c r="CJ182" s="2" t="str">
        <f t="shared" si="293"/>
        <v>D</v>
      </c>
      <c r="CK182" s="3">
        <f t="shared" si="266"/>
        <v>15163</v>
      </c>
      <c r="CL182" s="11">
        <f t="shared" si="267"/>
        <v>0.44</v>
      </c>
      <c r="CM182" s="11" t="str">
        <f t="shared" si="268"/>
        <v>NOT CONGESTED</v>
      </c>
      <c r="CN182" s="3">
        <f t="shared" si="269"/>
        <v>778</v>
      </c>
      <c r="CO182" s="11">
        <f t="shared" si="270"/>
        <v>0.46</v>
      </c>
      <c r="CP182" s="156" t="str">
        <f t="shared" si="294"/>
        <v>NOT CONGESTED</v>
      </c>
      <c r="CQ182" s="2"/>
      <c r="CR182" s="42"/>
      <c r="CS182" s="11" t="str">
        <f t="shared" si="271"/>
        <v/>
      </c>
      <c r="CT182" s="11" t="str">
        <f t="shared" si="295"/>
        <v/>
      </c>
      <c r="CU182" s="11" t="str">
        <f t="shared" si="272"/>
        <v/>
      </c>
      <c r="CV182" s="11" t="str">
        <f t="shared" si="273"/>
        <v/>
      </c>
      <c r="CW182" s="2"/>
      <c r="CX182" s="1"/>
      <c r="CY182" s="145" t="str">
        <f t="shared" si="274"/>
        <v/>
      </c>
      <c r="CZ182" s="32" t="str">
        <f t="shared" si="275"/>
        <v/>
      </c>
    </row>
    <row r="183" spans="1:104" ht="12.75" customHeight="1">
      <c r="A183" s="1">
        <v>6000070</v>
      </c>
      <c r="B183" s="1" t="str">
        <f t="shared" si="276"/>
        <v>2020-198</v>
      </c>
      <c r="C183" s="1">
        <v>198</v>
      </c>
      <c r="D183" s="1" t="str">
        <f>VLOOKUP(C183,'2022 counts'!$A$6:$B$304,2,FALSE)</f>
        <v>2020-198</v>
      </c>
      <c r="E183" s="1"/>
      <c r="F183" s="2" t="s">
        <v>6</v>
      </c>
      <c r="G183" s="156">
        <v>35</v>
      </c>
      <c r="H183" s="11">
        <v>0.75517297660500005</v>
      </c>
      <c r="I183" s="10" t="s">
        <v>20</v>
      </c>
      <c r="J183" s="10" t="s">
        <v>772</v>
      </c>
      <c r="K183" s="10" t="s">
        <v>102</v>
      </c>
      <c r="L183" s="157">
        <v>2</v>
      </c>
      <c r="M183" s="1">
        <f>'State of the System - Sumter Co'!K183</f>
        <v>2</v>
      </c>
      <c r="N183" s="1" t="str">
        <f>IF('State of the System - Sumter Co'!L183="URBAN","U","R")</f>
        <v>U</v>
      </c>
      <c r="O183" s="1" t="str">
        <f>IF('State of the System - Sumter Co'!M183="UNDIVIDED","U",IF('State of the System - Sumter Co'!M183="DIVIDED","D","F"))</f>
        <v>U</v>
      </c>
      <c r="P183" s="1" t="str">
        <f>'State of the System - Sumter Co'!N183</f>
        <v>INTERRUPTED</v>
      </c>
      <c r="Q183" s="1" t="str">
        <f t="shared" si="234"/>
        <v/>
      </c>
      <c r="R183" s="1" t="str">
        <f>'State of the System - Sumter Co'!O183</f>
        <v/>
      </c>
      <c r="S183" s="1" t="str">
        <f t="shared" si="281"/>
        <v>-2</v>
      </c>
      <c r="T183" s="1" t="str">
        <f t="shared" si="236"/>
        <v>U-2U-2</v>
      </c>
      <c r="U183" s="1" t="str">
        <f t="shared" si="279"/>
        <v>U-2U-2</v>
      </c>
      <c r="V183" s="1" t="s">
        <v>10</v>
      </c>
      <c r="W183" s="1" t="s">
        <v>11</v>
      </c>
      <c r="X183" s="1" t="s">
        <v>12</v>
      </c>
      <c r="Y183" s="1" t="str">
        <f>'State of the System - Sumter Co'!R183</f>
        <v>D</v>
      </c>
      <c r="Z183" s="157" t="str">
        <f t="shared" si="237"/>
        <v>Other CMP Network Roadways</v>
      </c>
      <c r="AA183" s="15">
        <f>VLOOKUP($T183,'2020_CapacityTable'!$B$49:$F$71,2)</f>
        <v>0</v>
      </c>
      <c r="AB183" s="15">
        <f>VLOOKUP($T183,'2020_CapacityTable'!$B$49:$F$71,3)</f>
        <v>7300</v>
      </c>
      <c r="AC183" s="15">
        <f>VLOOKUP($T183,'2020_CapacityTable'!$B$49:$F$71,4)</f>
        <v>14800</v>
      </c>
      <c r="AD183" s="15">
        <f>VLOOKUP($T183,'2020_CapacityTable'!$B$49:$F$71,5)</f>
        <v>15600</v>
      </c>
      <c r="AE183" s="35">
        <f t="shared" si="288"/>
        <v>-0.1</v>
      </c>
      <c r="AF183" s="36" t="str">
        <f t="shared" si="238"/>
        <v/>
      </c>
      <c r="AG183" s="35"/>
      <c r="AH183" s="35" t="str">
        <f t="shared" si="296"/>
        <v/>
      </c>
      <c r="AI183" s="35"/>
      <c r="AJ183" s="36"/>
      <c r="AK183" s="15">
        <f t="shared" si="239"/>
        <v>0</v>
      </c>
      <c r="AL183" s="15">
        <f t="shared" si="240"/>
        <v>6570</v>
      </c>
      <c r="AM183" s="15">
        <f t="shared" si="241"/>
        <v>13320</v>
      </c>
      <c r="AN183" s="15">
        <f t="shared" si="242"/>
        <v>14040</v>
      </c>
      <c r="AO183" s="3">
        <f t="shared" si="289"/>
        <v>13320</v>
      </c>
      <c r="AP183" s="138">
        <f>VLOOKUP($B183,'2022 counts'!$B$6:$R$304,17,FALSE)</f>
        <v>5804.0800000000163</v>
      </c>
      <c r="AQ183" s="11">
        <f t="shared" si="243"/>
        <v>0.44</v>
      </c>
      <c r="AR183" s="2" t="str">
        <f t="shared" si="244"/>
        <v>C</v>
      </c>
      <c r="AS183" s="26">
        <f t="shared" si="245"/>
        <v>1.6</v>
      </c>
      <c r="AT183" s="15">
        <f>VLOOKUP($T183,'2020_CapacityTable'!$B$23:$F$45,2)</f>
        <v>0</v>
      </c>
      <c r="AU183" s="15">
        <f>VLOOKUP($T183,'2020_CapacityTable'!$B$23:$F$45,3)</f>
        <v>370</v>
      </c>
      <c r="AV183" s="15">
        <f>VLOOKUP($T183,'2020_CapacityTable'!$B$23:$F$45,4)</f>
        <v>750</v>
      </c>
      <c r="AW183" s="15">
        <f>VLOOKUP($T183,'2020_CapacityTable'!$B$23:$F$45,5)</f>
        <v>800</v>
      </c>
      <c r="AX183" s="15">
        <f t="shared" si="246"/>
        <v>0</v>
      </c>
      <c r="AY183" s="15">
        <f t="shared" si="247"/>
        <v>333</v>
      </c>
      <c r="AZ183" s="15">
        <f t="shared" si="248"/>
        <v>675</v>
      </c>
      <c r="BA183" s="15">
        <f t="shared" si="249"/>
        <v>720</v>
      </c>
      <c r="BB183" s="3">
        <f t="shared" si="290"/>
        <v>675</v>
      </c>
      <c r="BC183" s="138">
        <f>VLOOKUP($B183,'2022 counts'!$B$6:$AD$304,28,FALSE)</f>
        <v>258</v>
      </c>
      <c r="BD183" s="138">
        <f>VLOOKUP($B183,'2022 counts'!$B$6:$AD$304,29,FALSE)</f>
        <v>274</v>
      </c>
      <c r="BE183" s="11">
        <f t="shared" si="250"/>
        <v>0.41</v>
      </c>
      <c r="BF183" s="2" t="str">
        <f t="shared" si="251"/>
        <v>C</v>
      </c>
      <c r="BG183" s="135">
        <v>2.5000000000000001E-2</v>
      </c>
      <c r="BH183" s="135">
        <f>IF($AQ183="","",VLOOKUP($B183, '2022 counts'!$B$6:$T$304,19,FALSE))</f>
        <v>2.5000000000000001E-2</v>
      </c>
      <c r="BI183" s="38">
        <f t="shared" si="252"/>
        <v>2.5000000000000001E-2</v>
      </c>
      <c r="BJ183" s="39" t="str">
        <f t="shared" si="253"/>
        <v/>
      </c>
      <c r="BK183" s="15">
        <f>VLOOKUP($U183,'2020_CapacityTable'!$B$49:$F$71,2)</f>
        <v>0</v>
      </c>
      <c r="BL183" s="15">
        <f>VLOOKUP($U183,'2020_CapacityTable'!$B$49:$F$71,3)</f>
        <v>7300</v>
      </c>
      <c r="BM183" s="15">
        <f>VLOOKUP($T183,'2020_CapacityTable'!$B$49:$F$71,4)</f>
        <v>14800</v>
      </c>
      <c r="BN183" s="15">
        <f>VLOOKUP($T183,'2020_CapacityTable'!$B$49:$F$71,5)</f>
        <v>15600</v>
      </c>
      <c r="BO183" s="15">
        <f t="shared" si="254"/>
        <v>0</v>
      </c>
      <c r="BP183" s="15">
        <f t="shared" si="255"/>
        <v>6570</v>
      </c>
      <c r="BQ183" s="15">
        <f t="shared" si="256"/>
        <v>13320</v>
      </c>
      <c r="BR183" s="15">
        <f t="shared" si="257"/>
        <v>14040</v>
      </c>
      <c r="BS183" s="3">
        <f t="shared" si="291"/>
        <v>13320</v>
      </c>
      <c r="BT183" s="40">
        <f>'State of the System - Sumter Co'!AD183</f>
        <v>6567</v>
      </c>
      <c r="BU183" s="41">
        <f t="shared" si="258"/>
        <v>0.49</v>
      </c>
      <c r="BV183" s="2" t="str">
        <f t="shared" si="259"/>
        <v>C</v>
      </c>
      <c r="BW183" s="2">
        <f t="shared" si="260"/>
        <v>1.81</v>
      </c>
      <c r="BX183" s="15">
        <f>VLOOKUP($U183,'2020_CapacityTable'!$B$23:$F$45,2)</f>
        <v>0</v>
      </c>
      <c r="BY183" s="15">
        <f>VLOOKUP($U183,'2020_CapacityTable'!$B$23:$F$45,3)</f>
        <v>370</v>
      </c>
      <c r="BZ183" s="15">
        <f>VLOOKUP($U183,'2020_CapacityTable'!$B$23:$F$45,4)</f>
        <v>750</v>
      </c>
      <c r="CA183" s="15">
        <f>VLOOKUP($U183,'2020_CapacityTable'!$B$23:$F$45,5)</f>
        <v>800</v>
      </c>
      <c r="CB183" s="15">
        <f t="shared" si="261"/>
        <v>0</v>
      </c>
      <c r="CC183" s="15">
        <f t="shared" si="262"/>
        <v>333</v>
      </c>
      <c r="CD183" s="15">
        <f t="shared" si="263"/>
        <v>675</v>
      </c>
      <c r="CE183" s="15">
        <f t="shared" si="264"/>
        <v>720</v>
      </c>
      <c r="CF183" s="3">
        <f t="shared" si="292"/>
        <v>675</v>
      </c>
      <c r="CG183" s="2">
        <f>'State of the System - Sumter Co'!AH183</f>
        <v>292</v>
      </c>
      <c r="CH183" s="2">
        <f>'State of the System - Sumter Co'!AI183</f>
        <v>310</v>
      </c>
      <c r="CI183" s="11">
        <f t="shared" si="265"/>
        <v>0.46</v>
      </c>
      <c r="CJ183" s="2" t="str">
        <f t="shared" si="293"/>
        <v>C</v>
      </c>
      <c r="CK183" s="3">
        <f t="shared" si="266"/>
        <v>15163</v>
      </c>
      <c r="CL183" s="11">
        <f t="shared" si="267"/>
        <v>0.43</v>
      </c>
      <c r="CM183" s="11" t="str">
        <f t="shared" si="268"/>
        <v>NOT CONGESTED</v>
      </c>
      <c r="CN183" s="3">
        <f t="shared" si="269"/>
        <v>778</v>
      </c>
      <c r="CO183" s="11">
        <f t="shared" si="270"/>
        <v>0.4</v>
      </c>
      <c r="CP183" s="156" t="str">
        <f t="shared" si="294"/>
        <v>NOT CONGESTED</v>
      </c>
      <c r="CQ183" s="2"/>
      <c r="CR183" s="42"/>
      <c r="CS183" s="11" t="str">
        <f t="shared" si="271"/>
        <v/>
      </c>
      <c r="CT183" s="11" t="str">
        <f t="shared" si="295"/>
        <v/>
      </c>
      <c r="CU183" s="11" t="str">
        <f t="shared" si="272"/>
        <v/>
      </c>
      <c r="CV183" s="11" t="str">
        <f t="shared" si="273"/>
        <v/>
      </c>
      <c r="CW183" s="2"/>
      <c r="CX183" s="1"/>
      <c r="CY183" s="145" t="str">
        <f t="shared" si="274"/>
        <v/>
      </c>
      <c r="CZ183" s="32" t="str">
        <f t="shared" si="275"/>
        <v/>
      </c>
    </row>
    <row r="184" spans="1:104" ht="12.75" customHeight="1">
      <c r="A184" s="1">
        <v>6000080</v>
      </c>
      <c r="B184" s="1"/>
      <c r="C184" s="1">
        <v>195</v>
      </c>
      <c r="D184" s="1" t="e">
        <f>VLOOKUP(C184,'2022 counts'!$A$6:$B$304,2,FALSE)</f>
        <v>#N/A</v>
      </c>
      <c r="E184" s="1"/>
      <c r="F184" s="2" t="s">
        <v>588</v>
      </c>
      <c r="G184" s="156">
        <v>25</v>
      </c>
      <c r="H184" s="37">
        <v>0.62</v>
      </c>
      <c r="I184" s="10" t="s">
        <v>17</v>
      </c>
      <c r="J184" s="10" t="s">
        <v>103</v>
      </c>
      <c r="K184" s="10" t="s">
        <v>104</v>
      </c>
      <c r="L184" s="157">
        <v>2</v>
      </c>
      <c r="M184" s="1">
        <f>'State of the System - Sumter Co'!K184</f>
        <v>2</v>
      </c>
      <c r="N184" s="1" t="str">
        <f>IF('State of the System - Sumter Co'!L184="URBAN","U","R")</f>
        <v>U</v>
      </c>
      <c r="O184" s="1" t="str">
        <f>IF('State of the System - Sumter Co'!M184="UNDIVIDED","U",IF('State of the System - Sumter Co'!M184="DIVIDED","D","F"))</f>
        <v>U</v>
      </c>
      <c r="P184" s="1" t="str">
        <f>'State of the System - Sumter Co'!N184</f>
        <v>INTERRUPTED</v>
      </c>
      <c r="Q184" s="1" t="str">
        <f t="shared" si="234"/>
        <v/>
      </c>
      <c r="R184" s="1" t="str">
        <f>'State of the System - Sumter Co'!O184</f>
        <v/>
      </c>
      <c r="S184" s="1" t="str">
        <f t="shared" si="281"/>
        <v>-2</v>
      </c>
      <c r="T184" s="1" t="str">
        <f t="shared" si="236"/>
        <v>U-2U-2</v>
      </c>
      <c r="U184" s="1" t="str">
        <f t="shared" ref="U184:U206" si="297">CONCATENATE(N184,"-",L184,O184,S184,Q184)</f>
        <v>U-2U-2</v>
      </c>
      <c r="V184" s="1" t="s">
        <v>10</v>
      </c>
      <c r="W184" s="1" t="s">
        <v>11</v>
      </c>
      <c r="X184" s="1" t="s">
        <v>21</v>
      </c>
      <c r="Y184" s="1" t="str">
        <f>'State of the System - Sumter Co'!R184</f>
        <v>D</v>
      </c>
      <c r="Z184" s="157" t="str">
        <f t="shared" si="237"/>
        <v>Other CMP Network Roadways</v>
      </c>
      <c r="AA184" s="15">
        <f>VLOOKUP($T184,'2020_CapacityTable'!$B$49:$F$71,2)</f>
        <v>0</v>
      </c>
      <c r="AB184" s="15">
        <f>VLOOKUP($T184,'2020_CapacityTable'!$B$49:$F$71,3)</f>
        <v>7300</v>
      </c>
      <c r="AC184" s="15">
        <f>VLOOKUP($T184,'2020_CapacityTable'!$B$49:$F$71,4)</f>
        <v>14800</v>
      </c>
      <c r="AD184" s="15">
        <f>VLOOKUP($T184,'2020_CapacityTable'!$B$49:$F$71,5)</f>
        <v>15600</v>
      </c>
      <c r="AE184" s="35">
        <f t="shared" si="288"/>
        <v>-0.1</v>
      </c>
      <c r="AF184" s="36" t="str">
        <f t="shared" si="238"/>
        <v/>
      </c>
      <c r="AG184" s="35"/>
      <c r="AH184" s="35" t="str">
        <f t="shared" si="296"/>
        <v/>
      </c>
      <c r="AI184" s="35"/>
      <c r="AJ184" s="36"/>
      <c r="AK184" s="15">
        <f t="shared" si="239"/>
        <v>0</v>
      </c>
      <c r="AL184" s="15">
        <f t="shared" si="240"/>
        <v>6570</v>
      </c>
      <c r="AM184" s="15">
        <f t="shared" si="241"/>
        <v>13320</v>
      </c>
      <c r="AN184" s="15">
        <f t="shared" si="242"/>
        <v>14040</v>
      </c>
      <c r="AO184" s="3">
        <f t="shared" si="289"/>
        <v>13320</v>
      </c>
      <c r="AP184" s="138" t="s">
        <v>243</v>
      </c>
      <c r="AQ184" s="11" t="s">
        <v>243</v>
      </c>
      <c r="AR184" s="2"/>
      <c r="AS184" s="26"/>
      <c r="AT184" s="15">
        <f>VLOOKUP($T184,'2020_CapacityTable'!$B$23:$F$45,2)</f>
        <v>0</v>
      </c>
      <c r="AU184" s="15">
        <f>VLOOKUP($T184,'2020_CapacityTable'!$B$23:$F$45,3)</f>
        <v>370</v>
      </c>
      <c r="AV184" s="15">
        <f>VLOOKUP($T184,'2020_CapacityTable'!$B$23:$F$45,4)</f>
        <v>750</v>
      </c>
      <c r="AW184" s="15">
        <f>VLOOKUP($T184,'2020_CapacityTable'!$B$23:$F$45,5)</f>
        <v>800</v>
      </c>
      <c r="AX184" s="15">
        <f t="shared" si="246"/>
        <v>0</v>
      </c>
      <c r="AY184" s="15">
        <f t="shared" si="247"/>
        <v>333</v>
      </c>
      <c r="AZ184" s="15">
        <f t="shared" si="248"/>
        <v>675</v>
      </c>
      <c r="BA184" s="15">
        <f t="shared" si="249"/>
        <v>720</v>
      </c>
      <c r="BB184" s="3">
        <f t="shared" si="290"/>
        <v>675</v>
      </c>
      <c r="BC184" s="138" t="s">
        <v>243</v>
      </c>
      <c r="BD184" s="138" t="s">
        <v>243</v>
      </c>
      <c r="BE184" s="11"/>
      <c r="BF184" s="2" t="s">
        <v>243</v>
      </c>
      <c r="BG184" s="135" t="s">
        <v>243</v>
      </c>
      <c r="BH184" s="135" t="s">
        <v>243</v>
      </c>
      <c r="BI184" s="38" t="s">
        <v>243</v>
      </c>
      <c r="BJ184" s="39" t="s">
        <v>243</v>
      </c>
      <c r="BK184" s="15">
        <f>VLOOKUP($U184,'2020_CapacityTable'!$B$49:$F$71,2)</f>
        <v>0</v>
      </c>
      <c r="BL184" s="15">
        <f>VLOOKUP($U184,'2020_CapacityTable'!$B$49:$F$71,3)</f>
        <v>7300</v>
      </c>
      <c r="BM184" s="15">
        <f>VLOOKUP($T184,'2020_CapacityTable'!$B$49:$F$71,4)</f>
        <v>14800</v>
      </c>
      <c r="BN184" s="15">
        <f>VLOOKUP($T184,'2020_CapacityTable'!$B$49:$F$71,5)</f>
        <v>15600</v>
      </c>
      <c r="BO184" s="15">
        <f t="shared" si="254"/>
        <v>0</v>
      </c>
      <c r="BP184" s="15">
        <f t="shared" si="255"/>
        <v>6570</v>
      </c>
      <c r="BQ184" s="15">
        <f t="shared" si="256"/>
        <v>13320</v>
      </c>
      <c r="BR184" s="15">
        <f t="shared" si="257"/>
        <v>14040</v>
      </c>
      <c r="BS184" s="3">
        <f t="shared" si="291"/>
        <v>13320</v>
      </c>
      <c r="BT184" s="40" t="str">
        <f>'State of the System - Sumter Co'!AD184</f>
        <v>-</v>
      </c>
      <c r="BU184" s="41" t="str">
        <f t="shared" si="258"/>
        <v/>
      </c>
      <c r="BV184" s="2" t="str">
        <f t="shared" si="259"/>
        <v/>
      </c>
      <c r="BW184" s="2" t="str">
        <f t="shared" si="260"/>
        <v/>
      </c>
      <c r="BX184" s="15">
        <f>VLOOKUP($U184,'2020_CapacityTable'!$B$23:$F$45,2)</f>
        <v>0</v>
      </c>
      <c r="BY184" s="15">
        <f>VLOOKUP($U184,'2020_CapacityTable'!$B$23:$F$45,3)</f>
        <v>370</v>
      </c>
      <c r="BZ184" s="15">
        <f>VLOOKUP($U184,'2020_CapacityTable'!$B$23:$F$45,4)</f>
        <v>750</v>
      </c>
      <c r="CA184" s="15">
        <f>VLOOKUP($U184,'2020_CapacityTable'!$B$23:$F$45,5)</f>
        <v>800</v>
      </c>
      <c r="CB184" s="15">
        <f t="shared" si="261"/>
        <v>0</v>
      </c>
      <c r="CC184" s="15">
        <f t="shared" si="262"/>
        <v>333</v>
      </c>
      <c r="CD184" s="15">
        <f t="shared" si="263"/>
        <v>675</v>
      </c>
      <c r="CE184" s="15">
        <f t="shared" si="264"/>
        <v>720</v>
      </c>
      <c r="CF184" s="3">
        <f t="shared" si="292"/>
        <v>675</v>
      </c>
      <c r="CG184" s="2"/>
      <c r="CH184" s="2"/>
      <c r="CI184" s="11"/>
      <c r="CJ184" s="2"/>
      <c r="CK184" s="3">
        <f t="shared" si="266"/>
        <v>15163</v>
      </c>
      <c r="CL184" s="11" t="str">
        <f t="shared" si="267"/>
        <v/>
      </c>
      <c r="CM184" s="11" t="str">
        <f t="shared" si="268"/>
        <v/>
      </c>
      <c r="CN184" s="3">
        <f t="shared" si="269"/>
        <v>778</v>
      </c>
      <c r="CO184" s="11" t="str">
        <f t="shared" si="270"/>
        <v/>
      </c>
      <c r="CP184" s="156" t="str">
        <f t="shared" si="294"/>
        <v/>
      </c>
      <c r="CQ184" s="2"/>
      <c r="CR184" s="42"/>
      <c r="CS184" s="11" t="str">
        <f t="shared" si="271"/>
        <v/>
      </c>
      <c r="CT184" s="11" t="str">
        <f t="shared" si="295"/>
        <v/>
      </c>
      <c r="CU184" s="11" t="str">
        <f t="shared" si="272"/>
        <v/>
      </c>
      <c r="CV184" s="11" t="str">
        <f t="shared" si="273"/>
        <v/>
      </c>
      <c r="CW184" s="2"/>
      <c r="CX184" s="1"/>
      <c r="CY184" s="145" t="str">
        <f t="shared" si="274"/>
        <v/>
      </c>
      <c r="CZ184" s="32" t="str">
        <f t="shared" si="275"/>
        <v/>
      </c>
    </row>
    <row r="185" spans="1:104" ht="12.75" customHeight="1">
      <c r="A185" s="1">
        <v>6000085</v>
      </c>
      <c r="B185" s="1">
        <f t="shared" si="276"/>
        <v>89</v>
      </c>
      <c r="C185" s="1">
        <v>275</v>
      </c>
      <c r="D185" s="1">
        <f>VLOOKUP(C185,'2022 counts'!$A$6:$B$304,2,FALSE)</f>
        <v>89</v>
      </c>
      <c r="E185" s="1"/>
      <c r="F185" s="2" t="s">
        <v>6</v>
      </c>
      <c r="G185" s="156">
        <v>35</v>
      </c>
      <c r="H185" s="11">
        <v>2.0023886107400002</v>
      </c>
      <c r="I185" s="10" t="s">
        <v>127</v>
      </c>
      <c r="J185" s="10" t="s">
        <v>703</v>
      </c>
      <c r="K185" s="10" t="s">
        <v>716</v>
      </c>
      <c r="L185" s="157">
        <v>2</v>
      </c>
      <c r="M185" s="1">
        <f>'State of the System - Sumter Co'!K185</f>
        <v>2</v>
      </c>
      <c r="N185" s="1" t="str">
        <f>IF('State of the System - Sumter Co'!L185="URBAN","U","R")</f>
        <v>U</v>
      </c>
      <c r="O185" s="1" t="str">
        <f>IF('State of the System - Sumter Co'!M185="UNDIVIDED","U",IF('State of the System - Sumter Co'!M185="DIVIDED","D","F"))</f>
        <v>U</v>
      </c>
      <c r="P185" s="1" t="str">
        <f>'State of the System - Sumter Co'!N185</f>
        <v>INTERRUPTED</v>
      </c>
      <c r="Q185" s="1" t="str">
        <f t="shared" si="234"/>
        <v/>
      </c>
      <c r="R185" s="1" t="str">
        <f>'State of the System - Sumter Co'!O185</f>
        <v/>
      </c>
      <c r="S185" s="1" t="str">
        <f t="shared" si="281"/>
        <v>-2</v>
      </c>
      <c r="T185" s="1" t="str">
        <f t="shared" si="236"/>
        <v>U-2U-2</v>
      </c>
      <c r="U185" s="1" t="str">
        <f t="shared" si="297"/>
        <v>U-2U-2</v>
      </c>
      <c r="V185" s="1" t="s">
        <v>10</v>
      </c>
      <c r="W185" s="1" t="s">
        <v>11</v>
      </c>
      <c r="X185" s="1" t="s">
        <v>12</v>
      </c>
      <c r="Y185" s="1" t="str">
        <f>'State of the System - Sumter Co'!R185</f>
        <v>D</v>
      </c>
      <c r="Z185" s="157" t="str">
        <f t="shared" si="237"/>
        <v>Other CMP Network Roadways</v>
      </c>
      <c r="AA185" s="15">
        <f>VLOOKUP($T185,'2020_CapacityTable'!$B$49:$F$71,2)</f>
        <v>0</v>
      </c>
      <c r="AB185" s="15">
        <f>VLOOKUP($T185,'2020_CapacityTable'!$B$49:$F$71,3)</f>
        <v>7300</v>
      </c>
      <c r="AC185" s="15">
        <f>VLOOKUP($T185,'2020_CapacityTable'!$B$49:$F$71,4)</f>
        <v>14800</v>
      </c>
      <c r="AD185" s="15">
        <f>VLOOKUP($T185,'2020_CapacityTable'!$B$49:$F$71,5)</f>
        <v>15600</v>
      </c>
      <c r="AE185" s="35">
        <f t="shared" si="288"/>
        <v>-0.1</v>
      </c>
      <c r="AF185" s="36" t="str">
        <f t="shared" si="238"/>
        <v/>
      </c>
      <c r="AG185" s="35">
        <v>-0.2</v>
      </c>
      <c r="AH185" s="35" t="str">
        <f t="shared" si="296"/>
        <v/>
      </c>
      <c r="AI185" s="35"/>
      <c r="AJ185" s="36"/>
      <c r="AK185" s="15">
        <f t="shared" si="239"/>
        <v>0</v>
      </c>
      <c r="AL185" s="15">
        <f t="shared" si="240"/>
        <v>5110</v>
      </c>
      <c r="AM185" s="15">
        <f t="shared" si="241"/>
        <v>10360</v>
      </c>
      <c r="AN185" s="15">
        <f t="shared" si="242"/>
        <v>10920</v>
      </c>
      <c r="AO185" s="3">
        <f t="shared" si="289"/>
        <v>10360</v>
      </c>
      <c r="AP185" s="138">
        <f>VLOOKUP($B185,'2022 counts'!$B$6:$R$304,17,FALSE)</f>
        <v>3362</v>
      </c>
      <c r="AQ185" s="11">
        <f t="shared" si="243"/>
        <v>0.32</v>
      </c>
      <c r="AR185" s="2" t="str">
        <f t="shared" si="244"/>
        <v>C</v>
      </c>
      <c r="AS185" s="26">
        <f t="shared" si="245"/>
        <v>2.46</v>
      </c>
      <c r="AT185" s="15">
        <f>VLOOKUP($T185,'2020_CapacityTable'!$B$23:$F$45,2)</f>
        <v>0</v>
      </c>
      <c r="AU185" s="15">
        <f>VLOOKUP($T185,'2020_CapacityTable'!$B$23:$F$45,3)</f>
        <v>370</v>
      </c>
      <c r="AV185" s="15">
        <f>VLOOKUP($T185,'2020_CapacityTable'!$B$23:$F$45,4)</f>
        <v>750</v>
      </c>
      <c r="AW185" s="15">
        <f>VLOOKUP($T185,'2020_CapacityTable'!$B$23:$F$45,5)</f>
        <v>800</v>
      </c>
      <c r="AX185" s="15">
        <f t="shared" si="246"/>
        <v>0</v>
      </c>
      <c r="AY185" s="15">
        <f t="shared" si="247"/>
        <v>259</v>
      </c>
      <c r="AZ185" s="15">
        <f t="shared" si="248"/>
        <v>525</v>
      </c>
      <c r="BA185" s="15">
        <f t="shared" si="249"/>
        <v>560</v>
      </c>
      <c r="BB185" s="3">
        <f t="shared" si="290"/>
        <v>525</v>
      </c>
      <c r="BC185" s="138">
        <f>VLOOKUP($B185,'2022 counts'!$B$6:$AD$304,28,FALSE)</f>
        <v>137</v>
      </c>
      <c r="BD185" s="138">
        <f>VLOOKUP($B185,'2022 counts'!$B$6:$AD$304,29,FALSE)</f>
        <v>162</v>
      </c>
      <c r="BE185" s="11">
        <f t="shared" si="250"/>
        <v>0.31</v>
      </c>
      <c r="BF185" s="2" t="str">
        <f t="shared" si="251"/>
        <v>C</v>
      </c>
      <c r="BG185" s="135">
        <v>7.2499999999999995E-2</v>
      </c>
      <c r="BH185" s="135">
        <f>IF($AQ185="","",VLOOKUP($B185, '2022 counts'!$B$6:$T$304,19,FALSE))</f>
        <v>7.2499999999999995E-2</v>
      </c>
      <c r="BI185" s="38">
        <f t="shared" si="252"/>
        <v>7.2499999999999995E-2</v>
      </c>
      <c r="BJ185" s="39" t="str">
        <f t="shared" si="253"/>
        <v/>
      </c>
      <c r="BK185" s="15">
        <f>VLOOKUP($U185,'2020_CapacityTable'!$B$49:$F$71,2)</f>
        <v>0</v>
      </c>
      <c r="BL185" s="15">
        <f>VLOOKUP($U185,'2020_CapacityTable'!$B$49:$F$71,3)</f>
        <v>7300</v>
      </c>
      <c r="BM185" s="15">
        <f>VLOOKUP($T185,'2020_CapacityTable'!$B$49:$F$71,4)</f>
        <v>14800</v>
      </c>
      <c r="BN185" s="15">
        <f>VLOOKUP($T185,'2020_CapacityTable'!$B$49:$F$71,5)</f>
        <v>15600</v>
      </c>
      <c r="BO185" s="15">
        <f t="shared" si="254"/>
        <v>0</v>
      </c>
      <c r="BP185" s="15">
        <f t="shared" si="255"/>
        <v>5110</v>
      </c>
      <c r="BQ185" s="15">
        <f t="shared" si="256"/>
        <v>10360</v>
      </c>
      <c r="BR185" s="15">
        <f t="shared" si="257"/>
        <v>10920</v>
      </c>
      <c r="BS185" s="3">
        <f t="shared" si="291"/>
        <v>10360</v>
      </c>
      <c r="BT185" s="40">
        <f>'State of the System - Sumter Co'!AD185</f>
        <v>4771</v>
      </c>
      <c r="BU185" s="41">
        <f t="shared" si="258"/>
        <v>0.46</v>
      </c>
      <c r="BV185" s="2" t="str">
        <f t="shared" si="259"/>
        <v>C</v>
      </c>
      <c r="BW185" s="2">
        <f t="shared" si="260"/>
        <v>3.49</v>
      </c>
      <c r="BX185" s="15">
        <f>VLOOKUP($U185,'2020_CapacityTable'!$B$23:$F$45,2)</f>
        <v>0</v>
      </c>
      <c r="BY185" s="15">
        <f>VLOOKUP($U185,'2020_CapacityTable'!$B$23:$F$45,3)</f>
        <v>370</v>
      </c>
      <c r="BZ185" s="15">
        <f>VLOOKUP($U185,'2020_CapacityTable'!$B$23:$F$45,4)</f>
        <v>750</v>
      </c>
      <c r="CA185" s="15">
        <f>VLOOKUP($U185,'2020_CapacityTable'!$B$23:$F$45,5)</f>
        <v>800</v>
      </c>
      <c r="CB185" s="15">
        <f t="shared" si="261"/>
        <v>0</v>
      </c>
      <c r="CC185" s="15">
        <f t="shared" si="262"/>
        <v>259</v>
      </c>
      <c r="CD185" s="15">
        <f t="shared" si="263"/>
        <v>525</v>
      </c>
      <c r="CE185" s="15">
        <f t="shared" si="264"/>
        <v>560</v>
      </c>
      <c r="CF185" s="3">
        <f t="shared" si="292"/>
        <v>525</v>
      </c>
      <c r="CG185" s="2">
        <f>'State of the System - Sumter Co'!AH185</f>
        <v>194</v>
      </c>
      <c r="CH185" s="2">
        <f>'State of the System - Sumter Co'!AI185</f>
        <v>230</v>
      </c>
      <c r="CI185" s="11">
        <f t="shared" si="265"/>
        <v>0.44</v>
      </c>
      <c r="CJ185" s="2" t="str">
        <f t="shared" si="293"/>
        <v>C</v>
      </c>
      <c r="CK185" s="3">
        <f t="shared" si="266"/>
        <v>11794</v>
      </c>
      <c r="CL185" s="11">
        <f t="shared" si="267"/>
        <v>0.4</v>
      </c>
      <c r="CM185" s="11" t="str">
        <f t="shared" si="268"/>
        <v>NOT CONGESTED</v>
      </c>
      <c r="CN185" s="3">
        <f t="shared" si="269"/>
        <v>605</v>
      </c>
      <c r="CO185" s="11">
        <f t="shared" si="270"/>
        <v>0.38</v>
      </c>
      <c r="CP185" s="156" t="str">
        <f t="shared" si="294"/>
        <v>NOT CONGESTED</v>
      </c>
      <c r="CQ185" s="2"/>
      <c r="CR185" s="42"/>
      <c r="CS185" s="11" t="str">
        <f t="shared" si="271"/>
        <v/>
      </c>
      <c r="CT185" s="11" t="str">
        <f t="shared" si="295"/>
        <v/>
      </c>
      <c r="CU185" s="11" t="str">
        <f t="shared" si="272"/>
        <v/>
      </c>
      <c r="CV185" s="11" t="str">
        <f t="shared" si="273"/>
        <v/>
      </c>
      <c r="CW185" s="2"/>
      <c r="CX185" s="1"/>
      <c r="CY185" s="145" t="str">
        <f t="shared" si="274"/>
        <v/>
      </c>
      <c r="CZ185" s="32" t="str">
        <f t="shared" si="275"/>
        <v/>
      </c>
    </row>
    <row r="186" spans="1:104" s="9" customFormat="1" ht="12.75" customHeight="1">
      <c r="A186" s="1">
        <v>6000090</v>
      </c>
      <c r="B186" s="1">
        <f>E186</f>
        <v>188040</v>
      </c>
      <c r="C186" s="1">
        <v>69</v>
      </c>
      <c r="D186" s="1" t="e">
        <f>VLOOKUP(C186,'2022 counts'!$A$6:$B$304,2,FALSE)</f>
        <v>#N/A</v>
      </c>
      <c r="E186" s="1">
        <v>188040</v>
      </c>
      <c r="F186" s="2" t="s">
        <v>136</v>
      </c>
      <c r="G186" s="156">
        <v>35</v>
      </c>
      <c r="H186" s="11">
        <v>0.229458037729</v>
      </c>
      <c r="I186" s="10" t="s">
        <v>105</v>
      </c>
      <c r="J186" s="10" t="s">
        <v>726</v>
      </c>
      <c r="K186" s="10" t="s">
        <v>17</v>
      </c>
      <c r="L186" s="157">
        <v>2</v>
      </c>
      <c r="M186" s="1">
        <f>'State of the System - Sumter Co'!K186</f>
        <v>2</v>
      </c>
      <c r="N186" s="1" t="str">
        <f>IF('State of the System - Sumter Co'!L186="URBAN","U","R")</f>
        <v>U</v>
      </c>
      <c r="O186" s="1" t="str">
        <f>IF('State of the System - Sumter Co'!M186="UNDIVIDED","U",IF('State of the System - Sumter Co'!M186="DIVIDED","D","F"))</f>
        <v>U</v>
      </c>
      <c r="P186" s="1" t="str">
        <f>'State of the System - Sumter Co'!N186</f>
        <v>INTERRUPTED</v>
      </c>
      <c r="Q186" s="1" t="str">
        <f t="shared" si="234"/>
        <v/>
      </c>
      <c r="R186" s="1" t="str">
        <f>'State of the System - Sumter Co'!O186</f>
        <v/>
      </c>
      <c r="S186" s="1" t="str">
        <f t="shared" si="281"/>
        <v>-2</v>
      </c>
      <c r="T186" s="1" t="str">
        <f t="shared" si="236"/>
        <v>U-2U-2</v>
      </c>
      <c r="U186" s="1" t="str">
        <f t="shared" si="297"/>
        <v>U-2U-2</v>
      </c>
      <c r="V186" s="1" t="s">
        <v>10</v>
      </c>
      <c r="W186" s="1" t="s">
        <v>11</v>
      </c>
      <c r="X186" s="1" t="s">
        <v>12</v>
      </c>
      <c r="Y186" s="1" t="str">
        <f>'State of the System - Sumter Co'!R186</f>
        <v>D</v>
      </c>
      <c r="Z186" s="157" t="str">
        <f t="shared" si="237"/>
        <v>Other CMP Network Roadways</v>
      </c>
      <c r="AA186" s="15">
        <f>VLOOKUP($T186,'2020_CapacityTable'!$B$49:$F$71,2)</f>
        <v>0</v>
      </c>
      <c r="AB186" s="15">
        <f>VLOOKUP($T186,'2020_CapacityTable'!$B$49:$F$71,3)</f>
        <v>7300</v>
      </c>
      <c r="AC186" s="15">
        <f>VLOOKUP($T186,'2020_CapacityTable'!$B$49:$F$71,4)</f>
        <v>14800</v>
      </c>
      <c r="AD186" s="15">
        <f>VLOOKUP($T186,'2020_CapacityTable'!$B$49:$F$71,5)</f>
        <v>15600</v>
      </c>
      <c r="AE186" s="35">
        <f t="shared" si="288"/>
        <v>-0.1</v>
      </c>
      <c r="AF186" s="36" t="str">
        <f t="shared" si="238"/>
        <v/>
      </c>
      <c r="AG186" s="35"/>
      <c r="AH186" s="35" t="str">
        <f t="shared" si="296"/>
        <v/>
      </c>
      <c r="AI186" s="35"/>
      <c r="AJ186" s="36"/>
      <c r="AK186" s="15">
        <f t="shared" si="239"/>
        <v>0</v>
      </c>
      <c r="AL186" s="15">
        <f t="shared" si="240"/>
        <v>6570</v>
      </c>
      <c r="AM186" s="15">
        <f t="shared" si="241"/>
        <v>13320</v>
      </c>
      <c r="AN186" s="15">
        <f t="shared" si="242"/>
        <v>14040</v>
      </c>
      <c r="AO186" s="3">
        <f t="shared" si="289"/>
        <v>13320</v>
      </c>
      <c r="AP186" s="138">
        <f>VLOOKUP($B186,'2022 counts'!$B$6:$R$304,17,FALSE)</f>
        <v>1920</v>
      </c>
      <c r="AQ186" s="11">
        <f t="shared" si="243"/>
        <v>0.14000000000000001</v>
      </c>
      <c r="AR186" s="2" t="str">
        <f t="shared" si="244"/>
        <v>C</v>
      </c>
      <c r="AS186" s="26">
        <f t="shared" si="245"/>
        <v>0.16</v>
      </c>
      <c r="AT186" s="15">
        <f>VLOOKUP($T186,'2020_CapacityTable'!$B$23:$F$45,2)</f>
        <v>0</v>
      </c>
      <c r="AU186" s="15">
        <f>VLOOKUP($T186,'2020_CapacityTable'!$B$23:$F$45,3)</f>
        <v>370</v>
      </c>
      <c r="AV186" s="15">
        <f>VLOOKUP($T186,'2020_CapacityTable'!$B$23:$F$45,4)</f>
        <v>750</v>
      </c>
      <c r="AW186" s="15">
        <f>VLOOKUP($T186,'2020_CapacityTable'!$B$23:$F$45,5)</f>
        <v>800</v>
      </c>
      <c r="AX186" s="15">
        <f t="shared" si="246"/>
        <v>0</v>
      </c>
      <c r="AY186" s="15">
        <f t="shared" si="247"/>
        <v>333</v>
      </c>
      <c r="AZ186" s="15">
        <f t="shared" si="248"/>
        <v>675</v>
      </c>
      <c r="BA186" s="15">
        <f t="shared" si="249"/>
        <v>720</v>
      </c>
      <c r="BB186" s="3">
        <f t="shared" si="290"/>
        <v>675</v>
      </c>
      <c r="BC186" s="138">
        <f>VLOOKUP($B186,'2022 counts'!$B$6:$AD$304,28,FALSE)</f>
        <v>164</v>
      </c>
      <c r="BD186" s="138">
        <f>VLOOKUP($B186,'2022 counts'!$B$6:$AD$304,29,FALSE)</f>
        <v>149</v>
      </c>
      <c r="BE186" s="11">
        <f t="shared" si="250"/>
        <v>0.24</v>
      </c>
      <c r="BF186" s="2" t="str">
        <f t="shared" si="251"/>
        <v>C</v>
      </c>
      <c r="BG186" s="135">
        <v>1.7500000000000002E-2</v>
      </c>
      <c r="BH186" s="135">
        <f>IF($AQ186="","",VLOOKUP($B186, '2022 counts'!$B$6:$T$304,19,FALSE))</f>
        <v>0</v>
      </c>
      <c r="BI186" s="38">
        <f t="shared" si="252"/>
        <v>0.01</v>
      </c>
      <c r="BJ186" s="39" t="str">
        <f t="shared" si="253"/>
        <v>minimum, (1)</v>
      </c>
      <c r="BK186" s="15">
        <f>VLOOKUP($U186,'2020_CapacityTable'!$B$49:$F$71,2)</f>
        <v>0</v>
      </c>
      <c r="BL186" s="15">
        <f>VLOOKUP($U186,'2020_CapacityTable'!$B$49:$F$71,3)</f>
        <v>7300</v>
      </c>
      <c r="BM186" s="15">
        <f>VLOOKUP($T186,'2020_CapacityTable'!$B$49:$F$71,4)</f>
        <v>14800</v>
      </c>
      <c r="BN186" s="15">
        <f>VLOOKUP($T186,'2020_CapacityTable'!$B$49:$F$71,5)</f>
        <v>15600</v>
      </c>
      <c r="BO186" s="15">
        <f t="shared" si="254"/>
        <v>0</v>
      </c>
      <c r="BP186" s="15">
        <f t="shared" si="255"/>
        <v>6570</v>
      </c>
      <c r="BQ186" s="15">
        <f t="shared" si="256"/>
        <v>13320</v>
      </c>
      <c r="BR186" s="15">
        <f t="shared" si="257"/>
        <v>14040</v>
      </c>
      <c r="BS186" s="3">
        <f t="shared" si="291"/>
        <v>13320</v>
      </c>
      <c r="BT186" s="40">
        <f>'State of the System - Sumter Co'!AD186</f>
        <v>2018</v>
      </c>
      <c r="BU186" s="41">
        <f t="shared" si="258"/>
        <v>0.15</v>
      </c>
      <c r="BV186" s="2" t="str">
        <f t="shared" si="259"/>
        <v>C</v>
      </c>
      <c r="BW186" s="2">
        <f t="shared" si="260"/>
        <v>0.17</v>
      </c>
      <c r="BX186" s="15">
        <f>VLOOKUP($U186,'2020_CapacityTable'!$B$23:$F$45,2)</f>
        <v>0</v>
      </c>
      <c r="BY186" s="15">
        <f>VLOOKUP($U186,'2020_CapacityTable'!$B$23:$F$45,3)</f>
        <v>370</v>
      </c>
      <c r="BZ186" s="15">
        <f>VLOOKUP($U186,'2020_CapacityTable'!$B$23:$F$45,4)</f>
        <v>750</v>
      </c>
      <c r="CA186" s="15">
        <f>VLOOKUP($U186,'2020_CapacityTable'!$B$23:$F$45,5)</f>
        <v>800</v>
      </c>
      <c r="CB186" s="15">
        <f t="shared" si="261"/>
        <v>0</v>
      </c>
      <c r="CC186" s="15">
        <f t="shared" si="262"/>
        <v>333</v>
      </c>
      <c r="CD186" s="15">
        <f t="shared" si="263"/>
        <v>675</v>
      </c>
      <c r="CE186" s="15">
        <f t="shared" si="264"/>
        <v>720</v>
      </c>
      <c r="CF186" s="3">
        <f t="shared" si="292"/>
        <v>675</v>
      </c>
      <c r="CG186" s="2">
        <f>'State of the System - Sumter Co'!AH186</f>
        <v>172</v>
      </c>
      <c r="CH186" s="2">
        <f>'State of the System - Sumter Co'!AI186</f>
        <v>157</v>
      </c>
      <c r="CI186" s="11">
        <f t="shared" si="265"/>
        <v>0.25</v>
      </c>
      <c r="CJ186" s="2" t="str">
        <f t="shared" si="293"/>
        <v>C</v>
      </c>
      <c r="CK186" s="3">
        <f t="shared" si="266"/>
        <v>15163</v>
      </c>
      <c r="CL186" s="11">
        <f t="shared" si="267"/>
        <v>0.13</v>
      </c>
      <c r="CM186" s="11" t="str">
        <f t="shared" si="268"/>
        <v>NOT CONGESTED</v>
      </c>
      <c r="CN186" s="3">
        <f t="shared" si="269"/>
        <v>778</v>
      </c>
      <c r="CO186" s="11">
        <f t="shared" si="270"/>
        <v>0.22</v>
      </c>
      <c r="CP186" s="156" t="str">
        <f t="shared" si="294"/>
        <v>NOT CONGESTED</v>
      </c>
      <c r="CQ186" s="3"/>
      <c r="CR186" s="3"/>
      <c r="CS186" s="11" t="str">
        <f t="shared" si="271"/>
        <v/>
      </c>
      <c r="CT186" s="11" t="str">
        <f t="shared" si="295"/>
        <v/>
      </c>
      <c r="CU186" s="11" t="str">
        <f t="shared" si="272"/>
        <v/>
      </c>
      <c r="CV186" s="11" t="str">
        <f t="shared" si="273"/>
        <v/>
      </c>
      <c r="CW186" s="2"/>
      <c r="CX186" s="1"/>
      <c r="CY186" s="145" t="str">
        <f t="shared" si="274"/>
        <v/>
      </c>
      <c r="CZ186" s="32" t="str">
        <f t="shared" si="275"/>
        <v/>
      </c>
    </row>
    <row r="187" spans="1:104" s="9" customFormat="1" ht="12.75" customHeight="1">
      <c r="A187" s="1">
        <v>6000095</v>
      </c>
      <c r="B187" s="1"/>
      <c r="C187" s="1">
        <v>72</v>
      </c>
      <c r="D187" s="1" t="e">
        <f>VLOOKUP(C187,'2022 counts'!$A$6:$B$304,2,FALSE)</f>
        <v>#N/A</v>
      </c>
      <c r="E187" s="1"/>
      <c r="F187" s="2" t="s">
        <v>588</v>
      </c>
      <c r="G187" s="156">
        <v>35</v>
      </c>
      <c r="H187" s="11">
        <v>0.30329845697000002</v>
      </c>
      <c r="I187" s="10" t="s">
        <v>105</v>
      </c>
      <c r="J187" s="10" t="s">
        <v>17</v>
      </c>
      <c r="K187" s="10" t="s">
        <v>15</v>
      </c>
      <c r="L187" s="157">
        <v>2</v>
      </c>
      <c r="M187" s="1">
        <f>'State of the System - Sumter Co'!K187</f>
        <v>2</v>
      </c>
      <c r="N187" s="1" t="str">
        <f>IF('State of the System - Sumter Co'!L187="URBAN","U","R")</f>
        <v>U</v>
      </c>
      <c r="O187" s="1" t="str">
        <f>IF('State of the System - Sumter Co'!M187="UNDIVIDED","U",IF('State of the System - Sumter Co'!M187="DIVIDED","D","F"))</f>
        <v>U</v>
      </c>
      <c r="P187" s="1" t="str">
        <f>'State of the System - Sumter Co'!N187</f>
        <v>INTERRUPTED</v>
      </c>
      <c r="Q187" s="1" t="str">
        <f t="shared" si="234"/>
        <v/>
      </c>
      <c r="R187" s="1" t="str">
        <f>'State of the System - Sumter Co'!O187</f>
        <v/>
      </c>
      <c r="S187" s="1" t="str">
        <f t="shared" ref="S187:S218" si="298">IF($N187="r","",IF($P187="interrupted",IF($G187&lt;37.5,"-2","-1"),"-x"))</f>
        <v>-2</v>
      </c>
      <c r="T187" s="1" t="str">
        <f t="shared" si="236"/>
        <v>U-2U-2</v>
      </c>
      <c r="U187" s="1" t="str">
        <f t="shared" si="297"/>
        <v>U-2U-2</v>
      </c>
      <c r="V187" s="1" t="s">
        <v>10</v>
      </c>
      <c r="W187" s="1" t="s">
        <v>11</v>
      </c>
      <c r="X187" s="1" t="s">
        <v>12</v>
      </c>
      <c r="Y187" s="1" t="str">
        <f>'State of the System - Sumter Co'!R187</f>
        <v>D</v>
      </c>
      <c r="Z187" s="157" t="str">
        <f t="shared" si="237"/>
        <v>Other CMP Network Roadways</v>
      </c>
      <c r="AA187" s="15">
        <f>VLOOKUP($T187,'2020_CapacityTable'!$B$49:$F$71,2)</f>
        <v>0</v>
      </c>
      <c r="AB187" s="15">
        <f>VLOOKUP($T187,'2020_CapacityTable'!$B$49:$F$71,3)</f>
        <v>7300</v>
      </c>
      <c r="AC187" s="15">
        <f>VLOOKUP($T187,'2020_CapacityTable'!$B$49:$F$71,4)</f>
        <v>14800</v>
      </c>
      <c r="AD187" s="15">
        <f>VLOOKUP($T187,'2020_CapacityTable'!$B$49:$F$71,5)</f>
        <v>15600</v>
      </c>
      <c r="AE187" s="35">
        <f t="shared" si="288"/>
        <v>-0.1</v>
      </c>
      <c r="AF187" s="36" t="str">
        <f t="shared" si="238"/>
        <v/>
      </c>
      <c r="AG187" s="35"/>
      <c r="AH187" s="35" t="str">
        <f t="shared" si="296"/>
        <v/>
      </c>
      <c r="AI187" s="35"/>
      <c r="AJ187" s="36"/>
      <c r="AK187" s="15">
        <f t="shared" si="239"/>
        <v>0</v>
      </c>
      <c r="AL187" s="15">
        <f t="shared" si="240"/>
        <v>6570</v>
      </c>
      <c r="AM187" s="15">
        <f t="shared" si="241"/>
        <v>13320</v>
      </c>
      <c r="AN187" s="15">
        <f t="shared" si="242"/>
        <v>14040</v>
      </c>
      <c r="AO187" s="3">
        <f t="shared" si="289"/>
        <v>13320</v>
      </c>
      <c r="AP187" s="138" t="s">
        <v>243</v>
      </c>
      <c r="AQ187" s="11" t="s">
        <v>243</v>
      </c>
      <c r="AR187" s="2"/>
      <c r="AS187" s="26"/>
      <c r="AT187" s="15">
        <f>VLOOKUP($T187,'2020_CapacityTable'!$B$23:$F$45,2)</f>
        <v>0</v>
      </c>
      <c r="AU187" s="15">
        <f>VLOOKUP($T187,'2020_CapacityTable'!$B$23:$F$45,3)</f>
        <v>370</v>
      </c>
      <c r="AV187" s="15">
        <f>VLOOKUP($T187,'2020_CapacityTable'!$B$23:$F$45,4)</f>
        <v>750</v>
      </c>
      <c r="AW187" s="15">
        <f>VLOOKUP($T187,'2020_CapacityTable'!$B$23:$F$45,5)</f>
        <v>800</v>
      </c>
      <c r="AX187" s="15">
        <f t="shared" si="246"/>
        <v>0</v>
      </c>
      <c r="AY187" s="15">
        <f t="shared" si="247"/>
        <v>333</v>
      </c>
      <c r="AZ187" s="15">
        <f t="shared" si="248"/>
        <v>675</v>
      </c>
      <c r="BA187" s="15">
        <f t="shared" si="249"/>
        <v>720</v>
      </c>
      <c r="BB187" s="3">
        <f t="shared" si="290"/>
        <v>675</v>
      </c>
      <c r="BC187" s="138" t="s">
        <v>243</v>
      </c>
      <c r="BD187" s="138" t="s">
        <v>243</v>
      </c>
      <c r="BE187" s="11"/>
      <c r="BF187" s="2" t="s">
        <v>243</v>
      </c>
      <c r="BG187" s="135" t="s">
        <v>243</v>
      </c>
      <c r="BH187" s="135" t="s">
        <v>243</v>
      </c>
      <c r="BI187" s="38" t="s">
        <v>243</v>
      </c>
      <c r="BJ187" s="39" t="s">
        <v>243</v>
      </c>
      <c r="BK187" s="15">
        <f>VLOOKUP($U187,'2020_CapacityTable'!$B$49:$F$71,2)</f>
        <v>0</v>
      </c>
      <c r="BL187" s="15">
        <f>VLOOKUP($U187,'2020_CapacityTable'!$B$49:$F$71,3)</f>
        <v>7300</v>
      </c>
      <c r="BM187" s="15">
        <f>VLOOKUP($T187,'2020_CapacityTable'!$B$49:$F$71,4)</f>
        <v>14800</v>
      </c>
      <c r="BN187" s="15">
        <f>VLOOKUP($T187,'2020_CapacityTable'!$B$49:$F$71,5)</f>
        <v>15600</v>
      </c>
      <c r="BO187" s="15">
        <f t="shared" si="254"/>
        <v>0</v>
      </c>
      <c r="BP187" s="15">
        <f t="shared" si="255"/>
        <v>6570</v>
      </c>
      <c r="BQ187" s="15">
        <f t="shared" si="256"/>
        <v>13320</v>
      </c>
      <c r="BR187" s="15">
        <f t="shared" si="257"/>
        <v>14040</v>
      </c>
      <c r="BS187" s="3">
        <f t="shared" si="291"/>
        <v>13320</v>
      </c>
      <c r="BT187" s="40" t="str">
        <f>'State of the System - Sumter Co'!AD187</f>
        <v>-</v>
      </c>
      <c r="BU187" s="41" t="str">
        <f t="shared" si="258"/>
        <v/>
      </c>
      <c r="BV187" s="2" t="str">
        <f t="shared" si="259"/>
        <v/>
      </c>
      <c r="BW187" s="2" t="str">
        <f t="shared" si="260"/>
        <v/>
      </c>
      <c r="BX187" s="15">
        <f>VLOOKUP($U187,'2020_CapacityTable'!$B$23:$F$45,2)</f>
        <v>0</v>
      </c>
      <c r="BY187" s="15">
        <f>VLOOKUP($U187,'2020_CapacityTable'!$B$23:$F$45,3)</f>
        <v>370</v>
      </c>
      <c r="BZ187" s="15">
        <f>VLOOKUP($U187,'2020_CapacityTable'!$B$23:$F$45,4)</f>
        <v>750</v>
      </c>
      <c r="CA187" s="15">
        <f>VLOOKUP($U187,'2020_CapacityTable'!$B$23:$F$45,5)</f>
        <v>800</v>
      </c>
      <c r="CB187" s="15">
        <f t="shared" si="261"/>
        <v>0</v>
      </c>
      <c r="CC187" s="15">
        <f t="shared" si="262"/>
        <v>333</v>
      </c>
      <c r="CD187" s="15">
        <f t="shared" si="263"/>
        <v>675</v>
      </c>
      <c r="CE187" s="15">
        <f t="shared" si="264"/>
        <v>720</v>
      </c>
      <c r="CF187" s="3">
        <f t="shared" si="292"/>
        <v>675</v>
      </c>
      <c r="CG187" s="2"/>
      <c r="CH187" s="2"/>
      <c r="CI187" s="11"/>
      <c r="CJ187" s="2"/>
      <c r="CK187" s="3">
        <f t="shared" si="266"/>
        <v>15163</v>
      </c>
      <c r="CL187" s="11" t="str">
        <f t="shared" si="267"/>
        <v/>
      </c>
      <c r="CM187" s="11" t="str">
        <f t="shared" si="268"/>
        <v/>
      </c>
      <c r="CN187" s="3">
        <f t="shared" si="269"/>
        <v>778</v>
      </c>
      <c r="CO187" s="11" t="str">
        <f t="shared" si="270"/>
        <v/>
      </c>
      <c r="CP187" s="156" t="str">
        <f t="shared" si="294"/>
        <v/>
      </c>
      <c r="CQ187" s="2"/>
      <c r="CR187" s="42"/>
      <c r="CS187" s="11" t="str">
        <f t="shared" si="271"/>
        <v/>
      </c>
      <c r="CT187" s="11" t="str">
        <f t="shared" si="295"/>
        <v/>
      </c>
      <c r="CU187" s="11" t="str">
        <f t="shared" si="272"/>
        <v/>
      </c>
      <c r="CV187" s="11" t="str">
        <f t="shared" si="273"/>
        <v/>
      </c>
      <c r="CW187" s="2"/>
      <c r="CX187" s="1"/>
      <c r="CY187" s="145" t="str">
        <f t="shared" si="274"/>
        <v/>
      </c>
      <c r="CZ187" s="32" t="str">
        <f t="shared" si="275"/>
        <v/>
      </c>
    </row>
    <row r="188" spans="1:104" s="9" customFormat="1" ht="12.75" customHeight="1">
      <c r="A188" s="1">
        <v>6000100</v>
      </c>
      <c r="B188" s="1">
        <f t="shared" si="276"/>
        <v>145</v>
      </c>
      <c r="C188" s="1">
        <v>246</v>
      </c>
      <c r="D188" s="1">
        <f>VLOOKUP(C188,'2022 counts'!$A$6:$B$304,2,FALSE)</f>
        <v>145</v>
      </c>
      <c r="E188" s="1"/>
      <c r="F188" s="2" t="s">
        <v>6</v>
      </c>
      <c r="G188" s="156">
        <v>25</v>
      </c>
      <c r="H188" s="11">
        <v>0.44241212592099999</v>
      </c>
      <c r="I188" s="10" t="s">
        <v>697</v>
      </c>
      <c r="J188" s="10" t="s">
        <v>765</v>
      </c>
      <c r="K188" s="10" t="s">
        <v>129</v>
      </c>
      <c r="L188" s="157">
        <v>2</v>
      </c>
      <c r="M188" s="1">
        <f>'State of the System - Sumter Co'!K188</f>
        <v>2</v>
      </c>
      <c r="N188" s="1" t="str">
        <f>IF('State of the System - Sumter Co'!L188="URBAN","U","R")</f>
        <v>U</v>
      </c>
      <c r="O188" s="1" t="str">
        <f>IF('State of the System - Sumter Co'!M188="UNDIVIDED","U",IF('State of the System - Sumter Co'!M188="DIVIDED","D","F"))</f>
        <v>U</v>
      </c>
      <c r="P188" s="1" t="str">
        <f>'State of the System - Sumter Co'!N188</f>
        <v>INTERRUPTED</v>
      </c>
      <c r="Q188" s="1" t="str">
        <f t="shared" si="234"/>
        <v/>
      </c>
      <c r="R188" s="1" t="str">
        <f>'State of the System - Sumter Co'!O188</f>
        <v/>
      </c>
      <c r="S188" s="1" t="str">
        <f t="shared" si="298"/>
        <v>-2</v>
      </c>
      <c r="T188" s="1" t="str">
        <f t="shared" si="236"/>
        <v>U-2U-2</v>
      </c>
      <c r="U188" s="1" t="str">
        <f t="shared" si="297"/>
        <v>U-2U-2</v>
      </c>
      <c r="V188" s="1" t="s">
        <v>10</v>
      </c>
      <c r="W188" s="1" t="s">
        <v>11</v>
      </c>
      <c r="X188" s="1" t="s">
        <v>12</v>
      </c>
      <c r="Y188" s="1" t="str">
        <f>'State of the System - Sumter Co'!R188</f>
        <v>D</v>
      </c>
      <c r="Z188" s="157" t="str">
        <f t="shared" si="237"/>
        <v>Other CMP Network Roadways</v>
      </c>
      <c r="AA188" s="15">
        <f>VLOOKUP($T188,'2020_CapacityTable'!$B$49:$F$71,2)</f>
        <v>0</v>
      </c>
      <c r="AB188" s="15">
        <f>VLOOKUP($T188,'2020_CapacityTable'!$B$49:$F$71,3)</f>
        <v>7300</v>
      </c>
      <c r="AC188" s="15">
        <f>VLOOKUP($T188,'2020_CapacityTable'!$B$49:$F$71,4)</f>
        <v>14800</v>
      </c>
      <c r="AD188" s="15">
        <f>VLOOKUP($T188,'2020_CapacityTable'!$B$49:$F$71,5)</f>
        <v>15600</v>
      </c>
      <c r="AE188" s="35">
        <f t="shared" si="288"/>
        <v>-0.1</v>
      </c>
      <c r="AF188" s="36" t="str">
        <f t="shared" si="238"/>
        <v/>
      </c>
      <c r="AG188" s="35"/>
      <c r="AH188" s="35" t="str">
        <f t="shared" si="296"/>
        <v/>
      </c>
      <c r="AI188" s="35"/>
      <c r="AJ188" s="36"/>
      <c r="AK188" s="15">
        <f t="shared" si="239"/>
        <v>0</v>
      </c>
      <c r="AL188" s="15">
        <f t="shared" si="240"/>
        <v>6570</v>
      </c>
      <c r="AM188" s="15">
        <f t="shared" si="241"/>
        <v>13320</v>
      </c>
      <c r="AN188" s="15">
        <f t="shared" si="242"/>
        <v>14040</v>
      </c>
      <c r="AO188" s="3">
        <f t="shared" si="289"/>
        <v>13320</v>
      </c>
      <c r="AP188" s="138">
        <f>VLOOKUP($B188,'2022 counts'!$B$6:$R$304,17,FALSE)</f>
        <v>6500</v>
      </c>
      <c r="AQ188" s="11">
        <f t="shared" si="243"/>
        <v>0.49</v>
      </c>
      <c r="AR188" s="2" t="str">
        <f t="shared" si="244"/>
        <v>C</v>
      </c>
      <c r="AS188" s="26">
        <f t="shared" si="245"/>
        <v>1.05</v>
      </c>
      <c r="AT188" s="15">
        <f>VLOOKUP($T188,'2020_CapacityTable'!$B$23:$F$45,2)</f>
        <v>0</v>
      </c>
      <c r="AU188" s="15">
        <f>VLOOKUP($T188,'2020_CapacityTable'!$B$23:$F$45,3)</f>
        <v>370</v>
      </c>
      <c r="AV188" s="15">
        <f>VLOOKUP($T188,'2020_CapacityTable'!$B$23:$F$45,4)</f>
        <v>750</v>
      </c>
      <c r="AW188" s="15">
        <f>VLOOKUP($T188,'2020_CapacityTable'!$B$23:$F$45,5)</f>
        <v>800</v>
      </c>
      <c r="AX188" s="15">
        <f t="shared" si="246"/>
        <v>0</v>
      </c>
      <c r="AY188" s="15">
        <f t="shared" si="247"/>
        <v>333</v>
      </c>
      <c r="AZ188" s="15">
        <f t="shared" si="248"/>
        <v>675</v>
      </c>
      <c r="BA188" s="15">
        <f t="shared" si="249"/>
        <v>720</v>
      </c>
      <c r="BB188" s="3">
        <f t="shared" si="290"/>
        <v>675</v>
      </c>
      <c r="BC188" s="138">
        <f>VLOOKUP($B188,'2022 counts'!$B$6:$AD$304,28,FALSE)</f>
        <v>296</v>
      </c>
      <c r="BD188" s="138">
        <f>VLOOKUP($B188,'2022 counts'!$B$6:$AD$304,29,FALSE)</f>
        <v>396</v>
      </c>
      <c r="BE188" s="11">
        <f t="shared" si="250"/>
        <v>0.59</v>
      </c>
      <c r="BF188" s="2" t="str">
        <f t="shared" si="251"/>
        <v>D</v>
      </c>
      <c r="BG188" s="135">
        <v>7.4999999999999997E-3</v>
      </c>
      <c r="BH188" s="135">
        <f>IF($AQ188="","",VLOOKUP($B188, '2022 counts'!$B$6:$T$304,19,FALSE))</f>
        <v>7.4999999999999997E-3</v>
      </c>
      <c r="BI188" s="38">
        <f t="shared" si="252"/>
        <v>0.01</v>
      </c>
      <c r="BJ188" s="39" t="str">
        <f t="shared" si="253"/>
        <v>minimum</v>
      </c>
      <c r="BK188" s="15">
        <f>VLOOKUP($U188,'2020_CapacityTable'!$B$49:$F$71,2)</f>
        <v>0</v>
      </c>
      <c r="BL188" s="15">
        <f>VLOOKUP($U188,'2020_CapacityTable'!$B$49:$F$71,3)</f>
        <v>7300</v>
      </c>
      <c r="BM188" s="15">
        <f>VLOOKUP($T188,'2020_CapacityTable'!$B$49:$F$71,4)</f>
        <v>14800</v>
      </c>
      <c r="BN188" s="15">
        <f>VLOOKUP($T188,'2020_CapacityTable'!$B$49:$F$71,5)</f>
        <v>15600</v>
      </c>
      <c r="BO188" s="15">
        <f t="shared" si="254"/>
        <v>0</v>
      </c>
      <c r="BP188" s="15">
        <f t="shared" si="255"/>
        <v>6570</v>
      </c>
      <c r="BQ188" s="15">
        <f t="shared" si="256"/>
        <v>13320</v>
      </c>
      <c r="BR188" s="15">
        <f t="shared" si="257"/>
        <v>14040</v>
      </c>
      <c r="BS188" s="3">
        <f t="shared" si="291"/>
        <v>13320</v>
      </c>
      <c r="BT188" s="40">
        <f>'State of the System - Sumter Co'!AD188</f>
        <v>6832</v>
      </c>
      <c r="BU188" s="41">
        <f t="shared" si="258"/>
        <v>0.51</v>
      </c>
      <c r="BV188" s="2" t="str">
        <f t="shared" si="259"/>
        <v>D</v>
      </c>
      <c r="BW188" s="2">
        <f t="shared" si="260"/>
        <v>1.1000000000000001</v>
      </c>
      <c r="BX188" s="15">
        <f>VLOOKUP($U188,'2020_CapacityTable'!$B$23:$F$45,2)</f>
        <v>0</v>
      </c>
      <c r="BY188" s="15">
        <f>VLOOKUP($U188,'2020_CapacityTable'!$B$23:$F$45,3)</f>
        <v>370</v>
      </c>
      <c r="BZ188" s="15">
        <f>VLOOKUP($U188,'2020_CapacityTable'!$B$23:$F$45,4)</f>
        <v>750</v>
      </c>
      <c r="CA188" s="15">
        <f>VLOOKUP($U188,'2020_CapacityTable'!$B$23:$F$45,5)</f>
        <v>800</v>
      </c>
      <c r="CB188" s="15">
        <f t="shared" si="261"/>
        <v>0</v>
      </c>
      <c r="CC188" s="15">
        <f t="shared" si="262"/>
        <v>333</v>
      </c>
      <c r="CD188" s="15">
        <f t="shared" si="263"/>
        <v>675</v>
      </c>
      <c r="CE188" s="15">
        <f t="shared" si="264"/>
        <v>720</v>
      </c>
      <c r="CF188" s="3">
        <f t="shared" si="292"/>
        <v>675</v>
      </c>
      <c r="CG188" s="2">
        <f>'State of the System - Sumter Co'!AH188</f>
        <v>311</v>
      </c>
      <c r="CH188" s="2">
        <f>'State of the System - Sumter Co'!AI188</f>
        <v>416</v>
      </c>
      <c r="CI188" s="11">
        <f t="shared" si="265"/>
        <v>0.62</v>
      </c>
      <c r="CJ188" s="2" t="str">
        <f t="shared" si="293"/>
        <v>D</v>
      </c>
      <c r="CK188" s="3">
        <f t="shared" si="266"/>
        <v>15163</v>
      </c>
      <c r="CL188" s="11">
        <f t="shared" si="267"/>
        <v>0.45</v>
      </c>
      <c r="CM188" s="11" t="str">
        <f t="shared" si="268"/>
        <v>NOT CONGESTED</v>
      </c>
      <c r="CN188" s="3">
        <f t="shared" si="269"/>
        <v>778</v>
      </c>
      <c r="CO188" s="11">
        <f t="shared" si="270"/>
        <v>0.53</v>
      </c>
      <c r="CP188" s="156" t="str">
        <f t="shared" si="294"/>
        <v>NOT CONGESTED</v>
      </c>
      <c r="CQ188" s="3"/>
      <c r="CR188" s="3"/>
      <c r="CS188" s="11" t="str">
        <f t="shared" si="271"/>
        <v/>
      </c>
      <c r="CT188" s="11" t="str">
        <f t="shared" si="295"/>
        <v/>
      </c>
      <c r="CU188" s="11" t="str">
        <f t="shared" si="272"/>
        <v/>
      </c>
      <c r="CV188" s="11" t="str">
        <f t="shared" si="273"/>
        <v/>
      </c>
      <c r="CW188" s="2"/>
      <c r="CX188" s="1"/>
      <c r="CY188" s="145" t="str">
        <f t="shared" si="274"/>
        <v/>
      </c>
      <c r="CZ188" s="32" t="str">
        <f t="shared" si="275"/>
        <v/>
      </c>
    </row>
    <row r="189" spans="1:104" s="9" customFormat="1" ht="12.75" customHeight="1">
      <c r="A189" s="1">
        <v>6000105</v>
      </c>
      <c r="B189" s="1">
        <f t="shared" si="276"/>
        <v>143</v>
      </c>
      <c r="C189" s="1">
        <v>240</v>
      </c>
      <c r="D189" s="1">
        <f>VLOOKUP(C189,'2022 counts'!$A$6:$B$304,2,FALSE)</f>
        <v>143</v>
      </c>
      <c r="E189" s="1"/>
      <c r="F189" s="2" t="s">
        <v>6</v>
      </c>
      <c r="G189" s="156">
        <v>35</v>
      </c>
      <c r="H189" s="11">
        <v>0.379804022608</v>
      </c>
      <c r="I189" s="10" t="s">
        <v>697</v>
      </c>
      <c r="J189" s="10" t="s">
        <v>773</v>
      </c>
      <c r="K189" s="10" t="s">
        <v>130</v>
      </c>
      <c r="L189" s="157">
        <v>2</v>
      </c>
      <c r="M189" s="1">
        <f>'State of the System - Sumter Co'!K189</f>
        <v>2</v>
      </c>
      <c r="N189" s="1" t="str">
        <f>IF('State of the System - Sumter Co'!L189="URBAN","U","R")</f>
        <v>U</v>
      </c>
      <c r="O189" s="1" t="str">
        <f>IF('State of the System - Sumter Co'!M189="UNDIVIDED","U",IF('State of the System - Sumter Co'!M189="DIVIDED","D","F"))</f>
        <v>U</v>
      </c>
      <c r="P189" s="1" t="str">
        <f>'State of the System - Sumter Co'!N189</f>
        <v>INTERRUPTED</v>
      </c>
      <c r="Q189" s="1" t="str">
        <f t="shared" si="234"/>
        <v/>
      </c>
      <c r="R189" s="1" t="str">
        <f>'State of the System - Sumter Co'!O189</f>
        <v/>
      </c>
      <c r="S189" s="1" t="str">
        <f t="shared" si="298"/>
        <v>-2</v>
      </c>
      <c r="T189" s="1" t="str">
        <f t="shared" si="236"/>
        <v>U-2U-2</v>
      </c>
      <c r="U189" s="1" t="str">
        <f t="shared" si="297"/>
        <v>U-2U-2</v>
      </c>
      <c r="V189" s="1" t="s">
        <v>10</v>
      </c>
      <c r="W189" s="1" t="s">
        <v>11</v>
      </c>
      <c r="X189" s="1" t="s">
        <v>12</v>
      </c>
      <c r="Y189" s="1" t="str">
        <f>'State of the System - Sumter Co'!R189</f>
        <v>D</v>
      </c>
      <c r="Z189" s="157" t="str">
        <f t="shared" si="237"/>
        <v>Other CMP Network Roadways</v>
      </c>
      <c r="AA189" s="15">
        <f>VLOOKUP($T189,'2020_CapacityTable'!$B$49:$F$71,2)</f>
        <v>0</v>
      </c>
      <c r="AB189" s="15">
        <f>VLOOKUP($T189,'2020_CapacityTable'!$B$49:$F$71,3)</f>
        <v>7300</v>
      </c>
      <c r="AC189" s="15">
        <f>VLOOKUP($T189,'2020_CapacityTable'!$B$49:$F$71,4)</f>
        <v>14800</v>
      </c>
      <c r="AD189" s="15">
        <f>VLOOKUP($T189,'2020_CapacityTable'!$B$49:$F$71,5)</f>
        <v>15600</v>
      </c>
      <c r="AE189" s="35">
        <f t="shared" si="288"/>
        <v>-0.1</v>
      </c>
      <c r="AF189" s="36" t="str">
        <f t="shared" si="238"/>
        <v/>
      </c>
      <c r="AG189" s="35"/>
      <c r="AH189" s="35" t="str">
        <f t="shared" si="296"/>
        <v/>
      </c>
      <c r="AI189" s="35"/>
      <c r="AJ189" s="36"/>
      <c r="AK189" s="15">
        <f t="shared" si="239"/>
        <v>0</v>
      </c>
      <c r="AL189" s="15">
        <f t="shared" si="240"/>
        <v>6570</v>
      </c>
      <c r="AM189" s="15">
        <f t="shared" si="241"/>
        <v>13320</v>
      </c>
      <c r="AN189" s="15">
        <f t="shared" si="242"/>
        <v>14040</v>
      </c>
      <c r="AO189" s="3">
        <f t="shared" si="289"/>
        <v>13320</v>
      </c>
      <c r="AP189" s="138">
        <f>VLOOKUP($B189,'2022 counts'!$B$6:$R$304,17,FALSE)</f>
        <v>7015</v>
      </c>
      <c r="AQ189" s="11">
        <f t="shared" si="243"/>
        <v>0.53</v>
      </c>
      <c r="AR189" s="2" t="str">
        <f t="shared" si="244"/>
        <v>D</v>
      </c>
      <c r="AS189" s="26">
        <f t="shared" si="245"/>
        <v>0.97</v>
      </c>
      <c r="AT189" s="15">
        <f>VLOOKUP($T189,'2020_CapacityTable'!$B$23:$F$45,2)</f>
        <v>0</v>
      </c>
      <c r="AU189" s="15">
        <f>VLOOKUP($T189,'2020_CapacityTable'!$B$23:$F$45,3)</f>
        <v>370</v>
      </c>
      <c r="AV189" s="15">
        <f>VLOOKUP($T189,'2020_CapacityTable'!$B$23:$F$45,4)</f>
        <v>750</v>
      </c>
      <c r="AW189" s="15">
        <f>VLOOKUP($T189,'2020_CapacityTable'!$B$23:$F$45,5)</f>
        <v>800</v>
      </c>
      <c r="AX189" s="15">
        <f t="shared" si="246"/>
        <v>0</v>
      </c>
      <c r="AY189" s="15">
        <f t="shared" si="247"/>
        <v>333</v>
      </c>
      <c r="AZ189" s="15">
        <f t="shared" si="248"/>
        <v>675</v>
      </c>
      <c r="BA189" s="15">
        <f t="shared" si="249"/>
        <v>720</v>
      </c>
      <c r="BB189" s="3">
        <f t="shared" si="290"/>
        <v>675</v>
      </c>
      <c r="BC189" s="138">
        <f>VLOOKUP($B189,'2022 counts'!$B$6:$AD$304,28,FALSE)</f>
        <v>379</v>
      </c>
      <c r="BD189" s="138">
        <f>VLOOKUP($B189,'2022 counts'!$B$6:$AD$304,29,FALSE)</f>
        <v>366</v>
      </c>
      <c r="BE189" s="11">
        <f t="shared" si="250"/>
        <v>0.56000000000000005</v>
      </c>
      <c r="BF189" s="2" t="str">
        <f t="shared" si="251"/>
        <v>D</v>
      </c>
      <c r="BG189" s="135">
        <v>0</v>
      </c>
      <c r="BH189" s="135">
        <f>IF($AQ189="","",VLOOKUP($B189, '2022 counts'!$B$6:$T$304,19,FALSE))</f>
        <v>0</v>
      </c>
      <c r="BI189" s="38">
        <f t="shared" si="252"/>
        <v>0.01</v>
      </c>
      <c r="BJ189" s="39" t="str">
        <f t="shared" si="253"/>
        <v>minimum</v>
      </c>
      <c r="BK189" s="15">
        <f>VLOOKUP($U189,'2020_CapacityTable'!$B$49:$F$71,2)</f>
        <v>0</v>
      </c>
      <c r="BL189" s="15">
        <f>VLOOKUP($U189,'2020_CapacityTable'!$B$49:$F$71,3)</f>
        <v>7300</v>
      </c>
      <c r="BM189" s="15">
        <f>VLOOKUP($T189,'2020_CapacityTable'!$B$49:$F$71,4)</f>
        <v>14800</v>
      </c>
      <c r="BN189" s="15">
        <f>VLOOKUP($T189,'2020_CapacityTable'!$B$49:$F$71,5)</f>
        <v>15600</v>
      </c>
      <c r="BO189" s="15">
        <f t="shared" si="254"/>
        <v>0</v>
      </c>
      <c r="BP189" s="15">
        <f t="shared" si="255"/>
        <v>6570</v>
      </c>
      <c r="BQ189" s="15">
        <f t="shared" si="256"/>
        <v>13320</v>
      </c>
      <c r="BR189" s="15">
        <f t="shared" si="257"/>
        <v>14040</v>
      </c>
      <c r="BS189" s="3">
        <f t="shared" si="291"/>
        <v>13320</v>
      </c>
      <c r="BT189" s="40">
        <f>'State of the System - Sumter Co'!AD189</f>
        <v>7373</v>
      </c>
      <c r="BU189" s="41">
        <f t="shared" si="258"/>
        <v>0.55000000000000004</v>
      </c>
      <c r="BV189" s="2" t="str">
        <f t="shared" si="259"/>
        <v>D</v>
      </c>
      <c r="BW189" s="2">
        <f t="shared" si="260"/>
        <v>1.02</v>
      </c>
      <c r="BX189" s="15">
        <f>VLOOKUP($U189,'2020_CapacityTable'!$B$23:$F$45,2)</f>
        <v>0</v>
      </c>
      <c r="BY189" s="15">
        <f>VLOOKUP($U189,'2020_CapacityTable'!$B$23:$F$45,3)</f>
        <v>370</v>
      </c>
      <c r="BZ189" s="15">
        <f>VLOOKUP($U189,'2020_CapacityTable'!$B$23:$F$45,4)</f>
        <v>750</v>
      </c>
      <c r="CA189" s="15">
        <f>VLOOKUP($U189,'2020_CapacityTable'!$B$23:$F$45,5)</f>
        <v>800</v>
      </c>
      <c r="CB189" s="15">
        <f t="shared" si="261"/>
        <v>0</v>
      </c>
      <c r="CC189" s="15">
        <f t="shared" si="262"/>
        <v>333</v>
      </c>
      <c r="CD189" s="15">
        <f t="shared" si="263"/>
        <v>675</v>
      </c>
      <c r="CE189" s="15">
        <f t="shared" si="264"/>
        <v>720</v>
      </c>
      <c r="CF189" s="3">
        <f t="shared" si="292"/>
        <v>675</v>
      </c>
      <c r="CG189" s="2">
        <f>'State of the System - Sumter Co'!AH189</f>
        <v>398</v>
      </c>
      <c r="CH189" s="2">
        <f>'State of the System - Sumter Co'!AI189</f>
        <v>385</v>
      </c>
      <c r="CI189" s="11">
        <f t="shared" si="265"/>
        <v>0.59</v>
      </c>
      <c r="CJ189" s="2" t="str">
        <f t="shared" si="293"/>
        <v>D</v>
      </c>
      <c r="CK189" s="3">
        <f t="shared" si="266"/>
        <v>15163</v>
      </c>
      <c r="CL189" s="11">
        <f t="shared" si="267"/>
        <v>0.49</v>
      </c>
      <c r="CM189" s="11" t="str">
        <f t="shared" si="268"/>
        <v>NOT CONGESTED</v>
      </c>
      <c r="CN189" s="3">
        <f t="shared" si="269"/>
        <v>778</v>
      </c>
      <c r="CO189" s="11">
        <f t="shared" si="270"/>
        <v>0.51</v>
      </c>
      <c r="CP189" s="156" t="str">
        <f t="shared" si="294"/>
        <v>NOT CONGESTED</v>
      </c>
      <c r="CQ189" s="3"/>
      <c r="CR189" s="3"/>
      <c r="CS189" s="11" t="str">
        <f t="shared" si="271"/>
        <v/>
      </c>
      <c r="CT189" s="11" t="str">
        <f t="shared" si="295"/>
        <v/>
      </c>
      <c r="CU189" s="11" t="str">
        <f t="shared" si="272"/>
        <v/>
      </c>
      <c r="CV189" s="11" t="str">
        <f t="shared" si="273"/>
        <v/>
      </c>
      <c r="CW189" s="2"/>
      <c r="CX189" s="1"/>
      <c r="CY189" s="145" t="str">
        <f t="shared" si="274"/>
        <v/>
      </c>
      <c r="CZ189" s="32" t="str">
        <f t="shared" si="275"/>
        <v/>
      </c>
    </row>
    <row r="190" spans="1:104" ht="12.75" customHeight="1">
      <c r="A190" s="1">
        <v>6000110</v>
      </c>
      <c r="B190" s="1">
        <f t="shared" si="276"/>
        <v>141</v>
      </c>
      <c r="C190" s="1">
        <v>231</v>
      </c>
      <c r="D190" s="1">
        <f>VLOOKUP(C190,'2022 counts'!$A$6:$B$304,2,FALSE)</f>
        <v>141</v>
      </c>
      <c r="E190" s="1"/>
      <c r="F190" s="2" t="s">
        <v>6</v>
      </c>
      <c r="G190" s="156">
        <v>25</v>
      </c>
      <c r="H190" s="11">
        <v>0.50774382379899996</v>
      </c>
      <c r="I190" s="10" t="s">
        <v>697</v>
      </c>
      <c r="J190" s="10" t="s">
        <v>131</v>
      </c>
      <c r="K190" s="10" t="s">
        <v>102</v>
      </c>
      <c r="L190" s="157">
        <v>2</v>
      </c>
      <c r="M190" s="1">
        <f>'State of the System - Sumter Co'!K190</f>
        <v>2</v>
      </c>
      <c r="N190" s="1" t="str">
        <f>IF('State of the System - Sumter Co'!L190="URBAN","U","R")</f>
        <v>U</v>
      </c>
      <c r="O190" s="1" t="str">
        <f>IF('State of the System - Sumter Co'!M190="UNDIVIDED","U",IF('State of the System - Sumter Co'!M190="DIVIDED","D","F"))</f>
        <v>U</v>
      </c>
      <c r="P190" s="1" t="str">
        <f>'State of the System - Sumter Co'!N190</f>
        <v>INTERRUPTED</v>
      </c>
      <c r="Q190" s="1" t="str">
        <f t="shared" si="234"/>
        <v/>
      </c>
      <c r="R190" s="1" t="str">
        <f>'State of the System - Sumter Co'!O190</f>
        <v/>
      </c>
      <c r="S190" s="1" t="str">
        <f t="shared" si="298"/>
        <v>-2</v>
      </c>
      <c r="T190" s="1" t="str">
        <f t="shared" si="236"/>
        <v>U-2U-2</v>
      </c>
      <c r="U190" s="1" t="str">
        <f t="shared" si="297"/>
        <v>U-2U-2</v>
      </c>
      <c r="V190" s="1" t="s">
        <v>10</v>
      </c>
      <c r="W190" s="1" t="s">
        <v>11</v>
      </c>
      <c r="X190" s="1" t="s">
        <v>12</v>
      </c>
      <c r="Y190" s="1" t="str">
        <f>'State of the System - Sumter Co'!R190</f>
        <v>D</v>
      </c>
      <c r="Z190" s="157" t="str">
        <f t="shared" si="237"/>
        <v>Other CMP Network Roadways</v>
      </c>
      <c r="AA190" s="15">
        <f>VLOOKUP($T190,'2020_CapacityTable'!$B$49:$F$71,2)</f>
        <v>0</v>
      </c>
      <c r="AB190" s="15">
        <f>VLOOKUP($T190,'2020_CapacityTable'!$B$49:$F$71,3)</f>
        <v>7300</v>
      </c>
      <c r="AC190" s="15">
        <f>VLOOKUP($T190,'2020_CapacityTable'!$B$49:$F$71,4)</f>
        <v>14800</v>
      </c>
      <c r="AD190" s="15">
        <f>VLOOKUP($T190,'2020_CapacityTable'!$B$49:$F$71,5)</f>
        <v>15600</v>
      </c>
      <c r="AE190" s="35">
        <f t="shared" si="288"/>
        <v>-0.1</v>
      </c>
      <c r="AF190" s="36" t="str">
        <f t="shared" si="238"/>
        <v/>
      </c>
      <c r="AG190" s="35"/>
      <c r="AH190" s="35" t="str">
        <f t="shared" si="296"/>
        <v/>
      </c>
      <c r="AI190" s="35"/>
      <c r="AJ190" s="36"/>
      <c r="AK190" s="15">
        <f t="shared" si="239"/>
        <v>0</v>
      </c>
      <c r="AL190" s="15">
        <f t="shared" si="240"/>
        <v>6570</v>
      </c>
      <c r="AM190" s="15">
        <f t="shared" si="241"/>
        <v>13320</v>
      </c>
      <c r="AN190" s="15">
        <f t="shared" si="242"/>
        <v>14040</v>
      </c>
      <c r="AO190" s="3">
        <f t="shared" si="289"/>
        <v>13320</v>
      </c>
      <c r="AP190" s="138">
        <f>VLOOKUP($B190,'2022 counts'!$B$6:$R$304,17,FALSE)</f>
        <v>6191</v>
      </c>
      <c r="AQ190" s="11">
        <f t="shared" si="243"/>
        <v>0.46</v>
      </c>
      <c r="AR190" s="2" t="str">
        <f t="shared" si="244"/>
        <v>C</v>
      </c>
      <c r="AS190" s="26">
        <f t="shared" si="245"/>
        <v>1.1499999999999999</v>
      </c>
      <c r="AT190" s="15">
        <f>VLOOKUP($T190,'2020_CapacityTable'!$B$23:$F$45,2)</f>
        <v>0</v>
      </c>
      <c r="AU190" s="15">
        <f>VLOOKUP($T190,'2020_CapacityTable'!$B$23:$F$45,3)</f>
        <v>370</v>
      </c>
      <c r="AV190" s="15">
        <f>VLOOKUP($T190,'2020_CapacityTable'!$B$23:$F$45,4)</f>
        <v>750</v>
      </c>
      <c r="AW190" s="15">
        <f>VLOOKUP($T190,'2020_CapacityTable'!$B$23:$F$45,5)</f>
        <v>800</v>
      </c>
      <c r="AX190" s="15">
        <f t="shared" si="246"/>
        <v>0</v>
      </c>
      <c r="AY190" s="15">
        <f t="shared" si="247"/>
        <v>333</v>
      </c>
      <c r="AZ190" s="15">
        <f t="shared" si="248"/>
        <v>675</v>
      </c>
      <c r="BA190" s="15">
        <f t="shared" si="249"/>
        <v>720</v>
      </c>
      <c r="BB190" s="3">
        <f t="shared" si="290"/>
        <v>675</v>
      </c>
      <c r="BC190" s="138">
        <f>VLOOKUP($B190,'2022 counts'!$B$6:$AD$304,28,FALSE)</f>
        <v>278</v>
      </c>
      <c r="BD190" s="138">
        <f>VLOOKUP($B190,'2022 counts'!$B$6:$AD$304,29,FALSE)</f>
        <v>352</v>
      </c>
      <c r="BE190" s="11">
        <f t="shared" si="250"/>
        <v>0.52</v>
      </c>
      <c r="BF190" s="2" t="str">
        <f t="shared" si="251"/>
        <v>D</v>
      </c>
      <c r="BG190" s="135">
        <v>0</v>
      </c>
      <c r="BH190" s="135">
        <f>IF($AQ190="","",VLOOKUP($B190, '2022 counts'!$B$6:$T$304,19,FALSE))</f>
        <v>0</v>
      </c>
      <c r="BI190" s="38">
        <f t="shared" si="252"/>
        <v>0.01</v>
      </c>
      <c r="BJ190" s="39" t="str">
        <f t="shared" si="253"/>
        <v>minimum</v>
      </c>
      <c r="BK190" s="15">
        <f>VLOOKUP($U190,'2020_CapacityTable'!$B$49:$F$71,2)</f>
        <v>0</v>
      </c>
      <c r="BL190" s="15">
        <f>VLOOKUP($U190,'2020_CapacityTable'!$B$49:$F$71,3)</f>
        <v>7300</v>
      </c>
      <c r="BM190" s="15">
        <f>VLOOKUP($T190,'2020_CapacityTable'!$B$49:$F$71,4)</f>
        <v>14800</v>
      </c>
      <c r="BN190" s="15">
        <f>VLOOKUP($T190,'2020_CapacityTable'!$B$49:$F$71,5)</f>
        <v>15600</v>
      </c>
      <c r="BO190" s="15">
        <f t="shared" si="254"/>
        <v>0</v>
      </c>
      <c r="BP190" s="15">
        <f t="shared" si="255"/>
        <v>6570</v>
      </c>
      <c r="BQ190" s="15">
        <f t="shared" si="256"/>
        <v>13320</v>
      </c>
      <c r="BR190" s="15">
        <f t="shared" si="257"/>
        <v>14040</v>
      </c>
      <c r="BS190" s="3">
        <f t="shared" si="291"/>
        <v>13320</v>
      </c>
      <c r="BT190" s="40">
        <f>'State of the System - Sumter Co'!AD190</f>
        <v>6507</v>
      </c>
      <c r="BU190" s="41">
        <f t="shared" si="258"/>
        <v>0.49</v>
      </c>
      <c r="BV190" s="2" t="str">
        <f t="shared" si="259"/>
        <v>C</v>
      </c>
      <c r="BW190" s="2">
        <f t="shared" si="260"/>
        <v>1.21</v>
      </c>
      <c r="BX190" s="15">
        <f>VLOOKUP($U190,'2020_CapacityTable'!$B$23:$F$45,2)</f>
        <v>0</v>
      </c>
      <c r="BY190" s="15">
        <f>VLOOKUP($U190,'2020_CapacityTable'!$B$23:$F$45,3)</f>
        <v>370</v>
      </c>
      <c r="BZ190" s="15">
        <f>VLOOKUP($U190,'2020_CapacityTable'!$B$23:$F$45,4)</f>
        <v>750</v>
      </c>
      <c r="CA190" s="15">
        <f>VLOOKUP($U190,'2020_CapacityTable'!$B$23:$F$45,5)</f>
        <v>800</v>
      </c>
      <c r="CB190" s="15">
        <f t="shared" si="261"/>
        <v>0</v>
      </c>
      <c r="CC190" s="15">
        <f t="shared" si="262"/>
        <v>333</v>
      </c>
      <c r="CD190" s="15">
        <f t="shared" si="263"/>
        <v>675</v>
      </c>
      <c r="CE190" s="15">
        <f t="shared" si="264"/>
        <v>720</v>
      </c>
      <c r="CF190" s="3">
        <f t="shared" si="292"/>
        <v>675</v>
      </c>
      <c r="CG190" s="2">
        <f>'State of the System - Sumter Co'!AH190</f>
        <v>292</v>
      </c>
      <c r="CH190" s="2">
        <f>'State of the System - Sumter Co'!AI190</f>
        <v>370</v>
      </c>
      <c r="CI190" s="11">
        <f t="shared" si="265"/>
        <v>0.55000000000000004</v>
      </c>
      <c r="CJ190" s="2" t="str">
        <f t="shared" si="293"/>
        <v>D</v>
      </c>
      <c r="CK190" s="3">
        <f t="shared" si="266"/>
        <v>15163</v>
      </c>
      <c r="CL190" s="11">
        <f t="shared" si="267"/>
        <v>0.43</v>
      </c>
      <c r="CM190" s="11" t="str">
        <f t="shared" si="268"/>
        <v>NOT CONGESTED</v>
      </c>
      <c r="CN190" s="3">
        <f t="shared" si="269"/>
        <v>778</v>
      </c>
      <c r="CO190" s="11">
        <f t="shared" si="270"/>
        <v>0.48</v>
      </c>
      <c r="CP190" s="156" t="str">
        <f t="shared" si="294"/>
        <v>NOT CONGESTED</v>
      </c>
      <c r="CQ190" s="2"/>
      <c r="CR190" s="42"/>
      <c r="CS190" s="11" t="str">
        <f t="shared" si="271"/>
        <v/>
      </c>
      <c r="CT190" s="11" t="str">
        <f t="shared" si="295"/>
        <v/>
      </c>
      <c r="CU190" s="11" t="str">
        <f t="shared" si="272"/>
        <v/>
      </c>
      <c r="CV190" s="11" t="str">
        <f t="shared" si="273"/>
        <v/>
      </c>
      <c r="CW190" s="2"/>
      <c r="CX190" s="1"/>
      <c r="CY190" s="145" t="str">
        <f t="shared" si="274"/>
        <v/>
      </c>
      <c r="CZ190" s="32" t="str">
        <f t="shared" si="275"/>
        <v/>
      </c>
    </row>
    <row r="191" spans="1:104" ht="12.75" customHeight="1">
      <c r="A191" s="1">
        <v>6000115</v>
      </c>
      <c r="B191" s="1">
        <f t="shared" si="276"/>
        <v>146</v>
      </c>
      <c r="C191" s="1">
        <v>482</v>
      </c>
      <c r="D191" s="1">
        <f>VLOOKUP(C191,'2022 counts'!$A$6:$B$304,2,FALSE)</f>
        <v>146</v>
      </c>
      <c r="E191" s="1"/>
      <c r="F191" s="2" t="s">
        <v>6</v>
      </c>
      <c r="G191" s="156">
        <v>30</v>
      </c>
      <c r="H191" s="11">
        <v>1.55108522764</v>
      </c>
      <c r="I191" s="10" t="s">
        <v>697</v>
      </c>
      <c r="J191" s="10" t="s">
        <v>102</v>
      </c>
      <c r="K191" s="10" t="s">
        <v>132</v>
      </c>
      <c r="L191" s="157">
        <v>2</v>
      </c>
      <c r="M191" s="1">
        <f>'State of the System - Sumter Co'!K191</f>
        <v>2</v>
      </c>
      <c r="N191" s="1" t="str">
        <f>IF('State of the System - Sumter Co'!L191="URBAN","U","R")</f>
        <v>U</v>
      </c>
      <c r="O191" s="1" t="str">
        <f>IF('State of the System - Sumter Co'!M191="UNDIVIDED","U",IF('State of the System - Sumter Co'!M191="DIVIDED","D","F"))</f>
        <v>U</v>
      </c>
      <c r="P191" s="1" t="str">
        <f>'State of the System - Sumter Co'!N191</f>
        <v>INTERRUPTED</v>
      </c>
      <c r="Q191" s="1" t="str">
        <f t="shared" si="234"/>
        <v/>
      </c>
      <c r="R191" s="1" t="str">
        <f>'State of the System - Sumter Co'!O191</f>
        <v/>
      </c>
      <c r="S191" s="1" t="str">
        <f t="shared" si="298"/>
        <v>-2</v>
      </c>
      <c r="T191" s="1" t="str">
        <f t="shared" si="236"/>
        <v>U-2U-2</v>
      </c>
      <c r="U191" s="1" t="str">
        <f t="shared" si="297"/>
        <v>U-2U-2</v>
      </c>
      <c r="V191" s="1" t="s">
        <v>10</v>
      </c>
      <c r="W191" s="1" t="s">
        <v>11</v>
      </c>
      <c r="X191" s="1" t="s">
        <v>12</v>
      </c>
      <c r="Y191" s="1" t="str">
        <f>'State of the System - Sumter Co'!R191</f>
        <v>D</v>
      </c>
      <c r="Z191" s="157" t="str">
        <f t="shared" si="237"/>
        <v>Other CMP Network Roadways</v>
      </c>
      <c r="AA191" s="15">
        <f>VLOOKUP($T191,'2020_CapacityTable'!$B$49:$F$71,2)</f>
        <v>0</v>
      </c>
      <c r="AB191" s="15">
        <f>VLOOKUP($T191,'2020_CapacityTable'!$B$49:$F$71,3)</f>
        <v>7300</v>
      </c>
      <c r="AC191" s="15">
        <f>VLOOKUP($T191,'2020_CapacityTable'!$B$49:$F$71,4)</f>
        <v>14800</v>
      </c>
      <c r="AD191" s="15">
        <f>VLOOKUP($T191,'2020_CapacityTable'!$B$49:$F$71,5)</f>
        <v>15600</v>
      </c>
      <c r="AE191" s="35">
        <f t="shared" si="288"/>
        <v>-0.1</v>
      </c>
      <c r="AF191" s="36" t="str">
        <f t="shared" si="238"/>
        <v/>
      </c>
      <c r="AG191" s="35"/>
      <c r="AH191" s="35" t="str">
        <f t="shared" si="296"/>
        <v/>
      </c>
      <c r="AI191" s="35"/>
      <c r="AJ191" s="36"/>
      <c r="AK191" s="15">
        <f t="shared" si="239"/>
        <v>0</v>
      </c>
      <c r="AL191" s="15">
        <f t="shared" si="240"/>
        <v>6570</v>
      </c>
      <c r="AM191" s="15">
        <f t="shared" si="241"/>
        <v>13320</v>
      </c>
      <c r="AN191" s="15">
        <f t="shared" si="242"/>
        <v>14040</v>
      </c>
      <c r="AO191" s="3">
        <f t="shared" si="289"/>
        <v>13320</v>
      </c>
      <c r="AP191" s="138">
        <f>VLOOKUP($B191,'2022 counts'!$B$6:$R$304,17,FALSE)</f>
        <v>11040</v>
      </c>
      <c r="AQ191" s="11">
        <f t="shared" si="243"/>
        <v>0.83</v>
      </c>
      <c r="AR191" s="2" t="str">
        <f t="shared" si="244"/>
        <v>D</v>
      </c>
      <c r="AS191" s="26">
        <f t="shared" si="245"/>
        <v>6.25</v>
      </c>
      <c r="AT191" s="15">
        <f>VLOOKUP($T191,'2020_CapacityTable'!$B$23:$F$45,2)</f>
        <v>0</v>
      </c>
      <c r="AU191" s="15">
        <f>VLOOKUP($T191,'2020_CapacityTable'!$B$23:$F$45,3)</f>
        <v>370</v>
      </c>
      <c r="AV191" s="15">
        <f>VLOOKUP($T191,'2020_CapacityTable'!$B$23:$F$45,4)</f>
        <v>750</v>
      </c>
      <c r="AW191" s="15">
        <f>VLOOKUP($T191,'2020_CapacityTable'!$B$23:$F$45,5)</f>
        <v>800</v>
      </c>
      <c r="AX191" s="15">
        <f t="shared" si="246"/>
        <v>0</v>
      </c>
      <c r="AY191" s="15">
        <f t="shared" si="247"/>
        <v>333</v>
      </c>
      <c r="AZ191" s="15">
        <f t="shared" si="248"/>
        <v>675</v>
      </c>
      <c r="BA191" s="15">
        <f t="shared" si="249"/>
        <v>720</v>
      </c>
      <c r="BB191" s="3">
        <f t="shared" si="290"/>
        <v>675</v>
      </c>
      <c r="BC191" s="138">
        <f>VLOOKUP($B191,'2022 counts'!$B$6:$AD$304,28,FALSE)</f>
        <v>574</v>
      </c>
      <c r="BD191" s="138">
        <f>VLOOKUP($B191,'2022 counts'!$B$6:$AD$304,29,FALSE)</f>
        <v>578</v>
      </c>
      <c r="BE191" s="11">
        <f t="shared" si="250"/>
        <v>0.86</v>
      </c>
      <c r="BF191" s="2" t="str">
        <f t="shared" si="251"/>
        <v>D</v>
      </c>
      <c r="BG191" s="135">
        <v>1.7500000000000002E-2</v>
      </c>
      <c r="BH191" s="135">
        <f>IF($AQ191="","",VLOOKUP($B191, '2022 counts'!$B$6:$T$304,19,FALSE))</f>
        <v>1.7500000000000002E-2</v>
      </c>
      <c r="BI191" s="38">
        <f t="shared" si="252"/>
        <v>1.7500000000000002E-2</v>
      </c>
      <c r="BJ191" s="39" t="str">
        <f t="shared" si="253"/>
        <v/>
      </c>
      <c r="BK191" s="15">
        <f>VLOOKUP($U191,'2020_CapacityTable'!$B$49:$F$71,2)</f>
        <v>0</v>
      </c>
      <c r="BL191" s="15">
        <f>VLOOKUP($U191,'2020_CapacityTable'!$B$49:$F$71,3)</f>
        <v>7300</v>
      </c>
      <c r="BM191" s="15">
        <f>VLOOKUP($T191,'2020_CapacityTable'!$B$49:$F$71,4)</f>
        <v>14800</v>
      </c>
      <c r="BN191" s="15">
        <f>VLOOKUP($T191,'2020_CapacityTable'!$B$49:$F$71,5)</f>
        <v>15600</v>
      </c>
      <c r="BO191" s="15">
        <f t="shared" si="254"/>
        <v>0</v>
      </c>
      <c r="BP191" s="15">
        <f t="shared" si="255"/>
        <v>6570</v>
      </c>
      <c r="BQ191" s="15">
        <f t="shared" si="256"/>
        <v>13320</v>
      </c>
      <c r="BR191" s="15">
        <f t="shared" si="257"/>
        <v>14040</v>
      </c>
      <c r="BS191" s="3">
        <f t="shared" si="291"/>
        <v>13320</v>
      </c>
      <c r="BT191" s="40">
        <f>'State of the System - Sumter Co'!AD191</f>
        <v>12040</v>
      </c>
      <c r="BU191" s="41">
        <f t="shared" si="258"/>
        <v>0.9</v>
      </c>
      <c r="BV191" s="2" t="str">
        <f t="shared" si="259"/>
        <v>D</v>
      </c>
      <c r="BW191" s="2">
        <f t="shared" si="260"/>
        <v>6.82</v>
      </c>
      <c r="BX191" s="15">
        <f>VLOOKUP($U191,'2020_CapacityTable'!$B$23:$F$45,2)</f>
        <v>0</v>
      </c>
      <c r="BY191" s="15">
        <f>VLOOKUP($U191,'2020_CapacityTable'!$B$23:$F$45,3)</f>
        <v>370</v>
      </c>
      <c r="BZ191" s="15">
        <f>VLOOKUP($U191,'2020_CapacityTable'!$B$23:$F$45,4)</f>
        <v>750</v>
      </c>
      <c r="CA191" s="15">
        <f>VLOOKUP($U191,'2020_CapacityTable'!$B$23:$F$45,5)</f>
        <v>800</v>
      </c>
      <c r="CB191" s="15">
        <f t="shared" si="261"/>
        <v>0</v>
      </c>
      <c r="CC191" s="15">
        <f t="shared" si="262"/>
        <v>333</v>
      </c>
      <c r="CD191" s="15">
        <f t="shared" si="263"/>
        <v>675</v>
      </c>
      <c r="CE191" s="15">
        <f t="shared" si="264"/>
        <v>720</v>
      </c>
      <c r="CF191" s="3">
        <f t="shared" si="292"/>
        <v>675</v>
      </c>
      <c r="CG191" s="2">
        <f>'State of the System - Sumter Co'!AH191</f>
        <v>626</v>
      </c>
      <c r="CH191" s="2">
        <f>'State of the System - Sumter Co'!AI191</f>
        <v>630</v>
      </c>
      <c r="CI191" s="11">
        <f t="shared" si="265"/>
        <v>0.93</v>
      </c>
      <c r="CJ191" s="2" t="str">
        <f t="shared" si="293"/>
        <v>D</v>
      </c>
      <c r="CK191" s="3">
        <f t="shared" si="266"/>
        <v>15163</v>
      </c>
      <c r="CL191" s="11">
        <f t="shared" si="267"/>
        <v>0.79</v>
      </c>
      <c r="CM191" s="11" t="str">
        <f t="shared" si="268"/>
        <v>APPROACHING CONGESTION</v>
      </c>
      <c r="CN191" s="3">
        <f t="shared" si="269"/>
        <v>778</v>
      </c>
      <c r="CO191" s="11">
        <f t="shared" si="270"/>
        <v>0.81</v>
      </c>
      <c r="CP191" s="156" t="str">
        <f t="shared" si="294"/>
        <v>APPROACHING CONGESTION</v>
      </c>
      <c r="CQ191" s="3"/>
      <c r="CR191" s="3"/>
      <c r="CS191" s="11" t="str">
        <f t="shared" si="271"/>
        <v/>
      </c>
      <c r="CT191" s="11" t="str">
        <f t="shared" si="295"/>
        <v/>
      </c>
      <c r="CU191" s="11" t="str">
        <f t="shared" si="272"/>
        <v/>
      </c>
      <c r="CV191" s="11" t="str">
        <f t="shared" si="273"/>
        <v/>
      </c>
      <c r="CW191" s="2"/>
      <c r="CX191" s="1"/>
      <c r="CY191" s="145" t="str">
        <f t="shared" si="274"/>
        <v/>
      </c>
      <c r="CZ191" s="32" t="str">
        <f t="shared" si="275"/>
        <v/>
      </c>
    </row>
    <row r="192" spans="1:104" ht="12.75" customHeight="1">
      <c r="A192" s="1">
        <v>6000120</v>
      </c>
      <c r="B192" s="1">
        <f t="shared" si="276"/>
        <v>140</v>
      </c>
      <c r="C192" s="1">
        <v>228</v>
      </c>
      <c r="D192" s="1">
        <f>VLOOKUP(C192,'2022 counts'!$A$6:$B$304,2,FALSE)</f>
        <v>140</v>
      </c>
      <c r="E192" s="1"/>
      <c r="F192" s="2" t="s">
        <v>6</v>
      </c>
      <c r="G192" s="156">
        <v>30</v>
      </c>
      <c r="H192" s="11">
        <v>0.30599857004100001</v>
      </c>
      <c r="I192" s="10" t="s">
        <v>697</v>
      </c>
      <c r="J192" s="10" t="s">
        <v>774</v>
      </c>
      <c r="K192" s="10" t="s">
        <v>133</v>
      </c>
      <c r="L192" s="157">
        <v>2</v>
      </c>
      <c r="M192" s="1">
        <f>'State of the System - Sumter Co'!K192</f>
        <v>2</v>
      </c>
      <c r="N192" s="1" t="str">
        <f>IF('State of the System - Sumter Co'!L192="URBAN","U","R")</f>
        <v>U</v>
      </c>
      <c r="O192" s="1" t="str">
        <f>IF('State of the System - Sumter Co'!M192="UNDIVIDED","U",IF('State of the System - Sumter Co'!M192="DIVIDED","D","F"))</f>
        <v>U</v>
      </c>
      <c r="P192" s="1" t="str">
        <f>'State of the System - Sumter Co'!N192</f>
        <v>INTERRUPTED</v>
      </c>
      <c r="Q192" s="1" t="str">
        <f t="shared" si="234"/>
        <v/>
      </c>
      <c r="R192" s="1" t="str">
        <f>'State of the System - Sumter Co'!O192</f>
        <v/>
      </c>
      <c r="S192" s="1" t="str">
        <f t="shared" si="298"/>
        <v>-2</v>
      </c>
      <c r="T192" s="1" t="str">
        <f t="shared" si="236"/>
        <v>U-2U-2</v>
      </c>
      <c r="U192" s="1" t="str">
        <f t="shared" si="297"/>
        <v>U-2U-2</v>
      </c>
      <c r="V192" s="1" t="s">
        <v>10</v>
      </c>
      <c r="W192" s="1" t="s">
        <v>11</v>
      </c>
      <c r="X192" s="1" t="s">
        <v>12</v>
      </c>
      <c r="Y192" s="1" t="str">
        <f>'State of the System - Sumter Co'!R192</f>
        <v>D</v>
      </c>
      <c r="Z192" s="157" t="str">
        <f t="shared" si="237"/>
        <v>Other CMP Network Roadways</v>
      </c>
      <c r="AA192" s="15">
        <f>VLOOKUP($T192,'2020_CapacityTable'!$B$49:$F$71,2)</f>
        <v>0</v>
      </c>
      <c r="AB192" s="15">
        <f>VLOOKUP($T192,'2020_CapacityTable'!$B$49:$F$71,3)</f>
        <v>7300</v>
      </c>
      <c r="AC192" s="15">
        <f>VLOOKUP($T192,'2020_CapacityTable'!$B$49:$F$71,4)</f>
        <v>14800</v>
      </c>
      <c r="AD192" s="15">
        <f>VLOOKUP($T192,'2020_CapacityTable'!$B$49:$F$71,5)</f>
        <v>15600</v>
      </c>
      <c r="AE192" s="35">
        <f t="shared" si="288"/>
        <v>-0.1</v>
      </c>
      <c r="AF192" s="36" t="str">
        <f t="shared" si="238"/>
        <v/>
      </c>
      <c r="AG192" s="35"/>
      <c r="AH192" s="35" t="str">
        <f t="shared" si="296"/>
        <v/>
      </c>
      <c r="AI192" s="35"/>
      <c r="AJ192" s="36"/>
      <c r="AK192" s="15">
        <f t="shared" si="239"/>
        <v>0</v>
      </c>
      <c r="AL192" s="15">
        <f t="shared" si="240"/>
        <v>6570</v>
      </c>
      <c r="AM192" s="15">
        <f t="shared" si="241"/>
        <v>13320</v>
      </c>
      <c r="AN192" s="15">
        <f t="shared" si="242"/>
        <v>14040</v>
      </c>
      <c r="AO192" s="3">
        <f t="shared" si="289"/>
        <v>13320</v>
      </c>
      <c r="AP192" s="138">
        <f>VLOOKUP($B192,'2022 counts'!$B$6:$R$304,17,FALSE)</f>
        <v>5173</v>
      </c>
      <c r="AQ192" s="11">
        <f>IF(AND(AP192="-"),"",ROUND(AP192/AO192,2))</f>
        <v>0.39</v>
      </c>
      <c r="AR192" s="2" t="str">
        <f t="shared" ref="AR192" si="299">IF(AQ192="","",IF(AP192&lt;=$AK192,"B",IF(AP192&lt;=$AL192,"C",IF(AP192&lt;=$AM192,"D",IF(AP192&lt;=$AN192,"E","F")))))</f>
        <v>C</v>
      </c>
      <c r="AS192" s="26">
        <f>IF(AP192="-","",ROUND(AP192*H192*365/1000000,2))</f>
        <v>0.57999999999999996</v>
      </c>
      <c r="AT192" s="15">
        <f>VLOOKUP($T192,'2020_CapacityTable'!$B$23:$F$45,2)</f>
        <v>0</v>
      </c>
      <c r="AU192" s="15">
        <f>VLOOKUP($T192,'2020_CapacityTable'!$B$23:$F$45,3)</f>
        <v>370</v>
      </c>
      <c r="AV192" s="15">
        <f>VLOOKUP($T192,'2020_CapacityTable'!$B$23:$F$45,4)</f>
        <v>750</v>
      </c>
      <c r="AW192" s="15">
        <f>VLOOKUP($T192,'2020_CapacityTable'!$B$23:$F$45,5)</f>
        <v>800</v>
      </c>
      <c r="AX192" s="15">
        <f t="shared" si="246"/>
        <v>0</v>
      </c>
      <c r="AY192" s="15">
        <f t="shared" si="247"/>
        <v>333</v>
      </c>
      <c r="AZ192" s="15">
        <f t="shared" si="248"/>
        <v>675</v>
      </c>
      <c r="BA192" s="15">
        <f t="shared" si="249"/>
        <v>720</v>
      </c>
      <c r="BB192" s="3">
        <f t="shared" si="290"/>
        <v>675</v>
      </c>
      <c r="BC192" s="138">
        <f>VLOOKUP($B192,'2022 counts'!$B$6:$AD$304,28,FALSE)</f>
        <v>293</v>
      </c>
      <c r="BD192" s="138">
        <f>VLOOKUP($B192,'2022 counts'!$B$6:$AD$304,29,FALSE)</f>
        <v>256</v>
      </c>
      <c r="BE192" s="11">
        <f t="shared" si="250"/>
        <v>0.43</v>
      </c>
      <c r="BF192" s="2" t="str">
        <f t="shared" si="251"/>
        <v>C</v>
      </c>
      <c r="BG192" s="135">
        <v>0</v>
      </c>
      <c r="BH192" s="135">
        <f>IF($AQ192="","",VLOOKUP($B192, '2022 counts'!$B$6:$T$304,19,FALSE))</f>
        <v>0</v>
      </c>
      <c r="BI192" s="38">
        <f t="shared" si="252"/>
        <v>0.01</v>
      </c>
      <c r="BJ192" s="39" t="str">
        <f t="shared" si="253"/>
        <v>minimum</v>
      </c>
      <c r="BK192" s="15">
        <f>VLOOKUP($U192,'2020_CapacityTable'!$B$49:$F$71,2)</f>
        <v>0</v>
      </c>
      <c r="BL192" s="15">
        <f>VLOOKUP($U192,'2020_CapacityTable'!$B$49:$F$71,3)</f>
        <v>7300</v>
      </c>
      <c r="BM192" s="15">
        <f>VLOOKUP($T192,'2020_CapacityTable'!$B$49:$F$71,4)</f>
        <v>14800</v>
      </c>
      <c r="BN192" s="15">
        <f>VLOOKUP($T192,'2020_CapacityTable'!$B$49:$F$71,5)</f>
        <v>15600</v>
      </c>
      <c r="BO192" s="15">
        <f t="shared" si="254"/>
        <v>0</v>
      </c>
      <c r="BP192" s="15">
        <f t="shared" si="255"/>
        <v>6570</v>
      </c>
      <c r="BQ192" s="15">
        <f t="shared" si="256"/>
        <v>13320</v>
      </c>
      <c r="BR192" s="15">
        <f t="shared" si="257"/>
        <v>14040</v>
      </c>
      <c r="BS192" s="3">
        <f t="shared" si="291"/>
        <v>13320</v>
      </c>
      <c r="BT192" s="40">
        <f>'State of the System - Sumter Co'!AD192</f>
        <v>5437</v>
      </c>
      <c r="BU192" s="41">
        <f t="shared" si="258"/>
        <v>0.41</v>
      </c>
      <c r="BV192" s="2" t="str">
        <f t="shared" si="259"/>
        <v>C</v>
      </c>
      <c r="BW192" s="2">
        <f t="shared" si="260"/>
        <v>0.61</v>
      </c>
      <c r="BX192" s="15">
        <f>VLOOKUP($U192,'2020_CapacityTable'!$B$23:$F$45,2)</f>
        <v>0</v>
      </c>
      <c r="BY192" s="15">
        <f>VLOOKUP($U192,'2020_CapacityTable'!$B$23:$F$45,3)</f>
        <v>370</v>
      </c>
      <c r="BZ192" s="15">
        <f>VLOOKUP($U192,'2020_CapacityTable'!$B$23:$F$45,4)</f>
        <v>750</v>
      </c>
      <c r="CA192" s="15">
        <f>VLOOKUP($U192,'2020_CapacityTable'!$B$23:$F$45,5)</f>
        <v>800</v>
      </c>
      <c r="CB192" s="15">
        <f t="shared" si="261"/>
        <v>0</v>
      </c>
      <c r="CC192" s="15">
        <f t="shared" si="262"/>
        <v>333</v>
      </c>
      <c r="CD192" s="15">
        <f t="shared" si="263"/>
        <v>675</v>
      </c>
      <c r="CE192" s="15">
        <f t="shared" si="264"/>
        <v>720</v>
      </c>
      <c r="CF192" s="3">
        <f t="shared" si="292"/>
        <v>675</v>
      </c>
      <c r="CG192" s="2">
        <f>'State of the System - Sumter Co'!AH192</f>
        <v>308</v>
      </c>
      <c r="CH192" s="2">
        <f>'State of the System - Sumter Co'!AI192</f>
        <v>269</v>
      </c>
      <c r="CI192" s="11">
        <f t="shared" si="265"/>
        <v>0.46</v>
      </c>
      <c r="CJ192" s="2" t="str">
        <f t="shared" si="293"/>
        <v>C</v>
      </c>
      <c r="CK192" s="3">
        <f t="shared" si="266"/>
        <v>15163</v>
      </c>
      <c r="CL192" s="11">
        <f t="shared" si="267"/>
        <v>0.36</v>
      </c>
      <c r="CM192" s="11" t="str">
        <f t="shared" si="268"/>
        <v>NOT CONGESTED</v>
      </c>
      <c r="CN192" s="3">
        <f t="shared" si="269"/>
        <v>778</v>
      </c>
      <c r="CO192" s="11">
        <f t="shared" si="270"/>
        <v>0.4</v>
      </c>
      <c r="CP192" s="156" t="str">
        <f t="shared" si="294"/>
        <v>NOT CONGESTED</v>
      </c>
      <c r="CQ192" s="2"/>
      <c r="CR192" s="42"/>
      <c r="CS192" s="11" t="str">
        <f t="shared" si="271"/>
        <v/>
      </c>
      <c r="CT192" s="11" t="str">
        <f t="shared" si="295"/>
        <v/>
      </c>
      <c r="CU192" s="11" t="str">
        <f t="shared" si="272"/>
        <v/>
      </c>
      <c r="CV192" s="11" t="str">
        <f t="shared" si="273"/>
        <v/>
      </c>
      <c r="CW192" s="2"/>
      <c r="CX192" s="1"/>
      <c r="CY192" s="145" t="str">
        <f t="shared" si="274"/>
        <v/>
      </c>
      <c r="CZ192" s="32" t="str">
        <f t="shared" si="275"/>
        <v/>
      </c>
    </row>
    <row r="193" spans="1:104" ht="12.75" customHeight="1">
      <c r="A193" s="1">
        <v>6000125</v>
      </c>
      <c r="B193" s="1">
        <f t="shared" si="276"/>
        <v>139</v>
      </c>
      <c r="C193" s="1">
        <v>222</v>
      </c>
      <c r="D193" s="1">
        <f>VLOOKUP(C193,'2022 counts'!$A$6:$B$304,2,FALSE)</f>
        <v>139</v>
      </c>
      <c r="E193" s="1"/>
      <c r="F193" s="2" t="s">
        <v>6</v>
      </c>
      <c r="G193" s="156">
        <v>30</v>
      </c>
      <c r="H193" s="11">
        <v>0.36291701062300002</v>
      </c>
      <c r="I193" s="10" t="s">
        <v>697</v>
      </c>
      <c r="J193" s="10" t="s">
        <v>20</v>
      </c>
      <c r="K193" s="10" t="s">
        <v>8</v>
      </c>
      <c r="L193" s="157">
        <v>2</v>
      </c>
      <c r="M193" s="1">
        <f>'State of the System - Sumter Co'!K193</f>
        <v>2</v>
      </c>
      <c r="N193" s="1" t="str">
        <f>IF('State of the System - Sumter Co'!L193="URBAN","U","R")</f>
        <v>U</v>
      </c>
      <c r="O193" s="1" t="str">
        <f>IF('State of the System - Sumter Co'!M193="UNDIVIDED","U",IF('State of the System - Sumter Co'!M193="DIVIDED","D","F"))</f>
        <v>U</v>
      </c>
      <c r="P193" s="1" t="str">
        <f>'State of the System - Sumter Co'!N193</f>
        <v>INTERRUPTED</v>
      </c>
      <c r="Q193" s="1" t="str">
        <f t="shared" si="234"/>
        <v/>
      </c>
      <c r="R193" s="1" t="str">
        <f>'State of the System - Sumter Co'!O193</f>
        <v/>
      </c>
      <c r="S193" s="1" t="str">
        <f t="shared" si="298"/>
        <v>-2</v>
      </c>
      <c r="T193" s="1" t="str">
        <f t="shared" si="236"/>
        <v>U-2U-2</v>
      </c>
      <c r="U193" s="1" t="str">
        <f t="shared" si="297"/>
        <v>U-2U-2</v>
      </c>
      <c r="V193" s="1" t="s">
        <v>10</v>
      </c>
      <c r="W193" s="1" t="s">
        <v>11</v>
      </c>
      <c r="X193" s="1" t="s">
        <v>12</v>
      </c>
      <c r="Y193" s="1" t="str">
        <f>'State of the System - Sumter Co'!R193</f>
        <v>D</v>
      </c>
      <c r="Z193" s="157" t="str">
        <f t="shared" si="237"/>
        <v>Other CMP Network Roadways</v>
      </c>
      <c r="AA193" s="15">
        <f>VLOOKUP($T193,'2020_CapacityTable'!$B$49:$F$71,2)</f>
        <v>0</v>
      </c>
      <c r="AB193" s="15">
        <f>VLOOKUP($T193,'2020_CapacityTable'!$B$49:$F$71,3)</f>
        <v>7300</v>
      </c>
      <c r="AC193" s="15">
        <f>VLOOKUP($T193,'2020_CapacityTable'!$B$49:$F$71,4)</f>
        <v>14800</v>
      </c>
      <c r="AD193" s="15">
        <f>VLOOKUP($T193,'2020_CapacityTable'!$B$49:$F$71,5)</f>
        <v>15600</v>
      </c>
      <c r="AE193" s="35">
        <f t="shared" si="288"/>
        <v>-0.1</v>
      </c>
      <c r="AF193" s="36" t="str">
        <f t="shared" si="238"/>
        <v/>
      </c>
      <c r="AG193" s="35"/>
      <c r="AH193" s="35" t="str">
        <f t="shared" si="296"/>
        <v/>
      </c>
      <c r="AI193" s="35"/>
      <c r="AJ193" s="36"/>
      <c r="AK193" s="15">
        <f t="shared" si="239"/>
        <v>0</v>
      </c>
      <c r="AL193" s="15">
        <f t="shared" si="240"/>
        <v>6570</v>
      </c>
      <c r="AM193" s="15">
        <f t="shared" si="241"/>
        <v>13320</v>
      </c>
      <c r="AN193" s="15">
        <f t="shared" si="242"/>
        <v>14040</v>
      </c>
      <c r="AO193" s="3">
        <f t="shared" si="289"/>
        <v>13320</v>
      </c>
      <c r="AP193" s="138">
        <f>VLOOKUP($B193,'2022 counts'!$B$6:$R$304,17,FALSE)</f>
        <v>4669</v>
      </c>
      <c r="AQ193" s="11">
        <f t="shared" si="243"/>
        <v>0.35</v>
      </c>
      <c r="AR193" s="2" t="str">
        <f t="shared" si="244"/>
        <v>C</v>
      </c>
      <c r="AS193" s="26">
        <f t="shared" si="245"/>
        <v>0.62</v>
      </c>
      <c r="AT193" s="15">
        <f>VLOOKUP($T193,'2020_CapacityTable'!$B$23:$F$45,2)</f>
        <v>0</v>
      </c>
      <c r="AU193" s="15">
        <f>VLOOKUP($T193,'2020_CapacityTable'!$B$23:$F$45,3)</f>
        <v>370</v>
      </c>
      <c r="AV193" s="15">
        <f>VLOOKUP($T193,'2020_CapacityTable'!$B$23:$F$45,4)</f>
        <v>750</v>
      </c>
      <c r="AW193" s="15">
        <f>VLOOKUP($T193,'2020_CapacityTable'!$B$23:$F$45,5)</f>
        <v>800</v>
      </c>
      <c r="AX193" s="15">
        <f t="shared" si="246"/>
        <v>0</v>
      </c>
      <c r="AY193" s="15">
        <f t="shared" si="247"/>
        <v>333</v>
      </c>
      <c r="AZ193" s="15">
        <f t="shared" si="248"/>
        <v>675</v>
      </c>
      <c r="BA193" s="15">
        <f t="shared" si="249"/>
        <v>720</v>
      </c>
      <c r="BB193" s="3">
        <f t="shared" si="290"/>
        <v>675</v>
      </c>
      <c r="BC193" s="138">
        <f>VLOOKUP($B193,'2022 counts'!$B$6:$AD$304,28,FALSE)</f>
        <v>265</v>
      </c>
      <c r="BD193" s="138">
        <f>VLOOKUP($B193,'2022 counts'!$B$6:$AD$304,29,FALSE)</f>
        <v>268</v>
      </c>
      <c r="BE193" s="11">
        <f t="shared" si="250"/>
        <v>0.4</v>
      </c>
      <c r="BF193" s="2" t="str">
        <f t="shared" si="251"/>
        <v>C</v>
      </c>
      <c r="BG193" s="135">
        <v>0</v>
      </c>
      <c r="BH193" s="135">
        <f>IF($AQ193="","",VLOOKUP($B193, '2022 counts'!$B$6:$T$304,19,FALSE))</f>
        <v>0</v>
      </c>
      <c r="BI193" s="38">
        <f t="shared" si="252"/>
        <v>0.01</v>
      </c>
      <c r="BJ193" s="39" t="str">
        <f t="shared" si="253"/>
        <v>minimum</v>
      </c>
      <c r="BK193" s="15">
        <f>VLOOKUP($U193,'2020_CapacityTable'!$B$49:$F$71,2)</f>
        <v>0</v>
      </c>
      <c r="BL193" s="15">
        <f>VLOOKUP($U193,'2020_CapacityTable'!$B$49:$F$71,3)</f>
        <v>7300</v>
      </c>
      <c r="BM193" s="15">
        <f>VLOOKUP($T193,'2020_CapacityTable'!$B$49:$F$71,4)</f>
        <v>14800</v>
      </c>
      <c r="BN193" s="15">
        <f>VLOOKUP($T193,'2020_CapacityTable'!$B$49:$F$71,5)</f>
        <v>15600</v>
      </c>
      <c r="BO193" s="15">
        <f t="shared" si="254"/>
        <v>0</v>
      </c>
      <c r="BP193" s="15">
        <f t="shared" si="255"/>
        <v>6570</v>
      </c>
      <c r="BQ193" s="15">
        <f t="shared" si="256"/>
        <v>13320</v>
      </c>
      <c r="BR193" s="15">
        <f t="shared" si="257"/>
        <v>14040</v>
      </c>
      <c r="BS193" s="3">
        <f t="shared" si="291"/>
        <v>13320</v>
      </c>
      <c r="BT193" s="40">
        <f>'State of the System - Sumter Co'!AD193</f>
        <v>4907</v>
      </c>
      <c r="BU193" s="41">
        <f t="shared" si="258"/>
        <v>0.37</v>
      </c>
      <c r="BV193" s="2" t="str">
        <f t="shared" si="259"/>
        <v>C</v>
      </c>
      <c r="BW193" s="2">
        <f t="shared" si="260"/>
        <v>0.65</v>
      </c>
      <c r="BX193" s="15">
        <f>VLOOKUP($U193,'2020_CapacityTable'!$B$23:$F$45,2)</f>
        <v>0</v>
      </c>
      <c r="BY193" s="15">
        <f>VLOOKUP($U193,'2020_CapacityTable'!$B$23:$F$45,3)</f>
        <v>370</v>
      </c>
      <c r="BZ193" s="15">
        <f>VLOOKUP($U193,'2020_CapacityTable'!$B$23:$F$45,4)</f>
        <v>750</v>
      </c>
      <c r="CA193" s="15">
        <f>VLOOKUP($U193,'2020_CapacityTable'!$B$23:$F$45,5)</f>
        <v>800</v>
      </c>
      <c r="CB193" s="15">
        <f t="shared" si="261"/>
        <v>0</v>
      </c>
      <c r="CC193" s="15">
        <f t="shared" si="262"/>
        <v>333</v>
      </c>
      <c r="CD193" s="15">
        <f t="shared" si="263"/>
        <v>675</v>
      </c>
      <c r="CE193" s="15">
        <f t="shared" si="264"/>
        <v>720</v>
      </c>
      <c r="CF193" s="3">
        <f t="shared" si="292"/>
        <v>675</v>
      </c>
      <c r="CG193" s="2">
        <f>'State of the System - Sumter Co'!AH193</f>
        <v>279</v>
      </c>
      <c r="CH193" s="2">
        <f>'State of the System - Sumter Co'!AI193</f>
        <v>282</v>
      </c>
      <c r="CI193" s="11">
        <f t="shared" si="265"/>
        <v>0.42</v>
      </c>
      <c r="CJ193" s="2" t="str">
        <f t="shared" si="293"/>
        <v>C</v>
      </c>
      <c r="CK193" s="3">
        <f t="shared" si="266"/>
        <v>15163</v>
      </c>
      <c r="CL193" s="11">
        <f t="shared" si="267"/>
        <v>0.32</v>
      </c>
      <c r="CM193" s="11" t="str">
        <f t="shared" si="268"/>
        <v>NOT CONGESTED</v>
      </c>
      <c r="CN193" s="3">
        <f t="shared" si="269"/>
        <v>778</v>
      </c>
      <c r="CO193" s="11">
        <f t="shared" si="270"/>
        <v>0.36</v>
      </c>
      <c r="CP193" s="156" t="str">
        <f t="shared" si="294"/>
        <v>NOT CONGESTED</v>
      </c>
      <c r="CQ193" s="2"/>
      <c r="CR193" s="42"/>
      <c r="CS193" s="11" t="str">
        <f t="shared" si="271"/>
        <v/>
      </c>
      <c r="CT193" s="11" t="str">
        <f t="shared" si="295"/>
        <v/>
      </c>
      <c r="CU193" s="11" t="str">
        <f t="shared" si="272"/>
        <v/>
      </c>
      <c r="CV193" s="11" t="str">
        <f t="shared" si="273"/>
        <v/>
      </c>
      <c r="CW193" s="2"/>
      <c r="CX193" s="1"/>
      <c r="CY193" s="145" t="str">
        <f t="shared" si="274"/>
        <v/>
      </c>
      <c r="CZ193" s="32" t="str">
        <f t="shared" si="275"/>
        <v/>
      </c>
    </row>
    <row r="194" spans="1:104" s="9" customFormat="1" ht="12.75" customHeight="1">
      <c r="A194" s="1">
        <v>6000130</v>
      </c>
      <c r="B194" s="1">
        <f t="shared" si="276"/>
        <v>180</v>
      </c>
      <c r="C194" s="1">
        <v>264</v>
      </c>
      <c r="D194" s="1">
        <f>VLOOKUP(C194,'2022 counts'!$A$6:$B$304,2,FALSE)</f>
        <v>180</v>
      </c>
      <c r="E194" s="1"/>
      <c r="F194" s="2" t="s">
        <v>6</v>
      </c>
      <c r="G194" s="156">
        <v>20</v>
      </c>
      <c r="H194" s="11">
        <v>0.38973901000200001</v>
      </c>
      <c r="I194" s="10" t="s">
        <v>102</v>
      </c>
      <c r="J194" s="10" t="s">
        <v>20</v>
      </c>
      <c r="K194" s="10" t="s">
        <v>55</v>
      </c>
      <c r="L194" s="157">
        <v>4</v>
      </c>
      <c r="M194" s="1">
        <f>'State of the System - Sumter Co'!K194</f>
        <v>4</v>
      </c>
      <c r="N194" s="1" t="str">
        <f>IF('State of the System - Sumter Co'!L194="URBAN","U","R")</f>
        <v>U</v>
      </c>
      <c r="O194" s="1" t="str">
        <f>IF('State of the System - Sumter Co'!M194="UNDIVIDED","U",IF('State of the System - Sumter Co'!M194="DIVIDED","D","F"))</f>
        <v>D</v>
      </c>
      <c r="P194" s="1" t="str">
        <f>'State of the System - Sumter Co'!N194</f>
        <v>INTERRUPTED</v>
      </c>
      <c r="Q194" s="1" t="str">
        <f t="shared" si="234"/>
        <v/>
      </c>
      <c r="R194" s="1" t="str">
        <f>'State of the System - Sumter Co'!O194</f>
        <v/>
      </c>
      <c r="S194" s="1" t="str">
        <f t="shared" si="298"/>
        <v>-2</v>
      </c>
      <c r="T194" s="1" t="str">
        <f t="shared" si="236"/>
        <v>U-4D-2</v>
      </c>
      <c r="U194" s="1" t="str">
        <f t="shared" si="297"/>
        <v>U-4D-2</v>
      </c>
      <c r="V194" s="1" t="s">
        <v>10</v>
      </c>
      <c r="W194" s="1" t="s">
        <v>11</v>
      </c>
      <c r="X194" s="1" t="s">
        <v>12</v>
      </c>
      <c r="Y194" s="1" t="str">
        <f>'State of the System - Sumter Co'!R194</f>
        <v>D</v>
      </c>
      <c r="Z194" s="157" t="str">
        <f t="shared" si="237"/>
        <v>Other CMP Network Roadways</v>
      </c>
      <c r="AA194" s="15">
        <f>VLOOKUP($T194,'2020_CapacityTable'!$B$49:$F$71,2)</f>
        <v>0</v>
      </c>
      <c r="AB194" s="15">
        <f>VLOOKUP($T194,'2020_CapacityTable'!$B$49:$F$71,3)</f>
        <v>14500</v>
      </c>
      <c r="AC194" s="15">
        <f>VLOOKUP($T194,'2020_CapacityTable'!$B$49:$F$71,4)</f>
        <v>32400</v>
      </c>
      <c r="AD194" s="15">
        <f>VLOOKUP($T194,'2020_CapacityTable'!$B$49:$F$71,5)</f>
        <v>33800</v>
      </c>
      <c r="AE194" s="35">
        <f t="shared" si="288"/>
        <v>-0.1</v>
      </c>
      <c r="AF194" s="36" t="str">
        <f t="shared" si="238"/>
        <v/>
      </c>
      <c r="AG194" s="35" t="str">
        <f>IF(AND(L194=2,P194="interrupted",O194="U"),"LOOK","")</f>
        <v/>
      </c>
      <c r="AH194" s="35" t="str">
        <f>IF(O194="U",IF(#REF!&gt;2,"LOOK",""),"")</f>
        <v/>
      </c>
      <c r="AI194" s="35"/>
      <c r="AJ194" s="36"/>
      <c r="AK194" s="15">
        <f t="shared" si="239"/>
        <v>0</v>
      </c>
      <c r="AL194" s="15">
        <f t="shared" si="240"/>
        <v>13050</v>
      </c>
      <c r="AM194" s="15">
        <f t="shared" si="241"/>
        <v>29160</v>
      </c>
      <c r="AN194" s="15">
        <f t="shared" si="242"/>
        <v>30420</v>
      </c>
      <c r="AO194" s="3">
        <f t="shared" si="289"/>
        <v>29160</v>
      </c>
      <c r="AP194" s="138">
        <f>VLOOKUP($B194,'2022 counts'!$B$6:$R$304,17,FALSE)</f>
        <v>10488</v>
      </c>
      <c r="AQ194" s="11">
        <f t="shared" si="243"/>
        <v>0.36</v>
      </c>
      <c r="AR194" s="2" t="str">
        <f t="shared" si="244"/>
        <v>C</v>
      </c>
      <c r="AS194" s="26">
        <f t="shared" si="245"/>
        <v>1.49</v>
      </c>
      <c r="AT194" s="15">
        <f>VLOOKUP($T194,'2020_CapacityTable'!$B$23:$F$45,2)</f>
        <v>0</v>
      </c>
      <c r="AU194" s="15">
        <f>VLOOKUP($T194,'2020_CapacityTable'!$B$23:$F$45,3)</f>
        <v>730</v>
      </c>
      <c r="AV194" s="15">
        <f>VLOOKUP($T194,'2020_CapacityTable'!$B$23:$F$45,4)</f>
        <v>1630</v>
      </c>
      <c r="AW194" s="15">
        <f>VLOOKUP($T194,'2020_CapacityTable'!$B$23:$F$45,5)</f>
        <v>1700</v>
      </c>
      <c r="AX194" s="15">
        <f t="shared" si="246"/>
        <v>0</v>
      </c>
      <c r="AY194" s="15">
        <f t="shared" si="247"/>
        <v>657</v>
      </c>
      <c r="AZ194" s="15">
        <f t="shared" si="248"/>
        <v>1467</v>
      </c>
      <c r="BA194" s="15">
        <f t="shared" si="249"/>
        <v>1530</v>
      </c>
      <c r="BB194" s="3">
        <f t="shared" si="290"/>
        <v>1467</v>
      </c>
      <c r="BC194" s="138">
        <f>VLOOKUP($B194,'2022 counts'!$B$6:$AD$304,28,FALSE)</f>
        <v>459</v>
      </c>
      <c r="BD194" s="138">
        <f>VLOOKUP($B194,'2022 counts'!$B$6:$AD$304,29,FALSE)</f>
        <v>539</v>
      </c>
      <c r="BE194" s="11">
        <f t="shared" si="250"/>
        <v>0.37</v>
      </c>
      <c r="BF194" s="2" t="str">
        <f t="shared" si="251"/>
        <v>C</v>
      </c>
      <c r="BG194" s="135">
        <v>0</v>
      </c>
      <c r="BH194" s="135">
        <f>IF($AQ194="","",VLOOKUP($B194, '2022 counts'!$B$6:$T$304,19,FALSE))</f>
        <v>0</v>
      </c>
      <c r="BI194" s="38">
        <f t="shared" si="252"/>
        <v>0.01</v>
      </c>
      <c r="BJ194" s="39" t="str">
        <f t="shared" si="253"/>
        <v>minimum</v>
      </c>
      <c r="BK194" s="15">
        <f>VLOOKUP($U194,'2020_CapacityTable'!$B$49:$F$71,2)</f>
        <v>0</v>
      </c>
      <c r="BL194" s="15">
        <f>VLOOKUP($U194,'2020_CapacityTable'!$B$49:$F$71,3)</f>
        <v>14500</v>
      </c>
      <c r="BM194" s="15">
        <f>VLOOKUP($T194,'2020_CapacityTable'!$B$49:$F$71,4)</f>
        <v>32400</v>
      </c>
      <c r="BN194" s="15">
        <f>VLOOKUP($T194,'2020_CapacityTable'!$B$49:$F$71,5)</f>
        <v>33800</v>
      </c>
      <c r="BO194" s="15">
        <f t="shared" si="254"/>
        <v>0</v>
      </c>
      <c r="BP194" s="15">
        <f t="shared" si="255"/>
        <v>13050</v>
      </c>
      <c r="BQ194" s="15">
        <f t="shared" si="256"/>
        <v>29160</v>
      </c>
      <c r="BR194" s="15">
        <f t="shared" si="257"/>
        <v>30420</v>
      </c>
      <c r="BS194" s="3">
        <f t="shared" si="291"/>
        <v>29160</v>
      </c>
      <c r="BT194" s="40">
        <f>'State of the System - Sumter Co'!AD194</f>
        <v>11023</v>
      </c>
      <c r="BU194" s="41">
        <f t="shared" si="258"/>
        <v>0.38</v>
      </c>
      <c r="BV194" s="2" t="str">
        <f t="shared" si="259"/>
        <v>C</v>
      </c>
      <c r="BW194" s="2">
        <f t="shared" si="260"/>
        <v>1.57</v>
      </c>
      <c r="BX194" s="15">
        <f>VLOOKUP($U194,'2020_CapacityTable'!$B$23:$F$45,2)</f>
        <v>0</v>
      </c>
      <c r="BY194" s="15">
        <f>VLOOKUP($U194,'2020_CapacityTable'!$B$23:$F$45,3)</f>
        <v>730</v>
      </c>
      <c r="BZ194" s="15">
        <f>VLOOKUP($U194,'2020_CapacityTable'!$B$23:$F$45,4)</f>
        <v>1630</v>
      </c>
      <c r="CA194" s="15">
        <f>VLOOKUP($U194,'2020_CapacityTable'!$B$23:$F$45,5)</f>
        <v>1700</v>
      </c>
      <c r="CB194" s="15">
        <f t="shared" si="261"/>
        <v>0</v>
      </c>
      <c r="CC194" s="15">
        <f t="shared" si="262"/>
        <v>657</v>
      </c>
      <c r="CD194" s="15">
        <f t="shared" si="263"/>
        <v>1467</v>
      </c>
      <c r="CE194" s="15">
        <f t="shared" si="264"/>
        <v>1530</v>
      </c>
      <c r="CF194" s="3">
        <f t="shared" si="292"/>
        <v>1467</v>
      </c>
      <c r="CG194" s="2">
        <f>'State of the System - Sumter Co'!AH194</f>
        <v>482</v>
      </c>
      <c r="CH194" s="2">
        <f>'State of the System - Sumter Co'!AI194</f>
        <v>566</v>
      </c>
      <c r="CI194" s="11">
        <f t="shared" si="265"/>
        <v>0.39</v>
      </c>
      <c r="CJ194" s="2" t="str">
        <f t="shared" si="293"/>
        <v>C</v>
      </c>
      <c r="CK194" s="3">
        <f t="shared" si="266"/>
        <v>32854</v>
      </c>
      <c r="CL194" s="11">
        <f t="shared" si="267"/>
        <v>0.34</v>
      </c>
      <c r="CM194" s="11" t="str">
        <f t="shared" si="268"/>
        <v>NOT CONGESTED</v>
      </c>
      <c r="CN194" s="3">
        <f t="shared" si="269"/>
        <v>1652</v>
      </c>
      <c r="CO194" s="11">
        <f t="shared" si="270"/>
        <v>0.34</v>
      </c>
      <c r="CP194" s="156" t="str">
        <f t="shared" si="294"/>
        <v>NOT CONGESTED</v>
      </c>
      <c r="CQ194" s="2"/>
      <c r="CR194" s="42"/>
      <c r="CS194" s="11" t="str">
        <f t="shared" si="271"/>
        <v/>
      </c>
      <c r="CT194" s="11" t="str">
        <f t="shared" si="295"/>
        <v/>
      </c>
      <c r="CU194" s="11" t="str">
        <f t="shared" si="272"/>
        <v/>
      </c>
      <c r="CV194" s="11" t="str">
        <f t="shared" si="273"/>
        <v/>
      </c>
      <c r="CW194" s="2"/>
      <c r="CX194" s="1"/>
      <c r="CY194" s="145" t="str">
        <f t="shared" si="274"/>
        <v/>
      </c>
      <c r="CZ194" s="32" t="str">
        <f t="shared" si="275"/>
        <v/>
      </c>
    </row>
    <row r="195" spans="1:104" s="9" customFormat="1" ht="12.75" customHeight="1">
      <c r="A195" s="1">
        <v>6000135</v>
      </c>
      <c r="B195" s="1">
        <f t="shared" si="276"/>
        <v>179</v>
      </c>
      <c r="C195" s="1">
        <v>261</v>
      </c>
      <c r="D195" s="1">
        <f>VLOOKUP(C195,'2022 counts'!$A$6:$B$304,2,FALSE)</f>
        <v>179</v>
      </c>
      <c r="E195" s="1"/>
      <c r="F195" s="2" t="s">
        <v>6</v>
      </c>
      <c r="G195" s="156">
        <v>35</v>
      </c>
      <c r="H195" s="11">
        <v>0.350440359029</v>
      </c>
      <c r="I195" s="10" t="s">
        <v>102</v>
      </c>
      <c r="J195" s="10" t="s">
        <v>18</v>
      </c>
      <c r="K195" s="10" t="s">
        <v>20</v>
      </c>
      <c r="L195" s="157">
        <v>4</v>
      </c>
      <c r="M195" s="1">
        <f>'State of the System - Sumter Co'!K195</f>
        <v>4</v>
      </c>
      <c r="N195" s="1" t="str">
        <f>IF('State of the System - Sumter Co'!L195="URBAN","U","R")</f>
        <v>U</v>
      </c>
      <c r="O195" s="1" t="str">
        <f>IF('State of the System - Sumter Co'!M195="UNDIVIDED","U",IF('State of the System - Sumter Co'!M195="DIVIDED","D","F"))</f>
        <v>D</v>
      </c>
      <c r="P195" s="1" t="str">
        <f>'State of the System - Sumter Co'!N195</f>
        <v>INTERRUPTED</v>
      </c>
      <c r="Q195" s="1" t="str">
        <f t="shared" si="234"/>
        <v/>
      </c>
      <c r="R195" s="1" t="str">
        <f>'State of the System - Sumter Co'!O195</f>
        <v/>
      </c>
      <c r="S195" s="1" t="str">
        <f t="shared" si="298"/>
        <v>-2</v>
      </c>
      <c r="T195" s="1" t="str">
        <f t="shared" si="236"/>
        <v>U-4D-2</v>
      </c>
      <c r="U195" s="1" t="str">
        <f t="shared" si="297"/>
        <v>U-4D-2</v>
      </c>
      <c r="V195" s="1" t="s">
        <v>10</v>
      </c>
      <c r="W195" s="1" t="s">
        <v>11</v>
      </c>
      <c r="X195" s="1" t="s">
        <v>12</v>
      </c>
      <c r="Y195" s="1" t="str">
        <f>'State of the System - Sumter Co'!R195</f>
        <v>D</v>
      </c>
      <c r="Z195" s="157" t="str">
        <f t="shared" si="237"/>
        <v>Other CMP Network Roadways</v>
      </c>
      <c r="AA195" s="15">
        <f>VLOOKUP($T195,'2020_CapacityTable'!$B$49:$F$71,2)</f>
        <v>0</v>
      </c>
      <c r="AB195" s="15">
        <f>VLOOKUP($T195,'2020_CapacityTable'!$B$49:$F$71,3)</f>
        <v>14500</v>
      </c>
      <c r="AC195" s="15">
        <f>VLOOKUP($T195,'2020_CapacityTable'!$B$49:$F$71,4)</f>
        <v>32400</v>
      </c>
      <c r="AD195" s="15">
        <f>VLOOKUP($T195,'2020_CapacityTable'!$B$49:$F$71,5)</f>
        <v>33800</v>
      </c>
      <c r="AE195" s="35">
        <f t="shared" si="288"/>
        <v>-0.1</v>
      </c>
      <c r="AF195" s="36" t="str">
        <f t="shared" si="238"/>
        <v/>
      </c>
      <c r="AG195" s="35" t="str">
        <f>IF(AND(L195=2,P195="interrupted",O195="U"),"LOOK","")</f>
        <v/>
      </c>
      <c r="AH195" s="35" t="str">
        <f>IF(O195="U",IF(#REF!&gt;2,"LOOK",""),"")</f>
        <v/>
      </c>
      <c r="AI195" s="35"/>
      <c r="AJ195" s="36"/>
      <c r="AK195" s="15">
        <f t="shared" si="239"/>
        <v>0</v>
      </c>
      <c r="AL195" s="15">
        <f t="shared" si="240"/>
        <v>13050</v>
      </c>
      <c r="AM195" s="15">
        <f t="shared" si="241"/>
        <v>29160</v>
      </c>
      <c r="AN195" s="15">
        <f t="shared" si="242"/>
        <v>30420</v>
      </c>
      <c r="AO195" s="3">
        <f t="shared" si="289"/>
        <v>29160</v>
      </c>
      <c r="AP195" s="138">
        <f>VLOOKUP($B195,'2022 counts'!$B$6:$R$304,17,FALSE)</f>
        <v>10322</v>
      </c>
      <c r="AQ195" s="11">
        <f t="shared" si="243"/>
        <v>0.35</v>
      </c>
      <c r="AR195" s="2" t="str">
        <f t="shared" si="244"/>
        <v>C</v>
      </c>
      <c r="AS195" s="26">
        <f t="shared" si="245"/>
        <v>1.32</v>
      </c>
      <c r="AT195" s="15">
        <f>VLOOKUP($T195,'2020_CapacityTable'!$B$23:$F$45,2)</f>
        <v>0</v>
      </c>
      <c r="AU195" s="15">
        <f>VLOOKUP($T195,'2020_CapacityTable'!$B$23:$F$45,3)</f>
        <v>730</v>
      </c>
      <c r="AV195" s="15">
        <f>VLOOKUP($T195,'2020_CapacityTable'!$B$23:$F$45,4)</f>
        <v>1630</v>
      </c>
      <c r="AW195" s="15">
        <f>VLOOKUP($T195,'2020_CapacityTable'!$B$23:$F$45,5)</f>
        <v>1700</v>
      </c>
      <c r="AX195" s="15">
        <f t="shared" si="246"/>
        <v>0</v>
      </c>
      <c r="AY195" s="15">
        <f t="shared" si="247"/>
        <v>657</v>
      </c>
      <c r="AZ195" s="15">
        <f t="shared" si="248"/>
        <v>1467</v>
      </c>
      <c r="BA195" s="15">
        <f t="shared" si="249"/>
        <v>1530</v>
      </c>
      <c r="BB195" s="3">
        <f t="shared" si="290"/>
        <v>1467</v>
      </c>
      <c r="BC195" s="138">
        <f>VLOOKUP($B195,'2022 counts'!$B$6:$AD$304,28,FALSE)</f>
        <v>459</v>
      </c>
      <c r="BD195" s="138">
        <f>VLOOKUP($B195,'2022 counts'!$B$6:$AD$304,29,FALSE)</f>
        <v>516</v>
      </c>
      <c r="BE195" s="11">
        <f t="shared" si="250"/>
        <v>0.35</v>
      </c>
      <c r="BF195" s="2" t="str">
        <f t="shared" si="251"/>
        <v>C</v>
      </c>
      <c r="BG195" s="135">
        <v>0</v>
      </c>
      <c r="BH195" s="135">
        <f>IF($AQ195="","",VLOOKUP($B195, '2022 counts'!$B$6:$T$304,19,FALSE))</f>
        <v>0</v>
      </c>
      <c r="BI195" s="38">
        <f t="shared" si="252"/>
        <v>0.01</v>
      </c>
      <c r="BJ195" s="39" t="str">
        <f t="shared" si="253"/>
        <v>minimum</v>
      </c>
      <c r="BK195" s="15">
        <f>VLOOKUP($U195,'2020_CapacityTable'!$B$49:$F$71,2)</f>
        <v>0</v>
      </c>
      <c r="BL195" s="15">
        <f>VLOOKUP($U195,'2020_CapacityTable'!$B$49:$F$71,3)</f>
        <v>14500</v>
      </c>
      <c r="BM195" s="15">
        <f>VLOOKUP($T195,'2020_CapacityTable'!$B$49:$F$71,4)</f>
        <v>32400</v>
      </c>
      <c r="BN195" s="15">
        <f>VLOOKUP($T195,'2020_CapacityTable'!$B$49:$F$71,5)</f>
        <v>33800</v>
      </c>
      <c r="BO195" s="15">
        <f t="shared" si="254"/>
        <v>0</v>
      </c>
      <c r="BP195" s="15">
        <f t="shared" si="255"/>
        <v>13050</v>
      </c>
      <c r="BQ195" s="15">
        <f t="shared" si="256"/>
        <v>29160</v>
      </c>
      <c r="BR195" s="15">
        <f t="shared" si="257"/>
        <v>30420</v>
      </c>
      <c r="BS195" s="3">
        <f t="shared" si="291"/>
        <v>29160</v>
      </c>
      <c r="BT195" s="40">
        <f>'State of the System - Sumter Co'!AD195</f>
        <v>10849</v>
      </c>
      <c r="BU195" s="41">
        <f t="shared" si="258"/>
        <v>0.37</v>
      </c>
      <c r="BV195" s="2" t="str">
        <f t="shared" si="259"/>
        <v>C</v>
      </c>
      <c r="BW195" s="2">
        <f t="shared" si="260"/>
        <v>1.39</v>
      </c>
      <c r="BX195" s="15">
        <f>VLOOKUP($U195,'2020_CapacityTable'!$B$23:$F$45,2)</f>
        <v>0</v>
      </c>
      <c r="BY195" s="15">
        <f>VLOOKUP($U195,'2020_CapacityTable'!$B$23:$F$45,3)</f>
        <v>730</v>
      </c>
      <c r="BZ195" s="15">
        <f>VLOOKUP($U195,'2020_CapacityTable'!$B$23:$F$45,4)</f>
        <v>1630</v>
      </c>
      <c r="CA195" s="15">
        <f>VLOOKUP($U195,'2020_CapacityTable'!$B$23:$F$45,5)</f>
        <v>1700</v>
      </c>
      <c r="CB195" s="15">
        <f t="shared" si="261"/>
        <v>0</v>
      </c>
      <c r="CC195" s="15">
        <f t="shared" si="262"/>
        <v>657</v>
      </c>
      <c r="CD195" s="15">
        <f t="shared" si="263"/>
        <v>1467</v>
      </c>
      <c r="CE195" s="15">
        <f t="shared" si="264"/>
        <v>1530</v>
      </c>
      <c r="CF195" s="3">
        <f t="shared" si="292"/>
        <v>1467</v>
      </c>
      <c r="CG195" s="2">
        <f>'State of the System - Sumter Co'!AH195</f>
        <v>482</v>
      </c>
      <c r="CH195" s="2">
        <f>'State of the System - Sumter Co'!AI195</f>
        <v>542</v>
      </c>
      <c r="CI195" s="11">
        <f t="shared" si="265"/>
        <v>0.37</v>
      </c>
      <c r="CJ195" s="2" t="str">
        <f t="shared" si="293"/>
        <v>C</v>
      </c>
      <c r="CK195" s="3">
        <f t="shared" si="266"/>
        <v>32854</v>
      </c>
      <c r="CL195" s="11">
        <f t="shared" si="267"/>
        <v>0.33</v>
      </c>
      <c r="CM195" s="11" t="str">
        <f t="shared" si="268"/>
        <v>NOT CONGESTED</v>
      </c>
      <c r="CN195" s="3">
        <f t="shared" si="269"/>
        <v>1652</v>
      </c>
      <c r="CO195" s="11">
        <f t="shared" si="270"/>
        <v>0.33</v>
      </c>
      <c r="CP195" s="156" t="str">
        <f t="shared" si="294"/>
        <v>NOT CONGESTED</v>
      </c>
      <c r="CQ195" s="2"/>
      <c r="CR195" s="42"/>
      <c r="CS195" s="11" t="str">
        <f t="shared" si="271"/>
        <v/>
      </c>
      <c r="CT195" s="11" t="str">
        <f t="shared" si="295"/>
        <v/>
      </c>
      <c r="CU195" s="11" t="str">
        <f t="shared" si="272"/>
        <v/>
      </c>
      <c r="CV195" s="11" t="str">
        <f t="shared" si="273"/>
        <v/>
      </c>
      <c r="CW195" s="2"/>
      <c r="CX195" s="1"/>
      <c r="CY195" s="145" t="str">
        <f t="shared" si="274"/>
        <v/>
      </c>
      <c r="CZ195" s="32" t="str">
        <f t="shared" si="275"/>
        <v/>
      </c>
    </row>
    <row r="196" spans="1:104" s="9" customFormat="1" ht="12.75" customHeight="1">
      <c r="A196" s="1">
        <v>6000145</v>
      </c>
      <c r="B196" s="1">
        <f t="shared" si="276"/>
        <v>98</v>
      </c>
      <c r="C196" s="1">
        <v>454</v>
      </c>
      <c r="D196" s="1">
        <f>VLOOKUP(C196,'2022 counts'!$A$6:$B$304,2,FALSE)</f>
        <v>98</v>
      </c>
      <c r="E196" s="1"/>
      <c r="F196" s="2" t="s">
        <v>6</v>
      </c>
      <c r="G196" s="156">
        <v>35</v>
      </c>
      <c r="H196" s="11">
        <v>0.51403687034099999</v>
      </c>
      <c r="I196" s="10" t="s">
        <v>694</v>
      </c>
      <c r="J196" s="10" t="s">
        <v>23</v>
      </c>
      <c r="K196" s="10" t="s">
        <v>712</v>
      </c>
      <c r="L196" s="157">
        <v>4</v>
      </c>
      <c r="M196" s="1">
        <f>'State of the System - Sumter Co'!K196</f>
        <v>4</v>
      </c>
      <c r="N196" s="1" t="str">
        <f>IF('State of the System - Sumter Co'!L196="URBAN","U","R")</f>
        <v>U</v>
      </c>
      <c r="O196" s="1" t="str">
        <f>IF('State of the System - Sumter Co'!M196="UNDIVIDED","U",IF('State of the System - Sumter Co'!M196="DIVIDED","D","F"))</f>
        <v>D</v>
      </c>
      <c r="P196" s="1" t="str">
        <f>'State of the System - Sumter Co'!N196</f>
        <v>INTERRUPTED</v>
      </c>
      <c r="Q196" s="1" t="str">
        <f t="shared" ref="Q196:Q260" si="300">IF(AND(N196="R",O196="U",P196="interrupted"),"x",IF(AND(N196="R",R196="undeveloped"),"z",IF(AND(N196="R",R196="developed"),"y","")))</f>
        <v/>
      </c>
      <c r="R196" s="1" t="str">
        <f>'State of the System - Sumter Co'!O196</f>
        <v/>
      </c>
      <c r="S196" s="1" t="str">
        <f t="shared" si="298"/>
        <v>-2</v>
      </c>
      <c r="T196" s="1" t="str">
        <f t="shared" ref="T196:T260" si="301">CONCATENATE(N196,"-",L196,O196,S196,Q196)</f>
        <v>U-4D-2</v>
      </c>
      <c r="U196" s="1" t="str">
        <f t="shared" si="297"/>
        <v>U-4D-2</v>
      </c>
      <c r="V196" s="1" t="s">
        <v>10</v>
      </c>
      <c r="W196" s="1" t="s">
        <v>25</v>
      </c>
      <c r="X196" s="1" t="s">
        <v>21</v>
      </c>
      <c r="Y196" s="1" t="str">
        <f>'State of the System - Sumter Co'!R196</f>
        <v>D</v>
      </c>
      <c r="Z196" s="157" t="str">
        <f t="shared" ref="Z196:Z260" si="302">IF(AND(V196="STATE",X196="FREEWAY"),"NHS Interstate",IF(V196="STATE","NHS Non-Interstate","Other CMP Network Roadways"))</f>
        <v>Other CMP Network Roadways</v>
      </c>
      <c r="AA196" s="15">
        <f>VLOOKUP($T196,'2020_CapacityTable'!$B$49:$F$71,2)</f>
        <v>0</v>
      </c>
      <c r="AB196" s="15">
        <f>VLOOKUP($T196,'2020_CapacityTable'!$B$49:$F$71,3)</f>
        <v>14500</v>
      </c>
      <c r="AC196" s="15">
        <f>VLOOKUP($T196,'2020_CapacityTable'!$B$49:$F$71,4)</f>
        <v>32400</v>
      </c>
      <c r="AD196" s="15">
        <f>VLOOKUP($T196,'2020_CapacityTable'!$B$49:$F$71,5)</f>
        <v>33800</v>
      </c>
      <c r="AE196" s="35">
        <f t="shared" si="288"/>
        <v>-0.1</v>
      </c>
      <c r="AF196" s="36" t="str">
        <f t="shared" ref="AF196:AF260" si="303">IF($L196=2,IF($O196="D",5%,""),"")</f>
        <v/>
      </c>
      <c r="AG196" s="35" t="str">
        <f>IF(AND(L196=2,P196="interrupted",O196="U"),"LOOK","")</f>
        <v/>
      </c>
      <c r="AH196" s="35" t="str">
        <f>IF(O196="U",IF(#REF!&gt;2,"LOOK",""),"")</f>
        <v/>
      </c>
      <c r="AI196" s="35"/>
      <c r="AJ196" s="36">
        <v>0.05</v>
      </c>
      <c r="AK196" s="15">
        <f t="shared" ref="AK196:AK260" si="304">ROUND(AA196*(1+SUM($AE196:$AJ196)),0)</f>
        <v>0</v>
      </c>
      <c r="AL196" s="15">
        <f t="shared" ref="AL196:AL260" si="305">ROUND(AB196*(1+SUM($AE196:$AJ196)),0)</f>
        <v>13775</v>
      </c>
      <c r="AM196" s="15">
        <f t="shared" ref="AM196:AM260" si="306">ROUND(AC196*(1+SUM($AE196:$AJ196)),0)</f>
        <v>30780</v>
      </c>
      <c r="AN196" s="15">
        <f t="shared" ref="AN196:AN260" si="307">ROUND(AD196*(1+SUM($AE196:$AJ196)),0)</f>
        <v>32110</v>
      </c>
      <c r="AO196" s="3">
        <f t="shared" si="289"/>
        <v>30780</v>
      </c>
      <c r="AP196" s="138">
        <f>VLOOKUP($B196,'2022 counts'!$B$6:$R$304,17,FALSE)</f>
        <v>12446</v>
      </c>
      <c r="AQ196" s="11">
        <f t="shared" ref="AQ196:AQ260" si="308">IF(AND(AP196="-"),"",ROUND(AP196/AO196,2))</f>
        <v>0.4</v>
      </c>
      <c r="AR196" s="2" t="str">
        <f t="shared" ref="AR196:AR260" si="309">IF(AQ196="","",IF(AP196&lt;=$AK196,"B",IF(AP196&lt;=$AL196,"C",IF(AP196&lt;=$AM196,"D",IF(AP196&lt;=$AN196,"E","F")))))</f>
        <v>C</v>
      </c>
      <c r="AS196" s="26">
        <f t="shared" ref="AS196:AS260" si="310">IF(AP196="-","",ROUND(AP196*H196*365/1000000,2))</f>
        <v>2.34</v>
      </c>
      <c r="AT196" s="15">
        <f>VLOOKUP($T196,'2020_CapacityTable'!$B$23:$F$45,2)</f>
        <v>0</v>
      </c>
      <c r="AU196" s="15">
        <f>VLOOKUP($T196,'2020_CapacityTable'!$B$23:$F$45,3)</f>
        <v>730</v>
      </c>
      <c r="AV196" s="15">
        <f>VLOOKUP($T196,'2020_CapacityTable'!$B$23:$F$45,4)</f>
        <v>1630</v>
      </c>
      <c r="AW196" s="15">
        <f>VLOOKUP($T196,'2020_CapacityTable'!$B$23:$F$45,5)</f>
        <v>1700</v>
      </c>
      <c r="AX196" s="15">
        <f t="shared" ref="AX196:AX260" si="311">ROUND(AT196*(1+SUM($AE196:$AJ196)),0)</f>
        <v>0</v>
      </c>
      <c r="AY196" s="15">
        <f t="shared" ref="AY196:AY260" si="312">ROUND(AU196*(1+SUM($AE196:$AJ196)),0)</f>
        <v>694</v>
      </c>
      <c r="AZ196" s="15">
        <f t="shared" ref="AZ196:AZ260" si="313">ROUND(AV196*(1+SUM($AE196:$AJ196)),0)</f>
        <v>1549</v>
      </c>
      <c r="BA196" s="15">
        <f t="shared" ref="BA196:BA260" si="314">ROUND(AW196*(1+SUM($AE196:$AJ196)),0)</f>
        <v>1615</v>
      </c>
      <c r="BB196" s="3">
        <f t="shared" si="290"/>
        <v>1549</v>
      </c>
      <c r="BC196" s="138">
        <f>VLOOKUP($B196,'2022 counts'!$B$6:$AD$304,28,FALSE)</f>
        <v>482</v>
      </c>
      <c r="BD196" s="138">
        <f>VLOOKUP($B196,'2022 counts'!$B$6:$AD$304,29,FALSE)</f>
        <v>629</v>
      </c>
      <c r="BE196" s="11">
        <f t="shared" ref="BE196:BE259" si="315">IF(AND(BC196="-",BD196="-"),"",ROUND(MAX(BC196,BD196)/BB196,2))</f>
        <v>0.41</v>
      </c>
      <c r="BF196" s="2" t="str">
        <f t="shared" ref="BF196:BF260" si="316">IF(BE196="","",IF(MAX(BC196,BD196)&lt;=$AX196,"B",IF(MAX(BC196,BD196)&lt;=$AY196,"C",IF(MAX(BC196,BD196)&lt;=$AZ196,"D",IF(MAX(BC196,BD196)&lt;=$BA196,"E","F")))))</f>
        <v>C</v>
      </c>
      <c r="BG196" s="135">
        <v>4.4999999999999998E-2</v>
      </c>
      <c r="BH196" s="135">
        <f>IF($AQ196="","",VLOOKUP($B196, '2022 counts'!$B$6:$T$304,19,FALSE))</f>
        <v>4.4999999999999998E-2</v>
      </c>
      <c r="BI196" s="38">
        <f t="shared" ref="BI196:BI260" si="317">IF(BG196=BH196,IF(BG196&gt;0.01,BG196,0.01),IF(BH196&gt;0.01,BH196,0.01))</f>
        <v>4.4999999999999998E-2</v>
      </c>
      <c r="BJ196" s="39" t="str">
        <f t="shared" ref="BJ196:BJ260" si="318">IF(BG196=BI196,"",IF(AND(BH196&lt;0.01,BG196&gt;0.01),"minimum, (1)",IF(BH196=BI196,"(1)",IF(AND(BI196=0.01,BG196&lt;0.01),"minimum","HELP"))))</f>
        <v/>
      </c>
      <c r="BK196" s="15">
        <f>VLOOKUP($U196,'2020_CapacityTable'!$B$49:$F$71,2)</f>
        <v>0</v>
      </c>
      <c r="BL196" s="15">
        <f>VLOOKUP($U196,'2020_CapacityTable'!$B$49:$F$71,3)</f>
        <v>14500</v>
      </c>
      <c r="BM196" s="15">
        <f>VLOOKUP($T196,'2020_CapacityTable'!$B$49:$F$71,4)</f>
        <v>32400</v>
      </c>
      <c r="BN196" s="15">
        <f>VLOOKUP($T196,'2020_CapacityTable'!$B$49:$F$71,5)</f>
        <v>33800</v>
      </c>
      <c r="BO196" s="15">
        <f t="shared" ref="BO196:BO206" si="319">ROUND(BK196*(1+SUM($AE196:$AJ196)),0)</f>
        <v>0</v>
      </c>
      <c r="BP196" s="15">
        <f t="shared" ref="BP196:BP206" si="320">ROUND(BL196*(1+SUM($AE196:$AJ196)),0)</f>
        <v>13775</v>
      </c>
      <c r="BQ196" s="15">
        <f t="shared" ref="BQ196:BQ206" si="321">ROUND(BM196*(1+SUM($AE196:$AJ196)),0)</f>
        <v>30780</v>
      </c>
      <c r="BR196" s="15">
        <f t="shared" ref="BR196:BR206" si="322">ROUND(BN196*(1+SUM($AE196:$AJ196)),0)</f>
        <v>32110</v>
      </c>
      <c r="BS196" s="3">
        <f t="shared" si="291"/>
        <v>30780</v>
      </c>
      <c r="BT196" s="40">
        <f>'State of the System - Sumter Co'!AD196</f>
        <v>15510</v>
      </c>
      <c r="BU196" s="41">
        <f t="shared" ref="BU196:BU206" si="323">IF(BT196="-","",ROUND(BT196/BS196,2))</f>
        <v>0.5</v>
      </c>
      <c r="BV196" s="2" t="str">
        <f t="shared" ref="BV196:BV206" si="324">IF(BU196="","",IF(BT196&lt;=$BO196,"B",IF(BT196&lt;=$BP196,"C",IF(BT196&lt;=$BQ196,"D",IF(BT196&lt;=$BR196,"E","F")))))</f>
        <v>D</v>
      </c>
      <c r="BW196" s="2">
        <f t="shared" ref="BW196:BW260" si="325">IF(BT196="-","",ROUND(BT196*H196*365/1000000,2))</f>
        <v>2.91</v>
      </c>
      <c r="BX196" s="15">
        <f>VLOOKUP($U196,'2020_CapacityTable'!$B$23:$F$45,2)</f>
        <v>0</v>
      </c>
      <c r="BY196" s="15">
        <f>VLOOKUP($U196,'2020_CapacityTable'!$B$23:$F$45,3)</f>
        <v>730</v>
      </c>
      <c r="BZ196" s="15">
        <f>VLOOKUP($U196,'2020_CapacityTable'!$B$23:$F$45,4)</f>
        <v>1630</v>
      </c>
      <c r="CA196" s="15">
        <f>VLOOKUP($U196,'2020_CapacityTable'!$B$23:$F$45,5)</f>
        <v>1700</v>
      </c>
      <c r="CB196" s="15">
        <f t="shared" ref="CB196:CB206" si="326">ROUND(BX196*(1+SUM($AE196:$AJ196)),0)</f>
        <v>0</v>
      </c>
      <c r="CC196" s="15">
        <f t="shared" ref="CC196:CC206" si="327">ROUND(BY196*(1+SUM($AE196:$AJ196)),0)</f>
        <v>694</v>
      </c>
      <c r="CD196" s="15">
        <f t="shared" ref="CD196:CD206" si="328">ROUND(BZ196*(1+SUM($AE196:$AJ196)),0)</f>
        <v>1549</v>
      </c>
      <c r="CE196" s="15">
        <f t="shared" ref="CE196:CE206" si="329">ROUND(CA196*(1+SUM($AE196:$AJ196)),0)</f>
        <v>1615</v>
      </c>
      <c r="CF196" s="3">
        <f t="shared" si="292"/>
        <v>1549</v>
      </c>
      <c r="CG196" s="2">
        <f>'State of the System - Sumter Co'!AH196</f>
        <v>601</v>
      </c>
      <c r="CH196" s="2">
        <f>'State of the System - Sumter Co'!AI196</f>
        <v>784</v>
      </c>
      <c r="CI196" s="11">
        <f t="shared" ref="CI196:CI259" si="330">IF(AND(CG196="",CH196=""),"",ROUND(MAX(CG196,CH196)/CF196,2))</f>
        <v>0.51</v>
      </c>
      <c r="CJ196" s="2" t="str">
        <f t="shared" si="293"/>
        <v>D</v>
      </c>
      <c r="CK196" s="3">
        <f t="shared" ref="CK196:CK260" si="331">ROUND(1.08*AN196,0)</f>
        <v>34679</v>
      </c>
      <c r="CL196" s="11">
        <f t="shared" ref="CL196:CL260" si="332">IF(BT196="-","",ROUND(BT196/CK196,2))</f>
        <v>0.45</v>
      </c>
      <c r="CM196" s="11" t="str">
        <f t="shared" ref="CM196:CM260" si="333">IF(CL196="","",IF(AP196&gt;CK196,"EXTREMELY (2020)",IF(CL196&gt;1,"EXTREMELY (2025)",IF(AQ196&gt;1,"CONGESTED (2020)",IF(BU196&gt;1,"CONGESTED (2025)",IF(OR(AQ196&gt;=0.9,BU196&gt;=0.9),"APPROACHING CONGESTION","NOT CONGESTED"))))))</f>
        <v>NOT CONGESTED</v>
      </c>
      <c r="CN196" s="3">
        <f t="shared" ref="CN196:CN260" si="334">ROUND(1.08*BA196,0)</f>
        <v>1744</v>
      </c>
      <c r="CO196" s="11">
        <f t="shared" ref="CO196:CO260" si="335">IF(OR(AND(CG196="-",CH196="-"),AND(CG196="",CH196="")),"",ROUND(MAX(CG196,CH196)/CN196,2))</f>
        <v>0.45</v>
      </c>
      <c r="CP196" s="156" t="str">
        <f t="shared" ref="CP196:CP225" si="336">IF(OR(CO196="",CO196=0),"",IF(OR(BC196&gt;CN196,BD196&gt;CN196),"EXTREMELY (2020)",IF(CO196&gt;1,"EXTREMELY (2025)",IF(BE196&gt;1,"CONGESTED (2020)",IF(CI196&gt;1,"CONGESTED (2025)",IF(OR(BE196&gt;=0.9,CI196&gt;=0.9),"APPROACHING CONGESTION","NOT CONGESTED"))))))</f>
        <v>NOT CONGESTED</v>
      </c>
      <c r="CQ196" s="2"/>
      <c r="CR196" s="42"/>
      <c r="CS196" s="11" t="str">
        <f t="shared" ref="CS196:CS260" si="337">IF(OR(AP196="",AR196="",AQ196&lt;1),"",ROUND(H196,2))</f>
        <v/>
      </c>
      <c r="CT196" s="11" t="str">
        <f t="shared" si="295"/>
        <v/>
      </c>
      <c r="CU196" s="11" t="str">
        <f t="shared" ref="CU196:CU260" si="338">IF(OR(AP196="",AR196="",AP196&lt;$CK196),"",ROUND($H196,2))</f>
        <v/>
      </c>
      <c r="CV196" s="11" t="str">
        <f t="shared" ref="CV196:CV260" si="339">IF(OR(AQ196="",AS196="",BT196&lt;$CK196),"",ROUND($H196,2))</f>
        <v/>
      </c>
      <c r="CW196" s="3" t="s">
        <v>586</v>
      </c>
      <c r="CX196" s="1" t="s">
        <v>585</v>
      </c>
      <c r="CY196" s="145" t="str">
        <f t="shared" ref="CY196:CY260" si="340">IF(OR(AP196="",AR196="",AQ196&lt;1),"",ROUND($H196*AP196*365/1000000,2))</f>
        <v/>
      </c>
      <c r="CZ196" s="32" t="str">
        <f t="shared" ref="CZ196:CZ260" si="341">IF(OR(BT196="",BV196="",BU196&lt;1),"",ROUND(BT196*$H196*365/1000000,2))</f>
        <v/>
      </c>
    </row>
    <row r="197" spans="1:104" ht="12.75" customHeight="1">
      <c r="A197" s="1">
        <v>32230001</v>
      </c>
      <c r="B197" s="1">
        <f t="shared" ref="B197:B260" si="342">IF($D197="STATE",E197,D197)</f>
        <v>114</v>
      </c>
      <c r="C197" s="1">
        <v>116</v>
      </c>
      <c r="D197" s="1">
        <f>VLOOKUP(C197,'2022 counts'!$A$6:$B$304,2,FALSE)</f>
        <v>114</v>
      </c>
      <c r="E197" s="1"/>
      <c r="F197" s="2" t="s">
        <v>6</v>
      </c>
      <c r="G197" s="156">
        <v>40</v>
      </c>
      <c r="H197" s="11">
        <v>0.63230740595900004</v>
      </c>
      <c r="I197" s="10" t="s">
        <v>118</v>
      </c>
      <c r="J197" s="10" t="s">
        <v>119</v>
      </c>
      <c r="K197" s="10" t="s">
        <v>40</v>
      </c>
      <c r="L197" s="157">
        <v>2</v>
      </c>
      <c r="M197" s="1">
        <f>'State of the System - Sumter Co'!K197</f>
        <v>2</v>
      </c>
      <c r="N197" s="1" t="str">
        <f>IF('State of the System - Sumter Co'!L197="URBAN","U","R")</f>
        <v>R</v>
      </c>
      <c r="O197" s="1" t="str">
        <f>IF('State of the System - Sumter Co'!M197="UNDIVIDED","U",IF('State of the System - Sumter Co'!M197="DIVIDED","D","F"))</f>
        <v>U</v>
      </c>
      <c r="P197" s="1" t="str">
        <f>'State of the System - Sumter Co'!N197</f>
        <v>UNINTERRUPTED</v>
      </c>
      <c r="Q197" s="1" t="str">
        <f t="shared" si="300"/>
        <v>y</v>
      </c>
      <c r="R197" s="1" t="str">
        <f>'State of the System - Sumter Co'!O197</f>
        <v>DEVELOPED</v>
      </c>
      <c r="S197" s="1" t="str">
        <f t="shared" si="298"/>
        <v/>
      </c>
      <c r="T197" s="1" t="str">
        <f t="shared" si="301"/>
        <v>R-2Uy</v>
      </c>
      <c r="U197" s="1" t="str">
        <f t="shared" si="297"/>
        <v>R-2Uy</v>
      </c>
      <c r="V197" s="1" t="s">
        <v>10</v>
      </c>
      <c r="W197" s="1" t="s">
        <v>11</v>
      </c>
      <c r="X197" s="1" t="s">
        <v>12</v>
      </c>
      <c r="Y197" s="1" t="str">
        <f>'State of the System - Sumter Co'!R197</f>
        <v>C</v>
      </c>
      <c r="Z197" s="157" t="str">
        <f t="shared" si="302"/>
        <v>Other CMP Network Roadways</v>
      </c>
      <c r="AA197" s="15">
        <f>VLOOKUP($T197,'2020_CapacityTable'!$B$49:$F$71,2)</f>
        <v>10300</v>
      </c>
      <c r="AB197" s="15">
        <f>VLOOKUP($T197,'2020_CapacityTable'!$B$49:$F$71,3)</f>
        <v>15700</v>
      </c>
      <c r="AC197" s="15">
        <f>VLOOKUP($T197,'2020_CapacityTable'!$B$49:$F$71,4)</f>
        <v>21300</v>
      </c>
      <c r="AD197" s="15">
        <f>VLOOKUP($T197,'2020_CapacityTable'!$B$49:$F$71,5)</f>
        <v>28500</v>
      </c>
      <c r="AE197" s="35"/>
      <c r="AF197" s="36" t="str">
        <f t="shared" si="303"/>
        <v/>
      </c>
      <c r="AG197" s="35" t="str">
        <f>IF(AND(L197=2,P197="interrupted",O197="U"),"LOOK","")</f>
        <v/>
      </c>
      <c r="AH197" s="35" t="str">
        <f>IF(O197="U",IF(L197&gt;2,"LOOK",""),"")</f>
        <v/>
      </c>
      <c r="AI197" s="35"/>
      <c r="AJ197" s="36"/>
      <c r="AK197" s="15">
        <f t="shared" si="304"/>
        <v>10300</v>
      </c>
      <c r="AL197" s="15">
        <f t="shared" si="305"/>
        <v>15700</v>
      </c>
      <c r="AM197" s="15">
        <f t="shared" si="306"/>
        <v>21300</v>
      </c>
      <c r="AN197" s="15">
        <f t="shared" si="307"/>
        <v>28500</v>
      </c>
      <c r="AO197" s="3">
        <f t="shared" ref="AO197:AO225" si="343">IF(Y197="","",IF(Y197="B",AK197,IF(Y197="C",AL197,IF(Y197="D",AM197,AN197))))</f>
        <v>15700</v>
      </c>
      <c r="AP197" s="138">
        <f>VLOOKUP($B197,'2022 counts'!$B$6:$R$304,17,FALSE)</f>
        <v>2532</v>
      </c>
      <c r="AQ197" s="11">
        <f t="shared" si="308"/>
        <v>0.16</v>
      </c>
      <c r="AR197" s="2" t="str">
        <f t="shared" si="309"/>
        <v>B</v>
      </c>
      <c r="AS197" s="26">
        <f t="shared" si="310"/>
        <v>0.57999999999999996</v>
      </c>
      <c r="AT197" s="15">
        <f>VLOOKUP($T197,'2020_CapacityTable'!$B$23:$F$45,2)</f>
        <v>540</v>
      </c>
      <c r="AU197" s="15">
        <f>VLOOKUP($T197,'2020_CapacityTable'!$B$23:$F$45,3)</f>
        <v>820</v>
      </c>
      <c r="AV197" s="15">
        <f>VLOOKUP($T197,'2020_CapacityTable'!$B$23:$F$45,4)</f>
        <v>1110</v>
      </c>
      <c r="AW197" s="15">
        <f>VLOOKUP($T197,'2020_CapacityTable'!$B$23:$F$45,5)</f>
        <v>1490</v>
      </c>
      <c r="AX197" s="15">
        <f t="shared" si="311"/>
        <v>540</v>
      </c>
      <c r="AY197" s="15">
        <f t="shared" si="312"/>
        <v>820</v>
      </c>
      <c r="AZ197" s="15">
        <f t="shared" si="313"/>
        <v>1110</v>
      </c>
      <c r="BA197" s="15">
        <f t="shared" si="314"/>
        <v>1490</v>
      </c>
      <c r="BB197" s="3">
        <f t="shared" ref="BB197:BB225" si="344">IF(Y197="","",IF(Y197="B",AX197,IF(Y197="C",AY197,IF(Y197="D",AZ197,BA197))))</f>
        <v>820</v>
      </c>
      <c r="BC197" s="138">
        <f>VLOOKUP($B197,'2022 counts'!$B$6:$AD$304,28,FALSE)</f>
        <v>103</v>
      </c>
      <c r="BD197" s="138">
        <f>VLOOKUP($B197,'2022 counts'!$B$6:$AD$304,29,FALSE)</f>
        <v>125</v>
      </c>
      <c r="BE197" s="11">
        <f t="shared" si="315"/>
        <v>0.15</v>
      </c>
      <c r="BF197" s="2" t="str">
        <f t="shared" si="316"/>
        <v>B</v>
      </c>
      <c r="BG197" s="135">
        <v>0.03</v>
      </c>
      <c r="BH197" s="135">
        <f>IF($AQ197="","",VLOOKUP($B197, '2022 counts'!$B$6:$T$304,19,FALSE))</f>
        <v>0.03</v>
      </c>
      <c r="BI197" s="38">
        <f t="shared" si="317"/>
        <v>0.03</v>
      </c>
      <c r="BJ197" s="39" t="str">
        <f t="shared" si="318"/>
        <v/>
      </c>
      <c r="BK197" s="15">
        <f>VLOOKUP($U197,'2020_CapacityTable'!$B$49:$F$71,2)</f>
        <v>10300</v>
      </c>
      <c r="BL197" s="15">
        <f>VLOOKUP($U197,'2020_CapacityTable'!$B$49:$F$71,3)</f>
        <v>15700</v>
      </c>
      <c r="BM197" s="15">
        <f>VLOOKUP($T197,'2020_CapacityTable'!$B$49:$F$71,4)</f>
        <v>21300</v>
      </c>
      <c r="BN197" s="15">
        <f>VLOOKUP($T197,'2020_CapacityTable'!$B$49:$F$71,5)</f>
        <v>28500</v>
      </c>
      <c r="BO197" s="15">
        <f t="shared" si="319"/>
        <v>10300</v>
      </c>
      <c r="BP197" s="15">
        <f t="shared" si="320"/>
        <v>15700</v>
      </c>
      <c r="BQ197" s="15">
        <f t="shared" si="321"/>
        <v>21300</v>
      </c>
      <c r="BR197" s="15">
        <f t="shared" si="322"/>
        <v>28500</v>
      </c>
      <c r="BS197" s="3">
        <f t="shared" ref="BS197:BS225" si="345">IF($Y197="","",IF($Y197="B",BO197,IF($Y197="C",BP197,IF($Y197="D",BQ197,BR197))))</f>
        <v>15700</v>
      </c>
      <c r="BT197" s="40">
        <f>'State of the System - Sumter Co'!AD197</f>
        <v>2935</v>
      </c>
      <c r="BU197" s="41">
        <f t="shared" si="323"/>
        <v>0.19</v>
      </c>
      <c r="BV197" s="2" t="str">
        <f t="shared" si="324"/>
        <v>B</v>
      </c>
      <c r="BW197" s="2">
        <f t="shared" si="325"/>
        <v>0.68</v>
      </c>
      <c r="BX197" s="15">
        <f>VLOOKUP($U197,'2020_CapacityTable'!$B$23:$F$45,2)</f>
        <v>540</v>
      </c>
      <c r="BY197" s="15">
        <f>VLOOKUP($U197,'2020_CapacityTable'!$B$23:$F$45,3)</f>
        <v>820</v>
      </c>
      <c r="BZ197" s="15">
        <f>VLOOKUP($U197,'2020_CapacityTable'!$B$23:$F$45,4)</f>
        <v>1110</v>
      </c>
      <c r="CA197" s="15">
        <f>VLOOKUP($U197,'2020_CapacityTable'!$B$23:$F$45,5)</f>
        <v>1490</v>
      </c>
      <c r="CB197" s="15">
        <f t="shared" si="326"/>
        <v>540</v>
      </c>
      <c r="CC197" s="15">
        <f t="shared" si="327"/>
        <v>820</v>
      </c>
      <c r="CD197" s="15">
        <f t="shared" si="328"/>
        <v>1110</v>
      </c>
      <c r="CE197" s="15">
        <f t="shared" si="329"/>
        <v>1490</v>
      </c>
      <c r="CF197" s="3">
        <f t="shared" si="292"/>
        <v>820</v>
      </c>
      <c r="CG197" s="2">
        <f>'State of the System - Sumter Co'!AH197</f>
        <v>119</v>
      </c>
      <c r="CH197" s="2">
        <f>'State of the System - Sumter Co'!AI197</f>
        <v>145</v>
      </c>
      <c r="CI197" s="11">
        <f t="shared" si="330"/>
        <v>0.18</v>
      </c>
      <c r="CJ197" s="2" t="str">
        <f t="shared" si="293"/>
        <v>B</v>
      </c>
      <c r="CK197" s="3">
        <f t="shared" si="331"/>
        <v>30780</v>
      </c>
      <c r="CL197" s="11">
        <f t="shared" si="332"/>
        <v>0.1</v>
      </c>
      <c r="CM197" s="11" t="str">
        <f t="shared" si="333"/>
        <v>NOT CONGESTED</v>
      </c>
      <c r="CN197" s="3">
        <f t="shared" si="334"/>
        <v>1609</v>
      </c>
      <c r="CO197" s="11">
        <f t="shared" si="335"/>
        <v>0.09</v>
      </c>
      <c r="CP197" s="156" t="str">
        <f t="shared" si="336"/>
        <v>NOT CONGESTED</v>
      </c>
      <c r="CQ197" s="2"/>
      <c r="CR197" s="42"/>
      <c r="CS197" s="11" t="str">
        <f t="shared" si="337"/>
        <v/>
      </c>
      <c r="CT197" s="11" t="str">
        <f t="shared" ref="CT197:CT225" si="346">IF(OR(BT197="",BV197="",BU197&lt;1),"",ROUND(H197,2))</f>
        <v/>
      </c>
      <c r="CU197" s="11" t="str">
        <f t="shared" si="338"/>
        <v/>
      </c>
      <c r="CV197" s="11" t="str">
        <f t="shared" si="339"/>
        <v/>
      </c>
      <c r="CW197" s="3"/>
      <c r="CX197" s="1"/>
      <c r="CY197" s="145" t="str">
        <f t="shared" si="340"/>
        <v/>
      </c>
      <c r="CZ197" s="32" t="str">
        <f t="shared" si="341"/>
        <v/>
      </c>
    </row>
    <row r="198" spans="1:104" s="9" customFormat="1" ht="12.75" customHeight="1">
      <c r="A198" s="1">
        <v>32531601</v>
      </c>
      <c r="B198" s="1">
        <f t="shared" si="342"/>
        <v>180088</v>
      </c>
      <c r="C198" s="1">
        <v>430</v>
      </c>
      <c r="D198" s="1" t="str">
        <f>VLOOKUP(C198,'2022 counts'!$A$6:$B$304,2,FALSE)</f>
        <v>STATE</v>
      </c>
      <c r="E198" s="1">
        <v>180088</v>
      </c>
      <c r="F198" s="2" t="s">
        <v>136</v>
      </c>
      <c r="G198" s="156">
        <v>50</v>
      </c>
      <c r="H198" s="11">
        <v>5.5986868649700003</v>
      </c>
      <c r="I198" s="10" t="s">
        <v>40</v>
      </c>
      <c r="J198" s="10" t="s">
        <v>754</v>
      </c>
      <c r="K198" s="10" t="s">
        <v>722</v>
      </c>
      <c r="L198" s="157">
        <v>2</v>
      </c>
      <c r="M198" s="1">
        <f>'State of the System - Sumter Co'!K198</f>
        <v>2</v>
      </c>
      <c r="N198" s="1" t="str">
        <f>IF('State of the System - Sumter Co'!L198="URBAN","U","R")</f>
        <v>U</v>
      </c>
      <c r="O198" s="1" t="str">
        <f>IF('State of the System - Sumter Co'!M198="UNDIVIDED","U",IF('State of the System - Sumter Co'!M198="DIVIDED","D","F"))</f>
        <v>U</v>
      </c>
      <c r="P198" s="1" t="str">
        <f>'State of the System - Sumter Co'!N198</f>
        <v>UNINTERRUPTED</v>
      </c>
      <c r="Q198" s="1" t="str">
        <f t="shared" si="300"/>
        <v/>
      </c>
      <c r="R198" s="1" t="str">
        <f>'State of the System - Sumter Co'!O198</f>
        <v/>
      </c>
      <c r="S198" s="1" t="str">
        <f t="shared" si="298"/>
        <v>-x</v>
      </c>
      <c r="T198" s="1" t="str">
        <f t="shared" si="301"/>
        <v>U-2U-x</v>
      </c>
      <c r="U198" s="1" t="str">
        <f t="shared" si="297"/>
        <v>U-2U-x</v>
      </c>
      <c r="V198" s="1" t="s">
        <v>137</v>
      </c>
      <c r="W198" s="1" t="s">
        <v>11</v>
      </c>
      <c r="X198" s="1" t="s">
        <v>138</v>
      </c>
      <c r="Y198" s="1" t="str">
        <f>'State of the System - Sumter Co'!R198</f>
        <v>D</v>
      </c>
      <c r="Z198" s="157" t="str">
        <f t="shared" si="302"/>
        <v>NHS Non-Interstate</v>
      </c>
      <c r="AA198" s="15">
        <f>VLOOKUP($T198,'2020_CapacityTable'!$B$49:$F$71,2)</f>
        <v>11700</v>
      </c>
      <c r="AB198" s="15">
        <f>VLOOKUP($T198,'2020_CapacityTable'!$B$49:$F$71,3)</f>
        <v>18000</v>
      </c>
      <c r="AC198" s="15">
        <f>VLOOKUP($T198,'2020_CapacityTable'!$B$49:$F$71,4)</f>
        <v>24200</v>
      </c>
      <c r="AD198" s="15">
        <f>VLOOKUP($T198,'2020_CapacityTable'!$B$49:$F$71,5)</f>
        <v>32600</v>
      </c>
      <c r="AE198" s="35" t="str">
        <f t="shared" ref="AE198:AE206" si="347">IF(V198&lt;&gt;"STATE",-10%,"")</f>
        <v/>
      </c>
      <c r="AF198" s="36" t="str">
        <f t="shared" si="303"/>
        <v/>
      </c>
      <c r="AG198" s="35"/>
      <c r="AH198" s="35" t="str">
        <f>IF(O198="U",IF(L198&gt;2,"LOOK",""),"")</f>
        <v/>
      </c>
      <c r="AI198" s="35"/>
      <c r="AJ198" s="36"/>
      <c r="AK198" s="15">
        <f t="shared" si="304"/>
        <v>11700</v>
      </c>
      <c r="AL198" s="15">
        <f t="shared" si="305"/>
        <v>18000</v>
      </c>
      <c r="AM198" s="15">
        <f t="shared" si="306"/>
        <v>24200</v>
      </c>
      <c r="AN198" s="15">
        <f t="shared" si="307"/>
        <v>32600</v>
      </c>
      <c r="AO198" s="3">
        <f t="shared" si="343"/>
        <v>24200</v>
      </c>
      <c r="AP198" s="138">
        <f>VLOOKUP($B198,'2022 counts'!$B$6:$R$304,17,FALSE)</f>
        <v>4850</v>
      </c>
      <c r="AQ198" s="11">
        <f t="shared" si="308"/>
        <v>0.2</v>
      </c>
      <c r="AR198" s="2" t="str">
        <f t="shared" si="309"/>
        <v>B</v>
      </c>
      <c r="AS198" s="26">
        <f t="shared" si="310"/>
        <v>9.91</v>
      </c>
      <c r="AT198" s="15">
        <f>VLOOKUP($T198,'2020_CapacityTable'!$B$23:$F$45,2)</f>
        <v>580</v>
      </c>
      <c r="AU198" s="15">
        <f>VLOOKUP($T198,'2020_CapacityTable'!$B$23:$F$45,3)</f>
        <v>890</v>
      </c>
      <c r="AV198" s="15">
        <f>VLOOKUP($T198,'2020_CapacityTable'!$B$23:$F$45,4)</f>
        <v>1200</v>
      </c>
      <c r="AW198" s="15">
        <f>VLOOKUP($T198,'2020_CapacityTable'!$B$23:$F$45,5)</f>
        <v>1610</v>
      </c>
      <c r="AX198" s="15">
        <f t="shared" si="311"/>
        <v>580</v>
      </c>
      <c r="AY198" s="15">
        <f t="shared" si="312"/>
        <v>890</v>
      </c>
      <c r="AZ198" s="15">
        <f t="shared" si="313"/>
        <v>1200</v>
      </c>
      <c r="BA198" s="15">
        <f t="shared" si="314"/>
        <v>1610</v>
      </c>
      <c r="BB198" s="3">
        <f t="shared" si="344"/>
        <v>1200</v>
      </c>
      <c r="BC198" s="138">
        <f>VLOOKUP($B198,'2022 counts'!$B$6:$AD$304,28,FALSE)</f>
        <v>244</v>
      </c>
      <c r="BD198" s="138">
        <f>VLOOKUP($B198,'2022 counts'!$B$6:$AD$304,29,FALSE)</f>
        <v>217</v>
      </c>
      <c r="BE198" s="11">
        <f t="shared" si="315"/>
        <v>0.2</v>
      </c>
      <c r="BF198" s="2" t="str">
        <f t="shared" si="316"/>
        <v>B</v>
      </c>
      <c r="BG198" s="135">
        <v>0</v>
      </c>
      <c r="BH198" s="135">
        <f>IF($AQ198="","",VLOOKUP($B198, '2022 counts'!$B$6:$T$304,19,FALSE))</f>
        <v>0</v>
      </c>
      <c r="BI198" s="38">
        <f t="shared" si="317"/>
        <v>0.01</v>
      </c>
      <c r="BJ198" s="39" t="str">
        <f t="shared" si="318"/>
        <v>minimum</v>
      </c>
      <c r="BK198" s="15">
        <f>VLOOKUP($U198,'2020_CapacityTable'!$B$49:$F$71,2)</f>
        <v>11700</v>
      </c>
      <c r="BL198" s="15">
        <f>VLOOKUP($U198,'2020_CapacityTable'!$B$49:$F$71,3)</f>
        <v>18000</v>
      </c>
      <c r="BM198" s="15">
        <f>VLOOKUP($T198,'2020_CapacityTable'!$B$49:$F$71,4)</f>
        <v>24200</v>
      </c>
      <c r="BN198" s="15">
        <f>VLOOKUP($T198,'2020_CapacityTable'!$B$49:$F$71,5)</f>
        <v>32600</v>
      </c>
      <c r="BO198" s="15">
        <f t="shared" si="319"/>
        <v>11700</v>
      </c>
      <c r="BP198" s="15">
        <f t="shared" si="320"/>
        <v>18000</v>
      </c>
      <c r="BQ198" s="15">
        <f t="shared" si="321"/>
        <v>24200</v>
      </c>
      <c r="BR198" s="15">
        <f t="shared" si="322"/>
        <v>32600</v>
      </c>
      <c r="BS198" s="3">
        <f t="shared" si="345"/>
        <v>24200</v>
      </c>
      <c r="BT198" s="40">
        <f>'State of the System - Sumter Co'!AD198</f>
        <v>5097</v>
      </c>
      <c r="BU198" s="41">
        <f t="shared" si="323"/>
        <v>0.21</v>
      </c>
      <c r="BV198" s="2" t="str">
        <f t="shared" si="324"/>
        <v>B</v>
      </c>
      <c r="BW198" s="2">
        <f t="shared" si="325"/>
        <v>10.42</v>
      </c>
      <c r="BX198" s="15">
        <f>VLOOKUP($U198,'2020_CapacityTable'!$B$23:$F$45,2)</f>
        <v>580</v>
      </c>
      <c r="BY198" s="15">
        <f>VLOOKUP($U198,'2020_CapacityTable'!$B$23:$F$45,3)</f>
        <v>890</v>
      </c>
      <c r="BZ198" s="15">
        <f>VLOOKUP($U198,'2020_CapacityTable'!$B$23:$F$45,4)</f>
        <v>1200</v>
      </c>
      <c r="CA198" s="15">
        <f>VLOOKUP($U198,'2020_CapacityTable'!$B$23:$F$45,5)</f>
        <v>1610</v>
      </c>
      <c r="CB198" s="15">
        <f t="shared" si="326"/>
        <v>580</v>
      </c>
      <c r="CC198" s="15">
        <f t="shared" si="327"/>
        <v>890</v>
      </c>
      <c r="CD198" s="15">
        <f t="shared" si="328"/>
        <v>1200</v>
      </c>
      <c r="CE198" s="15">
        <f t="shared" si="329"/>
        <v>1610</v>
      </c>
      <c r="CF198" s="3">
        <f t="shared" si="292"/>
        <v>1200</v>
      </c>
      <c r="CG198" s="2">
        <f>'State of the System - Sumter Co'!AH198</f>
        <v>256</v>
      </c>
      <c r="CH198" s="2">
        <f>'State of the System - Sumter Co'!AI198</f>
        <v>228</v>
      </c>
      <c r="CI198" s="11">
        <f t="shared" si="330"/>
        <v>0.21</v>
      </c>
      <c r="CJ198" s="2" t="str">
        <f t="shared" si="293"/>
        <v>B</v>
      </c>
      <c r="CK198" s="3">
        <f t="shared" si="331"/>
        <v>35208</v>
      </c>
      <c r="CL198" s="11">
        <f t="shared" si="332"/>
        <v>0.14000000000000001</v>
      </c>
      <c r="CM198" s="11" t="str">
        <f t="shared" si="333"/>
        <v>NOT CONGESTED</v>
      </c>
      <c r="CN198" s="3">
        <f t="shared" si="334"/>
        <v>1739</v>
      </c>
      <c r="CO198" s="11">
        <f t="shared" si="335"/>
        <v>0.15</v>
      </c>
      <c r="CP198" s="156" t="str">
        <f t="shared" si="336"/>
        <v>NOT CONGESTED</v>
      </c>
      <c r="CQ198" s="3"/>
      <c r="CR198" s="3"/>
      <c r="CS198" s="11" t="str">
        <f t="shared" si="337"/>
        <v/>
      </c>
      <c r="CT198" s="11" t="str">
        <f t="shared" si="346"/>
        <v/>
      </c>
      <c r="CU198" s="11" t="str">
        <f t="shared" si="338"/>
        <v/>
      </c>
      <c r="CV198" s="11" t="str">
        <f t="shared" si="339"/>
        <v/>
      </c>
      <c r="CW198" s="3" t="s">
        <v>586</v>
      </c>
      <c r="CX198" s="1" t="s">
        <v>585</v>
      </c>
      <c r="CY198" s="145" t="str">
        <f t="shared" si="340"/>
        <v/>
      </c>
      <c r="CZ198" s="32" t="str">
        <f t="shared" si="341"/>
        <v/>
      </c>
    </row>
    <row r="199" spans="1:104" s="9" customFormat="1" ht="12.75" customHeight="1">
      <c r="A199" s="1">
        <v>32531602</v>
      </c>
      <c r="B199" s="1" t="str">
        <f t="shared" si="342"/>
        <v>180001 180042</v>
      </c>
      <c r="C199" s="157">
        <v>428</v>
      </c>
      <c r="D199" s="1" t="str">
        <f>VLOOKUP(C199,'2022 counts'!$A$6:$B$304,2,FALSE)</f>
        <v>STATE</v>
      </c>
      <c r="E199" s="15" t="s">
        <v>546</v>
      </c>
      <c r="F199" s="2" t="s">
        <v>136</v>
      </c>
      <c r="G199" s="156">
        <v>55</v>
      </c>
      <c r="H199" s="11">
        <v>1.35603807704</v>
      </c>
      <c r="I199" s="10" t="s">
        <v>40</v>
      </c>
      <c r="J199" s="10" t="s">
        <v>718</v>
      </c>
      <c r="K199" s="10" t="s">
        <v>754</v>
      </c>
      <c r="L199" s="157">
        <v>2</v>
      </c>
      <c r="M199" s="1">
        <f>'State of the System - Sumter Co'!K199</f>
        <v>2</v>
      </c>
      <c r="N199" s="1" t="str">
        <f>IF('State of the System - Sumter Co'!L199="URBAN","U","R")</f>
        <v>U</v>
      </c>
      <c r="O199" s="1" t="str">
        <f>IF('State of the System - Sumter Co'!M199="UNDIVIDED","U",IF('State of the System - Sumter Co'!M199="DIVIDED","D","F"))</f>
        <v>U</v>
      </c>
      <c r="P199" s="1" t="str">
        <f>'State of the System - Sumter Co'!N199</f>
        <v>INTERRUPTED</v>
      </c>
      <c r="Q199" s="1" t="str">
        <f t="shared" si="300"/>
        <v/>
      </c>
      <c r="R199" s="1" t="str">
        <f>'State of the System - Sumter Co'!O199</f>
        <v/>
      </c>
      <c r="S199" s="1" t="str">
        <f t="shared" si="298"/>
        <v>-1</v>
      </c>
      <c r="T199" s="1" t="str">
        <f t="shared" si="301"/>
        <v>U-2U-1</v>
      </c>
      <c r="U199" s="1" t="str">
        <f t="shared" si="297"/>
        <v>U-2U-1</v>
      </c>
      <c r="V199" s="1" t="s">
        <v>137</v>
      </c>
      <c r="W199" s="1" t="s">
        <v>76</v>
      </c>
      <c r="X199" s="1" t="s">
        <v>138</v>
      </c>
      <c r="Y199" s="1" t="str">
        <f>'State of the System - Sumter Co'!R199</f>
        <v>D</v>
      </c>
      <c r="Z199" s="157" t="str">
        <f t="shared" si="302"/>
        <v>NHS Non-Interstate</v>
      </c>
      <c r="AA199" s="15">
        <f>VLOOKUP($T199,'2020_CapacityTable'!$B$49:$F$71,2)</f>
        <v>0</v>
      </c>
      <c r="AB199" s="15">
        <f>VLOOKUP($T199,'2020_CapacityTable'!$B$49:$F$71,3)</f>
        <v>16800</v>
      </c>
      <c r="AC199" s="15">
        <f>VLOOKUP($T199,'2020_CapacityTable'!$B$49:$F$71,4)</f>
        <v>17700</v>
      </c>
      <c r="AD199" s="15">
        <f>VLOOKUP($T199,'2020_CapacityTable'!$B$49:$F$71,5)</f>
        <v>17700</v>
      </c>
      <c r="AE199" s="35" t="str">
        <f t="shared" si="347"/>
        <v/>
      </c>
      <c r="AF199" s="36" t="str">
        <f t="shared" si="303"/>
        <v/>
      </c>
      <c r="AG199" s="35">
        <v>-0.2</v>
      </c>
      <c r="AH199" s="35" t="str">
        <f>IF(O199="U",IF(L199&gt;2,"LOOK",""),"")</f>
        <v/>
      </c>
      <c r="AI199" s="35"/>
      <c r="AJ199" s="36"/>
      <c r="AK199" s="15">
        <f t="shared" si="304"/>
        <v>0</v>
      </c>
      <c r="AL199" s="15">
        <f t="shared" si="305"/>
        <v>13440</v>
      </c>
      <c r="AM199" s="15">
        <f t="shared" si="306"/>
        <v>14160</v>
      </c>
      <c r="AN199" s="15">
        <f t="shared" si="307"/>
        <v>14160</v>
      </c>
      <c r="AO199" s="3">
        <f t="shared" si="343"/>
        <v>14160</v>
      </c>
      <c r="AP199" s="138">
        <f>VLOOKUP($B199,'2022 counts'!$B$6:$R$304,17,FALSE)</f>
        <v>4160</v>
      </c>
      <c r="AQ199" s="11">
        <f t="shared" si="308"/>
        <v>0.28999999999999998</v>
      </c>
      <c r="AR199" s="2" t="str">
        <f t="shared" si="309"/>
        <v>C</v>
      </c>
      <c r="AS199" s="26">
        <f t="shared" si="310"/>
        <v>2.06</v>
      </c>
      <c r="AT199" s="15">
        <f>VLOOKUP($T199,'2020_CapacityTable'!$B$23:$F$45,2)</f>
        <v>0</v>
      </c>
      <c r="AU199" s="15">
        <f>VLOOKUP($T199,'2020_CapacityTable'!$B$23:$F$45,3)</f>
        <v>830</v>
      </c>
      <c r="AV199" s="15">
        <f>VLOOKUP($T199,'2020_CapacityTable'!$B$23:$F$45,4)</f>
        <v>880</v>
      </c>
      <c r="AW199" s="15">
        <f>VLOOKUP($T199,'2020_CapacityTable'!$B$23:$F$45,5)</f>
        <v>880</v>
      </c>
      <c r="AX199" s="15">
        <f t="shared" si="311"/>
        <v>0</v>
      </c>
      <c r="AY199" s="15">
        <f t="shared" si="312"/>
        <v>664</v>
      </c>
      <c r="AZ199" s="15">
        <f t="shared" si="313"/>
        <v>704</v>
      </c>
      <c r="BA199" s="15">
        <f t="shared" si="314"/>
        <v>704</v>
      </c>
      <c r="BB199" s="3">
        <f t="shared" si="344"/>
        <v>704</v>
      </c>
      <c r="BC199" s="138">
        <f>VLOOKUP($B199,'2022 counts'!$B$6:$AD$304,28,FALSE)</f>
        <v>209.5</v>
      </c>
      <c r="BD199" s="138">
        <f>VLOOKUP($B199,'2022 counts'!$B$6:$AD$304,29,FALSE)</f>
        <v>185.5</v>
      </c>
      <c r="BE199" s="11">
        <f t="shared" si="315"/>
        <v>0.3</v>
      </c>
      <c r="BF199" s="2" t="str">
        <f t="shared" si="316"/>
        <v>C</v>
      </c>
      <c r="BG199" s="135">
        <v>0</v>
      </c>
      <c r="BH199" s="135">
        <f>IF($AQ199="","",VLOOKUP($B199, '2022 counts'!$B$6:$T$304,19,FALSE))</f>
        <v>0</v>
      </c>
      <c r="BI199" s="38">
        <f t="shared" si="317"/>
        <v>0.01</v>
      </c>
      <c r="BJ199" s="39" t="str">
        <f t="shared" si="318"/>
        <v>minimum</v>
      </c>
      <c r="BK199" s="15">
        <f>VLOOKUP($U199,'2020_CapacityTable'!$B$49:$F$71,2)</f>
        <v>0</v>
      </c>
      <c r="BL199" s="15">
        <f>VLOOKUP($U199,'2020_CapacityTable'!$B$49:$F$71,3)</f>
        <v>16800</v>
      </c>
      <c r="BM199" s="15">
        <f>VLOOKUP($T199,'2020_CapacityTable'!$B$49:$F$71,4)</f>
        <v>17700</v>
      </c>
      <c r="BN199" s="15">
        <f>VLOOKUP($T199,'2020_CapacityTable'!$B$49:$F$71,5)</f>
        <v>17700</v>
      </c>
      <c r="BO199" s="15">
        <f t="shared" si="319"/>
        <v>0</v>
      </c>
      <c r="BP199" s="15">
        <f t="shared" si="320"/>
        <v>13440</v>
      </c>
      <c r="BQ199" s="15">
        <f t="shared" si="321"/>
        <v>14160</v>
      </c>
      <c r="BR199" s="15">
        <f t="shared" si="322"/>
        <v>14160</v>
      </c>
      <c r="BS199" s="3">
        <f t="shared" si="345"/>
        <v>14160</v>
      </c>
      <c r="BT199" s="40">
        <f>'State of the System - Sumter Co'!AD199</f>
        <v>4372</v>
      </c>
      <c r="BU199" s="41">
        <f t="shared" si="323"/>
        <v>0.31</v>
      </c>
      <c r="BV199" s="2" t="str">
        <f t="shared" si="324"/>
        <v>C</v>
      </c>
      <c r="BW199" s="2">
        <f t="shared" si="325"/>
        <v>2.16</v>
      </c>
      <c r="BX199" s="15">
        <f>VLOOKUP($U199,'2020_CapacityTable'!$B$23:$F$45,2)</f>
        <v>0</v>
      </c>
      <c r="BY199" s="15">
        <f>VLOOKUP($U199,'2020_CapacityTable'!$B$23:$F$45,3)</f>
        <v>830</v>
      </c>
      <c r="BZ199" s="15">
        <f>VLOOKUP($U199,'2020_CapacityTable'!$B$23:$F$45,4)</f>
        <v>880</v>
      </c>
      <c r="CA199" s="15">
        <f>VLOOKUP($U199,'2020_CapacityTable'!$B$23:$F$45,5)</f>
        <v>880</v>
      </c>
      <c r="CB199" s="15">
        <f t="shared" si="326"/>
        <v>0</v>
      </c>
      <c r="CC199" s="15">
        <f t="shared" si="327"/>
        <v>664</v>
      </c>
      <c r="CD199" s="15">
        <f t="shared" si="328"/>
        <v>704</v>
      </c>
      <c r="CE199" s="15">
        <f t="shared" si="329"/>
        <v>704</v>
      </c>
      <c r="CF199" s="3">
        <f t="shared" si="292"/>
        <v>704</v>
      </c>
      <c r="CG199" s="2">
        <f>'State of the System - Sumter Co'!AH199</f>
        <v>220</v>
      </c>
      <c r="CH199" s="2">
        <f>'State of the System - Sumter Co'!AI199</f>
        <v>195</v>
      </c>
      <c r="CI199" s="11">
        <f t="shared" si="330"/>
        <v>0.31</v>
      </c>
      <c r="CJ199" s="2" t="str">
        <f t="shared" si="293"/>
        <v>C</v>
      </c>
      <c r="CK199" s="3">
        <f t="shared" si="331"/>
        <v>15293</v>
      </c>
      <c r="CL199" s="11">
        <f t="shared" si="332"/>
        <v>0.28999999999999998</v>
      </c>
      <c r="CM199" s="11" t="str">
        <f t="shared" si="333"/>
        <v>NOT CONGESTED</v>
      </c>
      <c r="CN199" s="3">
        <f t="shared" si="334"/>
        <v>760</v>
      </c>
      <c r="CO199" s="11">
        <f t="shared" si="335"/>
        <v>0.28999999999999998</v>
      </c>
      <c r="CP199" s="156" t="str">
        <f t="shared" si="336"/>
        <v>NOT CONGESTED</v>
      </c>
      <c r="CQ199" s="2"/>
      <c r="CR199" s="42"/>
      <c r="CS199" s="11" t="str">
        <f t="shared" si="337"/>
        <v/>
      </c>
      <c r="CT199" s="11" t="str">
        <f t="shared" si="346"/>
        <v/>
      </c>
      <c r="CU199" s="11" t="str">
        <f t="shared" si="338"/>
        <v/>
      </c>
      <c r="CV199" s="11" t="str">
        <f t="shared" si="339"/>
        <v/>
      </c>
      <c r="CW199" s="3"/>
      <c r="CX199" s="1" t="s">
        <v>585</v>
      </c>
      <c r="CY199" s="145" t="str">
        <f t="shared" si="340"/>
        <v/>
      </c>
      <c r="CZ199" s="32" t="str">
        <f t="shared" si="341"/>
        <v/>
      </c>
    </row>
    <row r="200" spans="1:104" s="9" customFormat="1" ht="12.75" customHeight="1">
      <c r="A200" s="1">
        <v>32532601</v>
      </c>
      <c r="B200" s="1">
        <f t="shared" si="342"/>
        <v>185008</v>
      </c>
      <c r="C200" s="1">
        <v>400</v>
      </c>
      <c r="D200" s="1" t="str">
        <f>VLOOKUP(C200,'2022 counts'!$A$6:$B$304,2,FALSE)</f>
        <v>STATE</v>
      </c>
      <c r="E200" s="1">
        <v>185008</v>
      </c>
      <c r="F200" s="2" t="s">
        <v>136</v>
      </c>
      <c r="G200" s="156">
        <v>40</v>
      </c>
      <c r="H200" s="11">
        <v>1.28086033955</v>
      </c>
      <c r="I200" s="10" t="s">
        <v>40</v>
      </c>
      <c r="J200" s="10" t="s">
        <v>723</v>
      </c>
      <c r="K200" s="10" t="s">
        <v>724</v>
      </c>
      <c r="L200" s="157">
        <v>4</v>
      </c>
      <c r="M200" s="1">
        <f>'State of the System - Sumter Co'!K200</f>
        <v>4</v>
      </c>
      <c r="N200" s="1" t="str">
        <f>IF('State of the System - Sumter Co'!L200="URBAN","U","R")</f>
        <v>U</v>
      </c>
      <c r="O200" s="1" t="str">
        <f>IF('State of the System - Sumter Co'!M200="UNDIVIDED","U",IF('State of the System - Sumter Co'!M200="DIVIDED","D","F"))</f>
        <v>D</v>
      </c>
      <c r="P200" s="1" t="str">
        <f>'State of the System - Sumter Co'!N200</f>
        <v>INTERRUPTED</v>
      </c>
      <c r="Q200" s="1" t="str">
        <f t="shared" si="300"/>
        <v/>
      </c>
      <c r="R200" s="1" t="str">
        <f>'State of the System - Sumter Co'!O200</f>
        <v/>
      </c>
      <c r="S200" s="1" t="str">
        <f t="shared" si="298"/>
        <v>-1</v>
      </c>
      <c r="T200" s="1" t="str">
        <f t="shared" si="301"/>
        <v>U-4D-1</v>
      </c>
      <c r="U200" s="1" t="str">
        <f t="shared" si="297"/>
        <v>U-4D-1</v>
      </c>
      <c r="V200" s="1" t="s">
        <v>137</v>
      </c>
      <c r="W200" s="1" t="s">
        <v>25</v>
      </c>
      <c r="X200" s="1" t="s">
        <v>50</v>
      </c>
      <c r="Y200" s="1" t="str">
        <f>'State of the System - Sumter Co'!R200</f>
        <v>D</v>
      </c>
      <c r="Z200" s="157" t="str">
        <f t="shared" si="302"/>
        <v>NHS Non-Interstate</v>
      </c>
      <c r="AA200" s="15">
        <f>VLOOKUP($T200,'2020_CapacityTable'!$B$49:$F$71,2)</f>
        <v>0</v>
      </c>
      <c r="AB200" s="15">
        <f>VLOOKUP($T200,'2020_CapacityTable'!$B$49:$F$71,3)</f>
        <v>37900</v>
      </c>
      <c r="AC200" s="15">
        <f>VLOOKUP($T200,'2020_CapacityTable'!$B$49:$F$71,4)</f>
        <v>39800</v>
      </c>
      <c r="AD200" s="15">
        <f>VLOOKUP($T200,'2020_CapacityTable'!$B$49:$F$71,5)</f>
        <v>39800</v>
      </c>
      <c r="AE200" s="35" t="str">
        <f t="shared" si="347"/>
        <v/>
      </c>
      <c r="AF200" s="36" t="str">
        <f t="shared" si="303"/>
        <v/>
      </c>
      <c r="AG200" s="35" t="str">
        <f t="shared" ref="AG200:AG206" si="348">IF(L200=2,IF(P200="interrupted","LOOK",""),"")</f>
        <v/>
      </c>
      <c r="AH200" s="35" t="str">
        <f>IF(O200="U",IF(#REF!&gt;2,"LOOK",""),"")</f>
        <v/>
      </c>
      <c r="AI200" s="35"/>
      <c r="AJ200" s="36"/>
      <c r="AK200" s="15">
        <f t="shared" si="304"/>
        <v>0</v>
      </c>
      <c r="AL200" s="15">
        <f t="shared" si="305"/>
        <v>37900</v>
      </c>
      <c r="AM200" s="15">
        <f t="shared" si="306"/>
        <v>39800</v>
      </c>
      <c r="AN200" s="15">
        <f t="shared" si="307"/>
        <v>39800</v>
      </c>
      <c r="AO200" s="3">
        <f t="shared" si="343"/>
        <v>39800</v>
      </c>
      <c r="AP200" s="138">
        <f>VLOOKUP($B200,'2022 counts'!$B$6:$R$304,17,FALSE)</f>
        <v>30650</v>
      </c>
      <c r="AQ200" s="11">
        <f t="shared" si="308"/>
        <v>0.77</v>
      </c>
      <c r="AR200" s="2" t="str">
        <f t="shared" si="309"/>
        <v>C</v>
      </c>
      <c r="AS200" s="26">
        <f t="shared" si="310"/>
        <v>14.33</v>
      </c>
      <c r="AT200" s="15">
        <f>VLOOKUP($T200,'2020_CapacityTable'!$B$23:$F$45,2)</f>
        <v>0</v>
      </c>
      <c r="AU200" s="15">
        <f>VLOOKUP($T200,'2020_CapacityTable'!$B$23:$F$45,3)</f>
        <v>1910</v>
      </c>
      <c r="AV200" s="15">
        <f>VLOOKUP($T200,'2020_CapacityTable'!$B$23:$F$45,4)</f>
        <v>2000</v>
      </c>
      <c r="AW200" s="15">
        <f>VLOOKUP($T200,'2020_CapacityTable'!$B$23:$F$45,5)</f>
        <v>2000</v>
      </c>
      <c r="AX200" s="15">
        <f t="shared" si="311"/>
        <v>0</v>
      </c>
      <c r="AY200" s="15">
        <f t="shared" si="312"/>
        <v>1910</v>
      </c>
      <c r="AZ200" s="15">
        <f t="shared" si="313"/>
        <v>2000</v>
      </c>
      <c r="BA200" s="15">
        <f t="shared" si="314"/>
        <v>2000</v>
      </c>
      <c r="BB200" s="3">
        <f t="shared" si="344"/>
        <v>2000</v>
      </c>
      <c r="BC200" s="138">
        <f>VLOOKUP($B200,'2022 counts'!$B$6:$AD$304,28,FALSE)</f>
        <v>1249</v>
      </c>
      <c r="BD200" s="138">
        <f>VLOOKUP($B200,'2022 counts'!$B$6:$AD$304,29,FALSE)</f>
        <v>1093</v>
      </c>
      <c r="BE200" s="11">
        <f t="shared" si="315"/>
        <v>0.62</v>
      </c>
      <c r="BF200" s="2" t="str">
        <f t="shared" si="316"/>
        <v>C</v>
      </c>
      <c r="BG200" s="135">
        <v>7.2499999999999995E-2</v>
      </c>
      <c r="BH200" s="135">
        <f>IF($AQ200="","",VLOOKUP($B200, '2022 counts'!$B$6:$T$304,19,FALSE))</f>
        <v>7.2499999999999995E-2</v>
      </c>
      <c r="BI200" s="38">
        <f t="shared" si="317"/>
        <v>7.2499999999999995E-2</v>
      </c>
      <c r="BJ200" s="39" t="str">
        <f t="shared" si="318"/>
        <v/>
      </c>
      <c r="BK200" s="15">
        <f>VLOOKUP($U200,'2020_CapacityTable'!$B$49:$F$71,2)</f>
        <v>0</v>
      </c>
      <c r="BL200" s="15">
        <f>VLOOKUP($U200,'2020_CapacityTable'!$B$49:$F$71,3)</f>
        <v>37900</v>
      </c>
      <c r="BM200" s="15">
        <f>VLOOKUP($T200,'2020_CapacityTable'!$B$49:$F$71,4)</f>
        <v>39800</v>
      </c>
      <c r="BN200" s="15">
        <f>VLOOKUP($T200,'2020_CapacityTable'!$B$49:$F$71,5)</f>
        <v>39800</v>
      </c>
      <c r="BO200" s="15">
        <f t="shared" si="319"/>
        <v>0</v>
      </c>
      <c r="BP200" s="15">
        <f t="shared" si="320"/>
        <v>37900</v>
      </c>
      <c r="BQ200" s="15">
        <f t="shared" si="321"/>
        <v>39800</v>
      </c>
      <c r="BR200" s="15">
        <f t="shared" si="322"/>
        <v>39800</v>
      </c>
      <c r="BS200" s="3">
        <f t="shared" si="345"/>
        <v>39800</v>
      </c>
      <c r="BT200" s="40">
        <f>'State of the System - Sumter Co'!AD200</f>
        <v>43493</v>
      </c>
      <c r="BU200" s="41">
        <f t="shared" si="323"/>
        <v>1.0900000000000001</v>
      </c>
      <c r="BV200" s="2" t="str">
        <f t="shared" si="324"/>
        <v>F</v>
      </c>
      <c r="BW200" s="2">
        <f t="shared" si="325"/>
        <v>20.329999999999998</v>
      </c>
      <c r="BX200" s="15">
        <f>VLOOKUP($U200,'2020_CapacityTable'!$B$23:$F$45,2)</f>
        <v>0</v>
      </c>
      <c r="BY200" s="15">
        <f>VLOOKUP($U200,'2020_CapacityTable'!$B$23:$F$45,3)</f>
        <v>1910</v>
      </c>
      <c r="BZ200" s="15">
        <f>VLOOKUP($U200,'2020_CapacityTable'!$B$23:$F$45,4)</f>
        <v>2000</v>
      </c>
      <c r="CA200" s="15">
        <f>VLOOKUP($U200,'2020_CapacityTable'!$B$23:$F$45,5)</f>
        <v>2000</v>
      </c>
      <c r="CB200" s="15">
        <f t="shared" si="326"/>
        <v>0</v>
      </c>
      <c r="CC200" s="15">
        <f t="shared" si="327"/>
        <v>1910</v>
      </c>
      <c r="CD200" s="15">
        <f t="shared" si="328"/>
        <v>2000</v>
      </c>
      <c r="CE200" s="15">
        <f t="shared" si="329"/>
        <v>2000</v>
      </c>
      <c r="CF200" s="3">
        <f t="shared" si="292"/>
        <v>2000</v>
      </c>
      <c r="CG200" s="2">
        <f>'State of the System - Sumter Co'!AH200</f>
        <v>1772</v>
      </c>
      <c r="CH200" s="2">
        <f>'State of the System - Sumter Co'!AI200</f>
        <v>1551</v>
      </c>
      <c r="CI200" s="11">
        <f t="shared" si="330"/>
        <v>0.89</v>
      </c>
      <c r="CJ200" s="2" t="str">
        <f t="shared" si="293"/>
        <v>C</v>
      </c>
      <c r="CK200" s="3">
        <f t="shared" si="331"/>
        <v>42984</v>
      </c>
      <c r="CL200" s="11">
        <f t="shared" si="332"/>
        <v>1.01</v>
      </c>
      <c r="CM200" s="11" t="str">
        <f t="shared" si="333"/>
        <v>EXTREMELY (2025)</v>
      </c>
      <c r="CN200" s="3">
        <f t="shared" si="334"/>
        <v>2160</v>
      </c>
      <c r="CO200" s="11">
        <f t="shared" si="335"/>
        <v>0.82</v>
      </c>
      <c r="CP200" s="156" t="str">
        <f t="shared" si="336"/>
        <v>NOT CONGESTED</v>
      </c>
      <c r="CQ200" s="2"/>
      <c r="CR200" s="42"/>
      <c r="CS200" s="11" t="str">
        <f t="shared" si="337"/>
        <v/>
      </c>
      <c r="CT200" s="11">
        <f t="shared" si="346"/>
        <v>1.28</v>
      </c>
      <c r="CU200" s="11" t="str">
        <f t="shared" si="338"/>
        <v/>
      </c>
      <c r="CV200" s="11">
        <f t="shared" si="339"/>
        <v>1.28</v>
      </c>
      <c r="CW200" s="2" t="s">
        <v>586</v>
      </c>
      <c r="CX200" s="1"/>
      <c r="CY200" s="145" t="str">
        <f t="shared" si="340"/>
        <v/>
      </c>
      <c r="CZ200" s="32">
        <f t="shared" si="341"/>
        <v>20.329999999999998</v>
      </c>
    </row>
    <row r="201" spans="1:104" s="9" customFormat="1" ht="12.75" customHeight="1">
      <c r="A201" s="1">
        <v>32533001</v>
      </c>
      <c r="B201" s="1">
        <f t="shared" si="342"/>
        <v>180210</v>
      </c>
      <c r="C201" s="1">
        <v>420</v>
      </c>
      <c r="D201" s="1" t="str">
        <f>VLOOKUP(C201,'2022 counts'!$A$6:$B$304,2,FALSE)</f>
        <v>STATE</v>
      </c>
      <c r="E201" s="1">
        <v>180210</v>
      </c>
      <c r="F201" s="2" t="s">
        <v>136</v>
      </c>
      <c r="G201" s="156">
        <v>45</v>
      </c>
      <c r="H201" s="11">
        <v>1.2598000761199999</v>
      </c>
      <c r="I201" s="10" t="s">
        <v>40</v>
      </c>
      <c r="J201" s="10" t="s">
        <v>726</v>
      </c>
      <c r="K201" s="10" t="s">
        <v>716</v>
      </c>
      <c r="L201" s="157">
        <v>4</v>
      </c>
      <c r="M201" s="1">
        <f>'State of the System - Sumter Co'!K201</f>
        <v>4</v>
      </c>
      <c r="N201" s="1" t="str">
        <f>IF('State of the System - Sumter Co'!L201="URBAN","U","R")</f>
        <v>U</v>
      </c>
      <c r="O201" s="1" t="str">
        <f>IF('State of the System - Sumter Co'!M201="UNDIVIDED","U",IF('State of the System - Sumter Co'!M201="DIVIDED","D","F"))</f>
        <v>D</v>
      </c>
      <c r="P201" s="1" t="str">
        <f>'State of the System - Sumter Co'!N201</f>
        <v>INTERRUPTED</v>
      </c>
      <c r="Q201" s="1" t="str">
        <f t="shared" si="300"/>
        <v/>
      </c>
      <c r="R201" s="1" t="str">
        <f>'State of the System - Sumter Co'!O201</f>
        <v/>
      </c>
      <c r="S201" s="1" t="str">
        <f t="shared" si="298"/>
        <v>-1</v>
      </c>
      <c r="T201" s="1" t="str">
        <f t="shared" si="301"/>
        <v>U-4D-1</v>
      </c>
      <c r="U201" s="1" t="str">
        <f t="shared" si="297"/>
        <v>U-4D-1</v>
      </c>
      <c r="V201" s="1" t="s">
        <v>137</v>
      </c>
      <c r="W201" s="1" t="s">
        <v>25</v>
      </c>
      <c r="X201" s="1" t="s">
        <v>138</v>
      </c>
      <c r="Y201" s="1" t="str">
        <f>'State of the System - Sumter Co'!R201</f>
        <v>D</v>
      </c>
      <c r="Z201" s="157" t="str">
        <f t="shared" si="302"/>
        <v>NHS Non-Interstate</v>
      </c>
      <c r="AA201" s="15">
        <f>VLOOKUP($T201,'2020_CapacityTable'!$B$49:$F$71,2)</f>
        <v>0</v>
      </c>
      <c r="AB201" s="15">
        <f>VLOOKUP($T201,'2020_CapacityTable'!$B$49:$F$71,3)</f>
        <v>37900</v>
      </c>
      <c r="AC201" s="15">
        <f>VLOOKUP($T201,'2020_CapacityTable'!$B$49:$F$71,4)</f>
        <v>39800</v>
      </c>
      <c r="AD201" s="15">
        <f>VLOOKUP($T201,'2020_CapacityTable'!$B$49:$F$71,5)</f>
        <v>39800</v>
      </c>
      <c r="AE201" s="35" t="str">
        <f t="shared" si="347"/>
        <v/>
      </c>
      <c r="AF201" s="36" t="str">
        <f t="shared" si="303"/>
        <v/>
      </c>
      <c r="AG201" s="35" t="str">
        <f t="shared" si="348"/>
        <v/>
      </c>
      <c r="AH201" s="35" t="str">
        <f>IF(O201="U",IF(#REF!&gt;2,"LOOK",""),"")</f>
        <v/>
      </c>
      <c r="AI201" s="35"/>
      <c r="AJ201" s="36">
        <v>0.05</v>
      </c>
      <c r="AK201" s="15">
        <f t="shared" si="304"/>
        <v>0</v>
      </c>
      <c r="AL201" s="15">
        <f t="shared" si="305"/>
        <v>39795</v>
      </c>
      <c r="AM201" s="15">
        <f t="shared" si="306"/>
        <v>41790</v>
      </c>
      <c r="AN201" s="15">
        <f t="shared" si="307"/>
        <v>41790</v>
      </c>
      <c r="AO201" s="3">
        <f t="shared" si="343"/>
        <v>41790</v>
      </c>
      <c r="AP201" s="138">
        <f>VLOOKUP($B201,'2022 counts'!$B$6:$R$304,17,FALSE)</f>
        <v>31100</v>
      </c>
      <c r="AQ201" s="11">
        <f t="shared" si="308"/>
        <v>0.74</v>
      </c>
      <c r="AR201" s="2" t="str">
        <f t="shared" si="309"/>
        <v>C</v>
      </c>
      <c r="AS201" s="26">
        <f t="shared" si="310"/>
        <v>14.3</v>
      </c>
      <c r="AT201" s="15">
        <f>VLOOKUP($T201,'2020_CapacityTable'!$B$23:$F$45,2)</f>
        <v>0</v>
      </c>
      <c r="AU201" s="15">
        <f>VLOOKUP($T201,'2020_CapacityTable'!$B$23:$F$45,3)</f>
        <v>1910</v>
      </c>
      <c r="AV201" s="15">
        <f>VLOOKUP($T201,'2020_CapacityTable'!$B$23:$F$45,4)</f>
        <v>2000</v>
      </c>
      <c r="AW201" s="15">
        <f>VLOOKUP($T201,'2020_CapacityTable'!$B$23:$F$45,5)</f>
        <v>2000</v>
      </c>
      <c r="AX201" s="15">
        <f t="shared" si="311"/>
        <v>0</v>
      </c>
      <c r="AY201" s="15">
        <f t="shared" si="312"/>
        <v>2006</v>
      </c>
      <c r="AZ201" s="15">
        <f t="shared" si="313"/>
        <v>2100</v>
      </c>
      <c r="BA201" s="15">
        <f t="shared" si="314"/>
        <v>2100</v>
      </c>
      <c r="BB201" s="3">
        <f t="shared" si="344"/>
        <v>2100</v>
      </c>
      <c r="BC201" s="138">
        <f>VLOOKUP($B201,'2022 counts'!$B$6:$AD$304,28,FALSE)</f>
        <v>1311</v>
      </c>
      <c r="BD201" s="138">
        <f>VLOOKUP($B201,'2022 counts'!$B$6:$AD$304,29,FALSE)</f>
        <v>1013</v>
      </c>
      <c r="BE201" s="11">
        <f t="shared" si="315"/>
        <v>0.62</v>
      </c>
      <c r="BF201" s="2" t="str">
        <f t="shared" si="316"/>
        <v>C</v>
      </c>
      <c r="BG201" s="135">
        <v>2.75E-2</v>
      </c>
      <c r="BH201" s="135">
        <f>IF($AQ201="","",VLOOKUP($B201, '2022 counts'!$B$6:$T$304,19,FALSE))</f>
        <v>2.75E-2</v>
      </c>
      <c r="BI201" s="38">
        <f t="shared" si="317"/>
        <v>2.75E-2</v>
      </c>
      <c r="BJ201" s="39" t="str">
        <f t="shared" si="318"/>
        <v/>
      </c>
      <c r="BK201" s="15">
        <f>VLOOKUP($U201,'2020_CapacityTable'!$B$49:$F$71,2)</f>
        <v>0</v>
      </c>
      <c r="BL201" s="15">
        <f>VLOOKUP($U201,'2020_CapacityTable'!$B$49:$F$71,3)</f>
        <v>37900</v>
      </c>
      <c r="BM201" s="15">
        <f>VLOOKUP($T201,'2020_CapacityTable'!$B$49:$F$71,4)</f>
        <v>39800</v>
      </c>
      <c r="BN201" s="15">
        <f>VLOOKUP($T201,'2020_CapacityTable'!$B$49:$F$71,5)</f>
        <v>39800</v>
      </c>
      <c r="BO201" s="15">
        <f t="shared" si="319"/>
        <v>0</v>
      </c>
      <c r="BP201" s="15">
        <f t="shared" si="320"/>
        <v>39795</v>
      </c>
      <c r="BQ201" s="15">
        <f t="shared" si="321"/>
        <v>41790</v>
      </c>
      <c r="BR201" s="15">
        <f t="shared" si="322"/>
        <v>41790</v>
      </c>
      <c r="BS201" s="3">
        <f t="shared" si="345"/>
        <v>41790</v>
      </c>
      <c r="BT201" s="40">
        <f>'State of the System - Sumter Co'!AD201</f>
        <v>35618</v>
      </c>
      <c r="BU201" s="41">
        <f t="shared" si="323"/>
        <v>0.85</v>
      </c>
      <c r="BV201" s="2" t="str">
        <f t="shared" si="324"/>
        <v>C</v>
      </c>
      <c r="BW201" s="2">
        <f t="shared" si="325"/>
        <v>16.38</v>
      </c>
      <c r="BX201" s="15">
        <f>VLOOKUP($U201,'2020_CapacityTable'!$B$23:$F$45,2)</f>
        <v>0</v>
      </c>
      <c r="BY201" s="15">
        <f>VLOOKUP($U201,'2020_CapacityTable'!$B$23:$F$45,3)</f>
        <v>1910</v>
      </c>
      <c r="BZ201" s="15">
        <f>VLOOKUP($U201,'2020_CapacityTable'!$B$23:$F$45,4)</f>
        <v>2000</v>
      </c>
      <c r="CA201" s="15">
        <f>VLOOKUP($U201,'2020_CapacityTable'!$B$23:$F$45,5)</f>
        <v>2000</v>
      </c>
      <c r="CB201" s="15">
        <f t="shared" si="326"/>
        <v>0</v>
      </c>
      <c r="CC201" s="15">
        <f t="shared" si="327"/>
        <v>2006</v>
      </c>
      <c r="CD201" s="15">
        <f t="shared" si="328"/>
        <v>2100</v>
      </c>
      <c r="CE201" s="15">
        <f t="shared" si="329"/>
        <v>2100</v>
      </c>
      <c r="CF201" s="3">
        <f t="shared" si="292"/>
        <v>2100</v>
      </c>
      <c r="CG201" s="2">
        <f>'State of the System - Sumter Co'!AH201</f>
        <v>1501</v>
      </c>
      <c r="CH201" s="2">
        <f>'State of the System - Sumter Co'!AI201</f>
        <v>1160</v>
      </c>
      <c r="CI201" s="11">
        <f t="shared" si="330"/>
        <v>0.71</v>
      </c>
      <c r="CJ201" s="2" t="str">
        <f t="shared" si="293"/>
        <v>C</v>
      </c>
      <c r="CK201" s="3">
        <f t="shared" si="331"/>
        <v>45133</v>
      </c>
      <c r="CL201" s="11">
        <f t="shared" si="332"/>
        <v>0.79</v>
      </c>
      <c r="CM201" s="11" t="str">
        <f t="shared" si="333"/>
        <v>NOT CONGESTED</v>
      </c>
      <c r="CN201" s="3">
        <f t="shared" si="334"/>
        <v>2268</v>
      </c>
      <c r="CO201" s="11">
        <f t="shared" si="335"/>
        <v>0.66</v>
      </c>
      <c r="CP201" s="156" t="str">
        <f t="shared" si="336"/>
        <v>NOT CONGESTED</v>
      </c>
      <c r="CQ201" s="3"/>
      <c r="CR201" s="3"/>
      <c r="CS201" s="11" t="str">
        <f t="shared" si="337"/>
        <v/>
      </c>
      <c r="CT201" s="11" t="str">
        <f t="shared" si="346"/>
        <v/>
      </c>
      <c r="CU201" s="11" t="str">
        <f t="shared" si="338"/>
        <v/>
      </c>
      <c r="CV201" s="11" t="str">
        <f t="shared" si="339"/>
        <v/>
      </c>
      <c r="CW201" s="2" t="s">
        <v>586</v>
      </c>
      <c r="CX201" s="1"/>
      <c r="CY201" s="145" t="str">
        <f t="shared" si="340"/>
        <v/>
      </c>
      <c r="CZ201" s="32" t="str">
        <f t="shared" si="341"/>
        <v/>
      </c>
    </row>
    <row r="202" spans="1:104" s="9" customFormat="1" ht="12" customHeight="1">
      <c r="A202" s="1">
        <v>32533101</v>
      </c>
      <c r="B202" s="1">
        <f t="shared" si="342"/>
        <v>180100</v>
      </c>
      <c r="C202" s="1">
        <v>440</v>
      </c>
      <c r="D202" s="1" t="str">
        <f>VLOOKUP(C202,'2022 counts'!$A$6:$B$304,2,FALSE)</f>
        <v>STATE</v>
      </c>
      <c r="E202" s="1">
        <v>180100</v>
      </c>
      <c r="F202" s="2" t="s">
        <v>136</v>
      </c>
      <c r="G202" s="156">
        <v>45</v>
      </c>
      <c r="H202" s="11">
        <v>0.75137042370700002</v>
      </c>
      <c r="I202" s="10" t="s">
        <v>40</v>
      </c>
      <c r="J202" s="10" t="s">
        <v>716</v>
      </c>
      <c r="K202" s="10" t="s">
        <v>173</v>
      </c>
      <c r="L202" s="157">
        <v>4</v>
      </c>
      <c r="M202" s="1">
        <f>'State of the System - Sumter Co'!K202</f>
        <v>4</v>
      </c>
      <c r="N202" s="1" t="str">
        <f>IF('State of the System - Sumter Co'!L202="URBAN","U","R")</f>
        <v>U</v>
      </c>
      <c r="O202" s="1" t="str">
        <f>IF('State of the System - Sumter Co'!M202="UNDIVIDED","U",IF('State of the System - Sumter Co'!M202="DIVIDED","D","F"))</f>
        <v>D</v>
      </c>
      <c r="P202" s="1" t="str">
        <f>'State of the System - Sumter Co'!N202</f>
        <v>INTERRUPTED</v>
      </c>
      <c r="Q202" s="1" t="str">
        <f t="shared" si="300"/>
        <v/>
      </c>
      <c r="R202" s="1" t="str">
        <f>'State of the System - Sumter Co'!O202</f>
        <v/>
      </c>
      <c r="S202" s="1" t="str">
        <f t="shared" si="298"/>
        <v>-1</v>
      </c>
      <c r="T202" s="1" t="str">
        <f t="shared" si="301"/>
        <v>U-4D-1</v>
      </c>
      <c r="U202" s="1" t="str">
        <f t="shared" si="297"/>
        <v>U-4D-1</v>
      </c>
      <c r="V202" s="1" t="s">
        <v>137</v>
      </c>
      <c r="W202" s="1" t="s">
        <v>25</v>
      </c>
      <c r="X202" s="1" t="s">
        <v>50</v>
      </c>
      <c r="Y202" s="1" t="str">
        <f>'State of the System - Sumter Co'!R202</f>
        <v>D</v>
      </c>
      <c r="Z202" s="157" t="str">
        <f t="shared" si="302"/>
        <v>NHS Non-Interstate</v>
      </c>
      <c r="AA202" s="15">
        <f>VLOOKUP($T202,'2020_CapacityTable'!$B$49:$F$71,2)</f>
        <v>0</v>
      </c>
      <c r="AB202" s="15">
        <f>VLOOKUP($T202,'2020_CapacityTable'!$B$49:$F$71,3)</f>
        <v>37900</v>
      </c>
      <c r="AC202" s="15">
        <f>VLOOKUP($T202,'2020_CapacityTable'!$B$49:$F$71,4)</f>
        <v>39800</v>
      </c>
      <c r="AD202" s="15">
        <f>VLOOKUP($T202,'2020_CapacityTable'!$B$49:$F$71,5)</f>
        <v>39800</v>
      </c>
      <c r="AE202" s="35" t="str">
        <f t="shared" si="347"/>
        <v/>
      </c>
      <c r="AF202" s="36" t="str">
        <f t="shared" si="303"/>
        <v/>
      </c>
      <c r="AG202" s="35" t="str">
        <f t="shared" si="348"/>
        <v/>
      </c>
      <c r="AH202" s="35" t="str">
        <f>IF(O202="U",IF(#REF!&gt;2,"LOOK",""),"")</f>
        <v/>
      </c>
      <c r="AI202" s="35"/>
      <c r="AJ202" s="36"/>
      <c r="AK202" s="15">
        <f t="shared" si="304"/>
        <v>0</v>
      </c>
      <c r="AL202" s="15">
        <f t="shared" si="305"/>
        <v>37900</v>
      </c>
      <c r="AM202" s="15">
        <f t="shared" si="306"/>
        <v>39800</v>
      </c>
      <c r="AN202" s="15">
        <f t="shared" si="307"/>
        <v>39800</v>
      </c>
      <c r="AO202" s="3">
        <f t="shared" si="343"/>
        <v>39800</v>
      </c>
      <c r="AP202" s="138">
        <f>VLOOKUP($B202,'2022 counts'!$B$6:$R$304,17,FALSE)</f>
        <v>19580</v>
      </c>
      <c r="AQ202" s="11">
        <f t="shared" si="308"/>
        <v>0.49</v>
      </c>
      <c r="AR202" s="2" t="str">
        <f t="shared" si="309"/>
        <v>C</v>
      </c>
      <c r="AS202" s="26">
        <f t="shared" si="310"/>
        <v>5.37</v>
      </c>
      <c r="AT202" s="15">
        <f>VLOOKUP($T202,'2020_CapacityTable'!$B$23:$F$45,2)</f>
        <v>0</v>
      </c>
      <c r="AU202" s="15">
        <f>VLOOKUP($T202,'2020_CapacityTable'!$B$23:$F$45,3)</f>
        <v>1910</v>
      </c>
      <c r="AV202" s="15">
        <f>VLOOKUP($T202,'2020_CapacityTable'!$B$23:$F$45,4)</f>
        <v>2000</v>
      </c>
      <c r="AW202" s="15">
        <f>VLOOKUP($T202,'2020_CapacityTable'!$B$23:$F$45,5)</f>
        <v>2000</v>
      </c>
      <c r="AX202" s="15">
        <f t="shared" si="311"/>
        <v>0</v>
      </c>
      <c r="AY202" s="15">
        <f t="shared" si="312"/>
        <v>1910</v>
      </c>
      <c r="AZ202" s="15">
        <f t="shared" si="313"/>
        <v>2000</v>
      </c>
      <c r="BA202" s="15">
        <f t="shared" si="314"/>
        <v>2000</v>
      </c>
      <c r="BB202" s="3">
        <f t="shared" si="344"/>
        <v>2000</v>
      </c>
      <c r="BC202" s="138">
        <f>VLOOKUP($B202,'2022 counts'!$B$6:$AD$304,28,FALSE)</f>
        <v>1173</v>
      </c>
      <c r="BD202" s="138">
        <f>VLOOKUP($B202,'2022 counts'!$B$6:$AD$304,29,FALSE)</f>
        <v>729</v>
      </c>
      <c r="BE202" s="11">
        <f t="shared" si="315"/>
        <v>0.59</v>
      </c>
      <c r="BF202" s="2" t="str">
        <f t="shared" si="316"/>
        <v>C</v>
      </c>
      <c r="BG202" s="135">
        <v>2.5000000000000001E-3</v>
      </c>
      <c r="BH202" s="135">
        <f>IF($AQ202="","",VLOOKUP($B202, '2022 counts'!$B$6:$T$304,19,FALSE))</f>
        <v>2.5000000000000001E-3</v>
      </c>
      <c r="BI202" s="38">
        <f t="shared" si="317"/>
        <v>0.01</v>
      </c>
      <c r="BJ202" s="39" t="str">
        <f t="shared" si="318"/>
        <v>minimum</v>
      </c>
      <c r="BK202" s="15">
        <f>VLOOKUP($U202,'2020_CapacityTable'!$B$49:$F$71,2)</f>
        <v>0</v>
      </c>
      <c r="BL202" s="15">
        <f>VLOOKUP($U202,'2020_CapacityTable'!$B$49:$F$71,3)</f>
        <v>37900</v>
      </c>
      <c r="BM202" s="15">
        <f>VLOOKUP($T202,'2020_CapacityTable'!$B$49:$F$71,4)</f>
        <v>39800</v>
      </c>
      <c r="BN202" s="15">
        <f>VLOOKUP($T202,'2020_CapacityTable'!$B$49:$F$71,5)</f>
        <v>39800</v>
      </c>
      <c r="BO202" s="15">
        <f t="shared" si="319"/>
        <v>0</v>
      </c>
      <c r="BP202" s="15">
        <f t="shared" si="320"/>
        <v>37900</v>
      </c>
      <c r="BQ202" s="15">
        <f t="shared" si="321"/>
        <v>39800</v>
      </c>
      <c r="BR202" s="15">
        <f t="shared" si="322"/>
        <v>39800</v>
      </c>
      <c r="BS202" s="3">
        <f t="shared" si="345"/>
        <v>39800</v>
      </c>
      <c r="BT202" s="40">
        <f>'State of the System - Sumter Co'!AD202</f>
        <v>20579</v>
      </c>
      <c r="BU202" s="41">
        <f t="shared" si="323"/>
        <v>0.52</v>
      </c>
      <c r="BV202" s="2" t="str">
        <f t="shared" si="324"/>
        <v>C</v>
      </c>
      <c r="BW202" s="2">
        <f t="shared" si="325"/>
        <v>5.64</v>
      </c>
      <c r="BX202" s="15">
        <f>VLOOKUP($U202,'2020_CapacityTable'!$B$23:$F$45,2)</f>
        <v>0</v>
      </c>
      <c r="BY202" s="15">
        <f>VLOOKUP($U202,'2020_CapacityTable'!$B$23:$F$45,3)</f>
        <v>1910</v>
      </c>
      <c r="BZ202" s="15">
        <f>VLOOKUP($U202,'2020_CapacityTable'!$B$23:$F$45,4)</f>
        <v>2000</v>
      </c>
      <c r="CA202" s="15">
        <f>VLOOKUP($U202,'2020_CapacityTable'!$B$23:$F$45,5)</f>
        <v>2000</v>
      </c>
      <c r="CB202" s="15">
        <f t="shared" si="326"/>
        <v>0</v>
      </c>
      <c r="CC202" s="15">
        <f t="shared" si="327"/>
        <v>1910</v>
      </c>
      <c r="CD202" s="15">
        <f t="shared" si="328"/>
        <v>2000</v>
      </c>
      <c r="CE202" s="15">
        <f t="shared" si="329"/>
        <v>2000</v>
      </c>
      <c r="CF202" s="3">
        <f t="shared" si="292"/>
        <v>2000</v>
      </c>
      <c r="CG202" s="2">
        <f>'State of the System - Sumter Co'!AH202</f>
        <v>1233</v>
      </c>
      <c r="CH202" s="2">
        <f>'State of the System - Sumter Co'!AI202</f>
        <v>766</v>
      </c>
      <c r="CI202" s="11">
        <f t="shared" si="330"/>
        <v>0.62</v>
      </c>
      <c r="CJ202" s="2" t="str">
        <f t="shared" si="293"/>
        <v>C</v>
      </c>
      <c r="CK202" s="3">
        <f t="shared" si="331"/>
        <v>42984</v>
      </c>
      <c r="CL202" s="11">
        <f t="shared" si="332"/>
        <v>0.48</v>
      </c>
      <c r="CM202" s="11" t="str">
        <f t="shared" si="333"/>
        <v>NOT CONGESTED</v>
      </c>
      <c r="CN202" s="3">
        <f t="shared" si="334"/>
        <v>2160</v>
      </c>
      <c r="CO202" s="11">
        <f t="shared" si="335"/>
        <v>0.56999999999999995</v>
      </c>
      <c r="CP202" s="156" t="str">
        <f t="shared" si="336"/>
        <v>NOT CONGESTED</v>
      </c>
      <c r="CQ202" s="2"/>
      <c r="CR202" s="42"/>
      <c r="CS202" s="11" t="str">
        <f t="shared" si="337"/>
        <v/>
      </c>
      <c r="CT202" s="11" t="str">
        <f t="shared" si="346"/>
        <v/>
      </c>
      <c r="CU202" s="11" t="str">
        <f t="shared" si="338"/>
        <v/>
      </c>
      <c r="CV202" s="11" t="str">
        <f t="shared" si="339"/>
        <v/>
      </c>
      <c r="CW202" s="2"/>
      <c r="CX202" s="1"/>
      <c r="CY202" s="145" t="str">
        <f t="shared" si="340"/>
        <v/>
      </c>
      <c r="CZ202" s="32" t="str">
        <f t="shared" si="341"/>
        <v/>
      </c>
    </row>
    <row r="203" spans="1:104" s="9" customFormat="1" ht="12.75" customHeight="1">
      <c r="A203" s="1">
        <v>32533102</v>
      </c>
      <c r="B203" s="1">
        <f t="shared" si="342"/>
        <v>180100</v>
      </c>
      <c r="C203" s="1">
        <v>450</v>
      </c>
      <c r="D203" s="1" t="str">
        <f>VLOOKUP(C203,'2022 counts'!$A$6:$B$304,2,FALSE)</f>
        <v>STATE</v>
      </c>
      <c r="E203" s="1">
        <v>180100</v>
      </c>
      <c r="F203" s="2" t="s">
        <v>136</v>
      </c>
      <c r="G203" s="156">
        <v>45</v>
      </c>
      <c r="H203" s="11">
        <v>1.5235205655299999</v>
      </c>
      <c r="I203" s="10" t="s">
        <v>40</v>
      </c>
      <c r="J203" s="10" t="s">
        <v>173</v>
      </c>
      <c r="K203" s="10" t="s">
        <v>34</v>
      </c>
      <c r="L203" s="157">
        <v>4</v>
      </c>
      <c r="M203" s="1">
        <f>'State of the System - Sumter Co'!K203</f>
        <v>4</v>
      </c>
      <c r="N203" s="1" t="str">
        <f>IF('State of the System - Sumter Co'!L203="URBAN","U","R")</f>
        <v>U</v>
      </c>
      <c r="O203" s="1" t="str">
        <f>IF('State of the System - Sumter Co'!M203="UNDIVIDED","U",IF('State of the System - Sumter Co'!M203="DIVIDED","D","F"))</f>
        <v>D</v>
      </c>
      <c r="P203" s="1" t="str">
        <f>'State of the System - Sumter Co'!N203</f>
        <v>INTERRUPTED</v>
      </c>
      <c r="Q203" s="1" t="str">
        <f t="shared" si="300"/>
        <v/>
      </c>
      <c r="R203" s="1" t="str">
        <f>'State of the System - Sumter Co'!O203</f>
        <v/>
      </c>
      <c r="S203" s="1" t="str">
        <f t="shared" si="298"/>
        <v>-1</v>
      </c>
      <c r="T203" s="1" t="str">
        <f t="shared" si="301"/>
        <v>U-4D-1</v>
      </c>
      <c r="U203" s="1" t="str">
        <f t="shared" si="297"/>
        <v>U-4D-1</v>
      </c>
      <c r="V203" s="1" t="s">
        <v>137</v>
      </c>
      <c r="W203" s="1" t="s">
        <v>25</v>
      </c>
      <c r="X203" s="1" t="s">
        <v>138</v>
      </c>
      <c r="Y203" s="1" t="str">
        <f>'State of the System - Sumter Co'!R203</f>
        <v>D</v>
      </c>
      <c r="Z203" s="157" t="str">
        <f t="shared" si="302"/>
        <v>NHS Non-Interstate</v>
      </c>
      <c r="AA203" s="15">
        <f>VLOOKUP($T203,'2020_CapacityTable'!$B$49:$F$71,2)</f>
        <v>0</v>
      </c>
      <c r="AB203" s="15">
        <f>VLOOKUP($T203,'2020_CapacityTable'!$B$49:$F$71,3)</f>
        <v>37900</v>
      </c>
      <c r="AC203" s="15">
        <f>VLOOKUP($T203,'2020_CapacityTable'!$B$49:$F$71,4)</f>
        <v>39800</v>
      </c>
      <c r="AD203" s="15">
        <f>VLOOKUP($T203,'2020_CapacityTable'!$B$49:$F$71,5)</f>
        <v>39800</v>
      </c>
      <c r="AE203" s="35" t="str">
        <f t="shared" si="347"/>
        <v/>
      </c>
      <c r="AF203" s="36" t="str">
        <f t="shared" si="303"/>
        <v/>
      </c>
      <c r="AG203" s="35" t="str">
        <f t="shared" si="348"/>
        <v/>
      </c>
      <c r="AH203" s="35" t="str">
        <f>IF(O203="U",IF(#REF!&gt;2,"LOOK",""),"")</f>
        <v/>
      </c>
      <c r="AI203" s="35"/>
      <c r="AJ203" s="36"/>
      <c r="AK203" s="15">
        <f t="shared" si="304"/>
        <v>0</v>
      </c>
      <c r="AL203" s="15">
        <f t="shared" si="305"/>
        <v>37900</v>
      </c>
      <c r="AM203" s="15">
        <f t="shared" si="306"/>
        <v>39800</v>
      </c>
      <c r="AN203" s="15">
        <f t="shared" si="307"/>
        <v>39800</v>
      </c>
      <c r="AO203" s="3">
        <f t="shared" si="343"/>
        <v>39800</v>
      </c>
      <c r="AP203" s="138">
        <f>VLOOKUP($B203,'2022 counts'!$B$6:$R$304,17,FALSE)</f>
        <v>19580</v>
      </c>
      <c r="AQ203" s="11">
        <f t="shared" si="308"/>
        <v>0.49</v>
      </c>
      <c r="AR203" s="2" t="str">
        <f t="shared" si="309"/>
        <v>C</v>
      </c>
      <c r="AS203" s="26">
        <f t="shared" si="310"/>
        <v>10.89</v>
      </c>
      <c r="AT203" s="15">
        <f>VLOOKUP($T203,'2020_CapacityTable'!$B$23:$F$45,2)</f>
        <v>0</v>
      </c>
      <c r="AU203" s="15">
        <f>VLOOKUP($T203,'2020_CapacityTable'!$B$23:$F$45,3)</f>
        <v>1910</v>
      </c>
      <c r="AV203" s="15">
        <f>VLOOKUP($T203,'2020_CapacityTable'!$B$23:$F$45,4)</f>
        <v>2000</v>
      </c>
      <c r="AW203" s="15">
        <f>VLOOKUP($T203,'2020_CapacityTable'!$B$23:$F$45,5)</f>
        <v>2000</v>
      </c>
      <c r="AX203" s="15">
        <f t="shared" si="311"/>
        <v>0</v>
      </c>
      <c r="AY203" s="15">
        <f t="shared" si="312"/>
        <v>1910</v>
      </c>
      <c r="AZ203" s="15">
        <f t="shared" si="313"/>
        <v>2000</v>
      </c>
      <c r="BA203" s="15">
        <f t="shared" si="314"/>
        <v>2000</v>
      </c>
      <c r="BB203" s="3">
        <f t="shared" si="344"/>
        <v>2000</v>
      </c>
      <c r="BC203" s="138">
        <f>VLOOKUP($B203,'2022 counts'!$B$6:$AD$304,28,FALSE)</f>
        <v>1173</v>
      </c>
      <c r="BD203" s="138">
        <f>VLOOKUP($B203,'2022 counts'!$B$6:$AD$304,29,FALSE)</f>
        <v>729</v>
      </c>
      <c r="BE203" s="11">
        <f t="shared" si="315"/>
        <v>0.59</v>
      </c>
      <c r="BF203" s="2" t="str">
        <f t="shared" si="316"/>
        <v>C</v>
      </c>
      <c r="BG203" s="135">
        <v>2.5000000000000001E-3</v>
      </c>
      <c r="BH203" s="135">
        <f>IF($AQ203="","",VLOOKUP($B203, '2022 counts'!$B$6:$T$304,19,FALSE))</f>
        <v>2.5000000000000001E-3</v>
      </c>
      <c r="BI203" s="38">
        <f t="shared" si="317"/>
        <v>0.01</v>
      </c>
      <c r="BJ203" s="39" t="str">
        <f t="shared" si="318"/>
        <v>minimum</v>
      </c>
      <c r="BK203" s="15">
        <f>VLOOKUP($U203,'2020_CapacityTable'!$B$49:$F$71,2)</f>
        <v>0</v>
      </c>
      <c r="BL203" s="15">
        <f>VLOOKUP($U203,'2020_CapacityTable'!$B$49:$F$71,3)</f>
        <v>37900</v>
      </c>
      <c r="BM203" s="15">
        <f>VLOOKUP($T203,'2020_CapacityTable'!$B$49:$F$71,4)</f>
        <v>39800</v>
      </c>
      <c r="BN203" s="15">
        <f>VLOOKUP($T203,'2020_CapacityTable'!$B$49:$F$71,5)</f>
        <v>39800</v>
      </c>
      <c r="BO203" s="15">
        <f t="shared" si="319"/>
        <v>0</v>
      </c>
      <c r="BP203" s="15">
        <f t="shared" si="320"/>
        <v>37900</v>
      </c>
      <c r="BQ203" s="15">
        <f t="shared" si="321"/>
        <v>39800</v>
      </c>
      <c r="BR203" s="15">
        <f t="shared" si="322"/>
        <v>39800</v>
      </c>
      <c r="BS203" s="3">
        <f t="shared" si="345"/>
        <v>39800</v>
      </c>
      <c r="BT203" s="40">
        <f>'State of the System - Sumter Co'!AD203</f>
        <v>20579</v>
      </c>
      <c r="BU203" s="41">
        <f t="shared" si="323"/>
        <v>0.52</v>
      </c>
      <c r="BV203" s="2" t="str">
        <f t="shared" si="324"/>
        <v>C</v>
      </c>
      <c r="BW203" s="2">
        <f t="shared" si="325"/>
        <v>11.44</v>
      </c>
      <c r="BX203" s="15">
        <f>VLOOKUP($U203,'2020_CapacityTable'!$B$23:$F$45,2)</f>
        <v>0</v>
      </c>
      <c r="BY203" s="15">
        <f>VLOOKUP($U203,'2020_CapacityTable'!$B$23:$F$45,3)</f>
        <v>1910</v>
      </c>
      <c r="BZ203" s="15">
        <f>VLOOKUP($U203,'2020_CapacityTable'!$B$23:$F$45,4)</f>
        <v>2000</v>
      </c>
      <c r="CA203" s="15">
        <f>VLOOKUP($U203,'2020_CapacityTable'!$B$23:$F$45,5)</f>
        <v>2000</v>
      </c>
      <c r="CB203" s="15">
        <f t="shared" si="326"/>
        <v>0</v>
      </c>
      <c r="CC203" s="15">
        <f t="shared" si="327"/>
        <v>1910</v>
      </c>
      <c r="CD203" s="15">
        <f t="shared" si="328"/>
        <v>2000</v>
      </c>
      <c r="CE203" s="15">
        <f t="shared" si="329"/>
        <v>2000</v>
      </c>
      <c r="CF203" s="3">
        <f t="shared" si="292"/>
        <v>2000</v>
      </c>
      <c r="CG203" s="2">
        <f>'State of the System - Sumter Co'!AH203</f>
        <v>1233</v>
      </c>
      <c r="CH203" s="2">
        <f>'State of the System - Sumter Co'!AI203</f>
        <v>766</v>
      </c>
      <c r="CI203" s="11">
        <f t="shared" si="330"/>
        <v>0.62</v>
      </c>
      <c r="CJ203" s="2" t="str">
        <f t="shared" si="293"/>
        <v>C</v>
      </c>
      <c r="CK203" s="3">
        <f t="shared" si="331"/>
        <v>42984</v>
      </c>
      <c r="CL203" s="11">
        <f t="shared" si="332"/>
        <v>0.48</v>
      </c>
      <c r="CM203" s="11" t="str">
        <f t="shared" si="333"/>
        <v>NOT CONGESTED</v>
      </c>
      <c r="CN203" s="3">
        <f t="shared" si="334"/>
        <v>2160</v>
      </c>
      <c r="CO203" s="11">
        <f t="shared" si="335"/>
        <v>0.56999999999999995</v>
      </c>
      <c r="CP203" s="156" t="str">
        <f t="shared" si="336"/>
        <v>NOT CONGESTED</v>
      </c>
      <c r="CQ203" s="2"/>
      <c r="CR203" s="42"/>
      <c r="CS203" s="11" t="str">
        <f t="shared" si="337"/>
        <v/>
      </c>
      <c r="CT203" s="11" t="str">
        <f t="shared" si="346"/>
        <v/>
      </c>
      <c r="CU203" s="11" t="str">
        <f t="shared" si="338"/>
        <v/>
      </c>
      <c r="CV203" s="11" t="str">
        <f t="shared" si="339"/>
        <v/>
      </c>
      <c r="CW203" s="2"/>
      <c r="CX203" s="1"/>
      <c r="CY203" s="145" t="str">
        <f t="shared" si="340"/>
        <v/>
      </c>
      <c r="CZ203" s="32" t="str">
        <f t="shared" si="341"/>
        <v/>
      </c>
    </row>
    <row r="204" spans="1:104" s="9" customFormat="1" ht="12.75" customHeight="1">
      <c r="A204" s="1">
        <v>33000001</v>
      </c>
      <c r="B204" s="1">
        <f t="shared" si="342"/>
        <v>163</v>
      </c>
      <c r="C204" s="1">
        <v>289</v>
      </c>
      <c r="D204" s="1">
        <f>VLOOKUP(C204,'2022 counts'!$A$6:$B$304,2,FALSE)</f>
        <v>163</v>
      </c>
      <c r="E204" s="1"/>
      <c r="F204" s="2" t="s">
        <v>6</v>
      </c>
      <c r="G204" s="156">
        <v>20</v>
      </c>
      <c r="H204" s="11">
        <v>0.33004116545399997</v>
      </c>
      <c r="I204" s="10" t="s">
        <v>18</v>
      </c>
      <c r="J204" s="10" t="s">
        <v>15</v>
      </c>
      <c r="K204" s="10" t="s">
        <v>30</v>
      </c>
      <c r="L204" s="157">
        <v>4</v>
      </c>
      <c r="M204" s="1">
        <f>'State of the System - Sumter Co'!K204</f>
        <v>4</v>
      </c>
      <c r="N204" s="1" t="str">
        <f>IF('State of the System - Sumter Co'!L204="URBAN","U","R")</f>
        <v>U</v>
      </c>
      <c r="O204" s="1" t="str">
        <f>IF('State of the System - Sumter Co'!M204="UNDIVIDED","U",IF('State of the System - Sumter Co'!M204="DIVIDED","D","F"))</f>
        <v>D</v>
      </c>
      <c r="P204" s="1" t="str">
        <f>'State of the System - Sumter Co'!N204</f>
        <v>INTERRUPTED</v>
      </c>
      <c r="Q204" s="1" t="str">
        <f t="shared" si="300"/>
        <v/>
      </c>
      <c r="R204" s="1" t="str">
        <f>'State of the System - Sumter Co'!O204</f>
        <v/>
      </c>
      <c r="S204" s="1" t="str">
        <f t="shared" si="298"/>
        <v>-2</v>
      </c>
      <c r="T204" s="1" t="str">
        <f t="shared" si="301"/>
        <v>U-4D-2</v>
      </c>
      <c r="U204" s="1" t="str">
        <f t="shared" si="297"/>
        <v>U-4D-2</v>
      </c>
      <c r="V204" s="1" t="s">
        <v>10</v>
      </c>
      <c r="W204" s="1" t="s">
        <v>11</v>
      </c>
      <c r="X204" s="1" t="s">
        <v>12</v>
      </c>
      <c r="Y204" s="1" t="str">
        <f>'State of the System - Sumter Co'!R204</f>
        <v>D</v>
      </c>
      <c r="Z204" s="157" t="str">
        <f t="shared" si="302"/>
        <v>Other CMP Network Roadways</v>
      </c>
      <c r="AA204" s="15">
        <f>VLOOKUP($T204,'2020_CapacityTable'!$B$49:$F$71,2)</f>
        <v>0</v>
      </c>
      <c r="AB204" s="15">
        <f>VLOOKUP($T204,'2020_CapacityTable'!$B$49:$F$71,3)</f>
        <v>14500</v>
      </c>
      <c r="AC204" s="15">
        <f>VLOOKUP($T204,'2020_CapacityTable'!$B$49:$F$71,4)</f>
        <v>32400</v>
      </c>
      <c r="AD204" s="15">
        <f>VLOOKUP($T204,'2020_CapacityTable'!$B$49:$F$71,5)</f>
        <v>33800</v>
      </c>
      <c r="AE204" s="35">
        <f t="shared" si="347"/>
        <v>-0.1</v>
      </c>
      <c r="AF204" s="36" t="str">
        <f t="shared" si="303"/>
        <v/>
      </c>
      <c r="AG204" s="35" t="str">
        <f t="shared" si="348"/>
        <v/>
      </c>
      <c r="AH204" s="35" t="str">
        <f>IF(O204="U",IF(#REF!&gt;2,"LOOK",""),"")</f>
        <v/>
      </c>
      <c r="AI204" s="35"/>
      <c r="AJ204" s="36"/>
      <c r="AK204" s="15">
        <f t="shared" si="304"/>
        <v>0</v>
      </c>
      <c r="AL204" s="15">
        <f t="shared" si="305"/>
        <v>13050</v>
      </c>
      <c r="AM204" s="15">
        <f t="shared" si="306"/>
        <v>29160</v>
      </c>
      <c r="AN204" s="15">
        <f t="shared" si="307"/>
        <v>30420</v>
      </c>
      <c r="AO204" s="3">
        <f t="shared" si="343"/>
        <v>29160</v>
      </c>
      <c r="AP204" s="138">
        <f>VLOOKUP($B204,'2022 counts'!$B$6:$R$304,17,FALSE)</f>
        <v>18280</v>
      </c>
      <c r="AQ204" s="11">
        <f t="shared" si="308"/>
        <v>0.63</v>
      </c>
      <c r="AR204" s="2" t="str">
        <f t="shared" si="309"/>
        <v>D</v>
      </c>
      <c r="AS204" s="26">
        <f t="shared" si="310"/>
        <v>2.2000000000000002</v>
      </c>
      <c r="AT204" s="15">
        <f>VLOOKUP($T204,'2020_CapacityTable'!$B$23:$F$45,2)</f>
        <v>0</v>
      </c>
      <c r="AU204" s="15">
        <f>VLOOKUP($T204,'2020_CapacityTable'!$B$23:$F$45,3)</f>
        <v>730</v>
      </c>
      <c r="AV204" s="15">
        <f>VLOOKUP($T204,'2020_CapacityTable'!$B$23:$F$45,4)</f>
        <v>1630</v>
      </c>
      <c r="AW204" s="15">
        <f>VLOOKUP($T204,'2020_CapacityTable'!$B$23:$F$45,5)</f>
        <v>1700</v>
      </c>
      <c r="AX204" s="15">
        <f t="shared" si="311"/>
        <v>0</v>
      </c>
      <c r="AY204" s="15">
        <f t="shared" si="312"/>
        <v>657</v>
      </c>
      <c r="AZ204" s="15">
        <f t="shared" si="313"/>
        <v>1467</v>
      </c>
      <c r="BA204" s="15">
        <f t="shared" si="314"/>
        <v>1530</v>
      </c>
      <c r="BB204" s="3">
        <f t="shared" si="344"/>
        <v>1467</v>
      </c>
      <c r="BC204" s="138">
        <f>VLOOKUP($B204,'2022 counts'!$B$6:$AD$304,28,FALSE)</f>
        <v>955</v>
      </c>
      <c r="BD204" s="138">
        <f>VLOOKUP($B204,'2022 counts'!$B$6:$AD$304,29,FALSE)</f>
        <v>845</v>
      </c>
      <c r="BE204" s="11">
        <f t="shared" si="315"/>
        <v>0.65</v>
      </c>
      <c r="BF204" s="2" t="str">
        <f t="shared" si="316"/>
        <v>D</v>
      </c>
      <c r="BG204" s="135">
        <v>0</v>
      </c>
      <c r="BH204" s="135">
        <f>IF($AQ204="","",VLOOKUP($B204, '2022 counts'!$B$6:$T$304,19,FALSE))</f>
        <v>0</v>
      </c>
      <c r="BI204" s="38">
        <f t="shared" si="317"/>
        <v>0.01</v>
      </c>
      <c r="BJ204" s="39" t="str">
        <f t="shared" si="318"/>
        <v>minimum</v>
      </c>
      <c r="BK204" s="15">
        <f>VLOOKUP($U204,'2020_CapacityTable'!$B$49:$F$71,2)</f>
        <v>0</v>
      </c>
      <c r="BL204" s="15">
        <f>VLOOKUP($U204,'2020_CapacityTable'!$B$49:$F$71,3)</f>
        <v>14500</v>
      </c>
      <c r="BM204" s="15">
        <f>VLOOKUP($T204,'2020_CapacityTable'!$B$49:$F$71,4)</f>
        <v>32400</v>
      </c>
      <c r="BN204" s="15">
        <f>VLOOKUP($T204,'2020_CapacityTable'!$B$49:$F$71,5)</f>
        <v>33800</v>
      </c>
      <c r="BO204" s="15">
        <f t="shared" si="319"/>
        <v>0</v>
      </c>
      <c r="BP204" s="15">
        <f t="shared" si="320"/>
        <v>13050</v>
      </c>
      <c r="BQ204" s="15">
        <f t="shared" si="321"/>
        <v>29160</v>
      </c>
      <c r="BR204" s="15">
        <f t="shared" si="322"/>
        <v>30420</v>
      </c>
      <c r="BS204" s="3">
        <f t="shared" si="345"/>
        <v>29160</v>
      </c>
      <c r="BT204" s="40">
        <f>'State of the System - Sumter Co'!AD204</f>
        <v>19212</v>
      </c>
      <c r="BU204" s="41">
        <f t="shared" si="323"/>
        <v>0.66</v>
      </c>
      <c r="BV204" s="2" t="str">
        <f t="shared" si="324"/>
        <v>D</v>
      </c>
      <c r="BW204" s="2">
        <f t="shared" si="325"/>
        <v>2.31</v>
      </c>
      <c r="BX204" s="15">
        <f>VLOOKUP($U204,'2020_CapacityTable'!$B$23:$F$45,2)</f>
        <v>0</v>
      </c>
      <c r="BY204" s="15">
        <f>VLOOKUP($U204,'2020_CapacityTable'!$B$23:$F$45,3)</f>
        <v>730</v>
      </c>
      <c r="BZ204" s="15">
        <f>VLOOKUP($U204,'2020_CapacityTable'!$B$23:$F$45,4)</f>
        <v>1630</v>
      </c>
      <c r="CA204" s="15">
        <f>VLOOKUP($U204,'2020_CapacityTable'!$B$23:$F$45,5)</f>
        <v>1700</v>
      </c>
      <c r="CB204" s="15">
        <f t="shared" si="326"/>
        <v>0</v>
      </c>
      <c r="CC204" s="15">
        <f t="shared" si="327"/>
        <v>657</v>
      </c>
      <c r="CD204" s="15">
        <f t="shared" si="328"/>
        <v>1467</v>
      </c>
      <c r="CE204" s="15">
        <f t="shared" si="329"/>
        <v>1530</v>
      </c>
      <c r="CF204" s="3">
        <f t="shared" si="292"/>
        <v>1467</v>
      </c>
      <c r="CG204" s="2">
        <f>'State of the System - Sumter Co'!AH204</f>
        <v>1004</v>
      </c>
      <c r="CH204" s="2">
        <f>'State of the System - Sumter Co'!AI204</f>
        <v>888</v>
      </c>
      <c r="CI204" s="11">
        <f t="shared" si="330"/>
        <v>0.68</v>
      </c>
      <c r="CJ204" s="2" t="str">
        <f t="shared" si="293"/>
        <v>D</v>
      </c>
      <c r="CK204" s="3">
        <f t="shared" si="331"/>
        <v>32854</v>
      </c>
      <c r="CL204" s="11">
        <f t="shared" si="332"/>
        <v>0.57999999999999996</v>
      </c>
      <c r="CM204" s="11" t="str">
        <f t="shared" si="333"/>
        <v>NOT CONGESTED</v>
      </c>
      <c r="CN204" s="3">
        <f t="shared" si="334"/>
        <v>1652</v>
      </c>
      <c r="CO204" s="11">
        <f t="shared" si="335"/>
        <v>0.61</v>
      </c>
      <c r="CP204" s="156" t="str">
        <f t="shared" si="336"/>
        <v>NOT CONGESTED</v>
      </c>
      <c r="CQ204" s="2"/>
      <c r="CR204" s="42"/>
      <c r="CS204" s="11" t="str">
        <f t="shared" si="337"/>
        <v/>
      </c>
      <c r="CT204" s="11" t="str">
        <f t="shared" si="346"/>
        <v/>
      </c>
      <c r="CU204" s="11" t="str">
        <f t="shared" si="338"/>
        <v/>
      </c>
      <c r="CV204" s="11" t="str">
        <f t="shared" si="339"/>
        <v/>
      </c>
      <c r="CW204" s="3"/>
      <c r="CX204" s="1"/>
      <c r="CY204" s="145" t="str">
        <f t="shared" si="340"/>
        <v/>
      </c>
      <c r="CZ204" s="32" t="str">
        <f t="shared" si="341"/>
        <v/>
      </c>
    </row>
    <row r="205" spans="1:104" s="9" customFormat="1" ht="12.75" customHeight="1">
      <c r="A205" s="1">
        <v>33000002</v>
      </c>
      <c r="B205" s="1">
        <f t="shared" si="342"/>
        <v>162</v>
      </c>
      <c r="C205" s="1">
        <v>286</v>
      </c>
      <c r="D205" s="1">
        <f>VLOOKUP(C205,'2022 counts'!$A$6:$B$304,2,FALSE)</f>
        <v>162</v>
      </c>
      <c r="E205" s="1"/>
      <c r="F205" s="2" t="s">
        <v>6</v>
      </c>
      <c r="G205" s="156">
        <v>35</v>
      </c>
      <c r="H205" s="11">
        <v>0.23345257974899999</v>
      </c>
      <c r="I205" s="10" t="s">
        <v>18</v>
      </c>
      <c r="J205" s="10" t="s">
        <v>30</v>
      </c>
      <c r="K205" s="10" t="s">
        <v>31</v>
      </c>
      <c r="L205" s="157">
        <v>4</v>
      </c>
      <c r="M205" s="1">
        <f>'State of the System - Sumter Co'!K205</f>
        <v>4</v>
      </c>
      <c r="N205" s="1" t="str">
        <f>IF('State of the System - Sumter Co'!L205="URBAN","U","R")</f>
        <v>U</v>
      </c>
      <c r="O205" s="1" t="str">
        <f>IF('State of the System - Sumter Co'!M205="UNDIVIDED","U",IF('State of the System - Sumter Co'!M205="DIVIDED","D","F"))</f>
        <v>D</v>
      </c>
      <c r="P205" s="1" t="str">
        <f>'State of the System - Sumter Co'!N205</f>
        <v>INTERRUPTED</v>
      </c>
      <c r="Q205" s="1" t="str">
        <f t="shared" si="300"/>
        <v/>
      </c>
      <c r="R205" s="1" t="str">
        <f>'State of the System - Sumter Co'!O205</f>
        <v/>
      </c>
      <c r="S205" s="1" t="str">
        <f t="shared" si="298"/>
        <v>-2</v>
      </c>
      <c r="T205" s="1" t="str">
        <f t="shared" si="301"/>
        <v>U-4D-2</v>
      </c>
      <c r="U205" s="1" t="str">
        <f t="shared" si="297"/>
        <v>U-4D-2</v>
      </c>
      <c r="V205" s="1" t="s">
        <v>10</v>
      </c>
      <c r="W205" s="1" t="s">
        <v>11</v>
      </c>
      <c r="X205" s="1" t="s">
        <v>12</v>
      </c>
      <c r="Y205" s="1" t="str">
        <f>'State of the System - Sumter Co'!R205</f>
        <v>D</v>
      </c>
      <c r="Z205" s="157" t="str">
        <f t="shared" si="302"/>
        <v>Other CMP Network Roadways</v>
      </c>
      <c r="AA205" s="15">
        <f>VLOOKUP($T205,'2020_CapacityTable'!$B$49:$F$71,2)</f>
        <v>0</v>
      </c>
      <c r="AB205" s="15">
        <f>VLOOKUP($T205,'2020_CapacityTable'!$B$49:$F$71,3)</f>
        <v>14500</v>
      </c>
      <c r="AC205" s="15">
        <f>VLOOKUP($T205,'2020_CapacityTable'!$B$49:$F$71,4)</f>
        <v>32400</v>
      </c>
      <c r="AD205" s="15">
        <f>VLOOKUP($T205,'2020_CapacityTable'!$B$49:$F$71,5)</f>
        <v>33800</v>
      </c>
      <c r="AE205" s="35">
        <f t="shared" si="347"/>
        <v>-0.1</v>
      </c>
      <c r="AF205" s="36" t="str">
        <f t="shared" si="303"/>
        <v/>
      </c>
      <c r="AG205" s="35" t="str">
        <f t="shared" si="348"/>
        <v/>
      </c>
      <c r="AH205" s="35" t="str">
        <f>IF(O205="U",IF(#REF!&gt;2,"LOOK",""),"")</f>
        <v/>
      </c>
      <c r="AI205" s="35"/>
      <c r="AJ205" s="36"/>
      <c r="AK205" s="15">
        <f t="shared" si="304"/>
        <v>0</v>
      </c>
      <c r="AL205" s="15">
        <f t="shared" si="305"/>
        <v>13050</v>
      </c>
      <c r="AM205" s="15">
        <f t="shared" si="306"/>
        <v>29160</v>
      </c>
      <c r="AN205" s="15">
        <f t="shared" si="307"/>
        <v>30420</v>
      </c>
      <c r="AO205" s="3">
        <f t="shared" si="343"/>
        <v>29160</v>
      </c>
      <c r="AP205" s="138">
        <f>VLOOKUP($B205,'2022 counts'!$B$6:$R$304,17,FALSE)</f>
        <v>18301</v>
      </c>
      <c r="AQ205" s="11">
        <f t="shared" si="308"/>
        <v>0.63</v>
      </c>
      <c r="AR205" s="2" t="str">
        <f t="shared" si="309"/>
        <v>D</v>
      </c>
      <c r="AS205" s="26">
        <f t="shared" si="310"/>
        <v>1.56</v>
      </c>
      <c r="AT205" s="15">
        <f>VLOOKUP($T205,'2020_CapacityTable'!$B$23:$F$45,2)</f>
        <v>0</v>
      </c>
      <c r="AU205" s="15">
        <f>VLOOKUP($T205,'2020_CapacityTable'!$B$23:$F$45,3)</f>
        <v>730</v>
      </c>
      <c r="AV205" s="15">
        <f>VLOOKUP($T205,'2020_CapacityTable'!$B$23:$F$45,4)</f>
        <v>1630</v>
      </c>
      <c r="AW205" s="15">
        <f>VLOOKUP($T205,'2020_CapacityTable'!$B$23:$F$45,5)</f>
        <v>1700</v>
      </c>
      <c r="AX205" s="15">
        <f t="shared" si="311"/>
        <v>0</v>
      </c>
      <c r="AY205" s="15">
        <f t="shared" si="312"/>
        <v>657</v>
      </c>
      <c r="AZ205" s="15">
        <f t="shared" si="313"/>
        <v>1467</v>
      </c>
      <c r="BA205" s="15">
        <f t="shared" si="314"/>
        <v>1530</v>
      </c>
      <c r="BB205" s="3">
        <f t="shared" si="344"/>
        <v>1467</v>
      </c>
      <c r="BC205" s="138">
        <f>VLOOKUP($B205,'2022 counts'!$B$6:$AD$304,28,FALSE)</f>
        <v>914</v>
      </c>
      <c r="BD205" s="138">
        <f>VLOOKUP($B205,'2022 counts'!$B$6:$AD$304,29,FALSE)</f>
        <v>814</v>
      </c>
      <c r="BE205" s="11">
        <f t="shared" si="315"/>
        <v>0.62</v>
      </c>
      <c r="BF205" s="2" t="str">
        <f t="shared" si="316"/>
        <v>D</v>
      </c>
      <c r="BG205" s="135">
        <v>0</v>
      </c>
      <c r="BH205" s="135">
        <f>IF($AQ205="","",VLOOKUP($B205, '2022 counts'!$B$6:$T$304,19,FALSE))</f>
        <v>1.4999999999999999E-2</v>
      </c>
      <c r="BI205" s="38">
        <f t="shared" si="317"/>
        <v>1.4999999999999999E-2</v>
      </c>
      <c r="BJ205" s="39" t="str">
        <f t="shared" si="318"/>
        <v>(1)</v>
      </c>
      <c r="BK205" s="15">
        <f>VLOOKUP($U205,'2020_CapacityTable'!$B$49:$F$71,2)</f>
        <v>0</v>
      </c>
      <c r="BL205" s="15">
        <f>VLOOKUP($U205,'2020_CapacityTable'!$B$49:$F$71,3)</f>
        <v>14500</v>
      </c>
      <c r="BM205" s="15">
        <f>VLOOKUP($T205,'2020_CapacityTable'!$B$49:$F$71,4)</f>
        <v>32400</v>
      </c>
      <c r="BN205" s="15">
        <f>VLOOKUP($T205,'2020_CapacityTable'!$B$49:$F$71,5)</f>
        <v>33800</v>
      </c>
      <c r="BO205" s="15">
        <f t="shared" si="319"/>
        <v>0</v>
      </c>
      <c r="BP205" s="15">
        <f t="shared" si="320"/>
        <v>13050</v>
      </c>
      <c r="BQ205" s="15">
        <f t="shared" si="321"/>
        <v>29160</v>
      </c>
      <c r="BR205" s="15">
        <f t="shared" si="322"/>
        <v>30420</v>
      </c>
      <c r="BS205" s="3">
        <f t="shared" si="345"/>
        <v>29160</v>
      </c>
      <c r="BT205" s="40">
        <f>'State of the System - Sumter Co'!AD205</f>
        <v>19715</v>
      </c>
      <c r="BU205" s="41">
        <f t="shared" si="323"/>
        <v>0.68</v>
      </c>
      <c r="BV205" s="2" t="str">
        <f t="shared" si="324"/>
        <v>D</v>
      </c>
      <c r="BW205" s="2">
        <f t="shared" si="325"/>
        <v>1.68</v>
      </c>
      <c r="BX205" s="15">
        <f>VLOOKUP($U205,'2020_CapacityTable'!$B$23:$F$45,2)</f>
        <v>0</v>
      </c>
      <c r="BY205" s="15">
        <f>VLOOKUP($U205,'2020_CapacityTable'!$B$23:$F$45,3)</f>
        <v>730</v>
      </c>
      <c r="BZ205" s="15">
        <f>VLOOKUP($U205,'2020_CapacityTable'!$B$23:$F$45,4)</f>
        <v>1630</v>
      </c>
      <c r="CA205" s="15">
        <f>VLOOKUP($U205,'2020_CapacityTable'!$B$23:$F$45,5)</f>
        <v>1700</v>
      </c>
      <c r="CB205" s="15">
        <f t="shared" si="326"/>
        <v>0</v>
      </c>
      <c r="CC205" s="15">
        <f t="shared" si="327"/>
        <v>657</v>
      </c>
      <c r="CD205" s="15">
        <f t="shared" si="328"/>
        <v>1467</v>
      </c>
      <c r="CE205" s="15">
        <f t="shared" si="329"/>
        <v>1530</v>
      </c>
      <c r="CF205" s="3">
        <f t="shared" si="292"/>
        <v>1467</v>
      </c>
      <c r="CG205" s="2">
        <f>'State of the System - Sumter Co'!AH205</f>
        <v>985</v>
      </c>
      <c r="CH205" s="2">
        <f>'State of the System - Sumter Co'!AI205</f>
        <v>877</v>
      </c>
      <c r="CI205" s="11">
        <f t="shared" si="330"/>
        <v>0.67</v>
      </c>
      <c r="CJ205" s="2" t="str">
        <f t="shared" si="293"/>
        <v>D</v>
      </c>
      <c r="CK205" s="3">
        <f t="shared" si="331"/>
        <v>32854</v>
      </c>
      <c r="CL205" s="11">
        <f t="shared" si="332"/>
        <v>0.6</v>
      </c>
      <c r="CM205" s="11" t="str">
        <f t="shared" si="333"/>
        <v>NOT CONGESTED</v>
      </c>
      <c r="CN205" s="3">
        <f t="shared" si="334"/>
        <v>1652</v>
      </c>
      <c r="CO205" s="11">
        <f t="shared" si="335"/>
        <v>0.6</v>
      </c>
      <c r="CP205" s="156" t="str">
        <f t="shared" si="336"/>
        <v>NOT CONGESTED</v>
      </c>
      <c r="CQ205" s="3"/>
      <c r="CR205" s="3"/>
      <c r="CS205" s="11" t="str">
        <f t="shared" si="337"/>
        <v/>
      </c>
      <c r="CT205" s="11" t="str">
        <f t="shared" si="346"/>
        <v/>
      </c>
      <c r="CU205" s="11" t="str">
        <f t="shared" si="338"/>
        <v/>
      </c>
      <c r="CV205" s="11" t="str">
        <f t="shared" si="339"/>
        <v/>
      </c>
      <c r="CW205" s="3"/>
      <c r="CX205" s="1"/>
      <c r="CY205" s="145" t="str">
        <f t="shared" si="340"/>
        <v/>
      </c>
      <c r="CZ205" s="32" t="str">
        <f t="shared" si="341"/>
        <v/>
      </c>
    </row>
    <row r="206" spans="1:104" s="9" customFormat="1" ht="12.75" customHeight="1">
      <c r="A206" s="1">
        <v>33000003</v>
      </c>
      <c r="B206" s="1">
        <f t="shared" si="342"/>
        <v>156</v>
      </c>
      <c r="C206" s="1">
        <v>283</v>
      </c>
      <c r="D206" s="1">
        <f>VLOOKUP(C206,'2022 counts'!$A$6:$B$304,2,FALSE)</f>
        <v>156</v>
      </c>
      <c r="E206" s="1"/>
      <c r="F206" s="2" t="s">
        <v>6</v>
      </c>
      <c r="G206" s="156">
        <v>35</v>
      </c>
      <c r="H206" s="11">
        <v>0.154357170307</v>
      </c>
      <c r="I206" s="10" t="s">
        <v>18</v>
      </c>
      <c r="J206" s="10" t="s">
        <v>31</v>
      </c>
      <c r="K206" s="10" t="s">
        <v>716</v>
      </c>
      <c r="L206" s="157">
        <v>4</v>
      </c>
      <c r="M206" s="1">
        <f>'State of the System - Sumter Co'!K206</f>
        <v>4</v>
      </c>
      <c r="N206" s="1" t="str">
        <f>IF('State of the System - Sumter Co'!L206="URBAN","U","R")</f>
        <v>U</v>
      </c>
      <c r="O206" s="1" t="str">
        <f>IF('State of the System - Sumter Co'!M206="UNDIVIDED","U",IF('State of the System - Sumter Co'!M206="DIVIDED","D","F"))</f>
        <v>D</v>
      </c>
      <c r="P206" s="1" t="str">
        <f>'State of the System - Sumter Co'!N206</f>
        <v>INTERRUPTED</v>
      </c>
      <c r="Q206" s="1" t="str">
        <f t="shared" si="300"/>
        <v/>
      </c>
      <c r="R206" s="1" t="str">
        <f>'State of the System - Sumter Co'!O206</f>
        <v/>
      </c>
      <c r="S206" s="1" t="str">
        <f t="shared" si="298"/>
        <v>-2</v>
      </c>
      <c r="T206" s="1" t="str">
        <f t="shared" si="301"/>
        <v>U-4D-2</v>
      </c>
      <c r="U206" s="1" t="str">
        <f t="shared" si="297"/>
        <v>U-4D-2</v>
      </c>
      <c r="V206" s="1" t="s">
        <v>10</v>
      </c>
      <c r="W206" s="1" t="s">
        <v>11</v>
      </c>
      <c r="X206" s="1" t="s">
        <v>12</v>
      </c>
      <c r="Y206" s="1" t="str">
        <f>'State of the System - Sumter Co'!R206</f>
        <v>D</v>
      </c>
      <c r="Z206" s="157" t="str">
        <f t="shared" si="302"/>
        <v>Other CMP Network Roadways</v>
      </c>
      <c r="AA206" s="15">
        <f>VLOOKUP($T206,'2020_CapacityTable'!$B$49:$F$71,2)</f>
        <v>0</v>
      </c>
      <c r="AB206" s="15">
        <f>VLOOKUP($T206,'2020_CapacityTable'!$B$49:$F$71,3)</f>
        <v>14500</v>
      </c>
      <c r="AC206" s="15">
        <f>VLOOKUP($T206,'2020_CapacityTable'!$B$49:$F$71,4)</f>
        <v>32400</v>
      </c>
      <c r="AD206" s="15">
        <f>VLOOKUP($T206,'2020_CapacityTable'!$B$49:$F$71,5)</f>
        <v>33800</v>
      </c>
      <c r="AE206" s="35">
        <f t="shared" si="347"/>
        <v>-0.1</v>
      </c>
      <c r="AF206" s="36" t="str">
        <f t="shared" si="303"/>
        <v/>
      </c>
      <c r="AG206" s="35" t="str">
        <f t="shared" si="348"/>
        <v/>
      </c>
      <c r="AH206" s="35" t="str">
        <f>IF(O206="U",IF(#REF!&gt;2,"LOOK",""),"")</f>
        <v/>
      </c>
      <c r="AI206" s="35"/>
      <c r="AJ206" s="36"/>
      <c r="AK206" s="15">
        <f t="shared" si="304"/>
        <v>0</v>
      </c>
      <c r="AL206" s="15">
        <f t="shared" si="305"/>
        <v>13050</v>
      </c>
      <c r="AM206" s="15">
        <f t="shared" si="306"/>
        <v>29160</v>
      </c>
      <c r="AN206" s="15">
        <f t="shared" si="307"/>
        <v>30420</v>
      </c>
      <c r="AO206" s="3">
        <f t="shared" si="343"/>
        <v>29160</v>
      </c>
      <c r="AP206" s="138">
        <f>VLOOKUP($B206,'2022 counts'!$B$6:$R$304,17,FALSE)</f>
        <v>15658</v>
      </c>
      <c r="AQ206" s="11">
        <f t="shared" si="308"/>
        <v>0.54</v>
      </c>
      <c r="AR206" s="2" t="str">
        <f t="shared" si="309"/>
        <v>D</v>
      </c>
      <c r="AS206" s="26">
        <f t="shared" si="310"/>
        <v>0.88</v>
      </c>
      <c r="AT206" s="15">
        <f>VLOOKUP($T206,'2020_CapacityTable'!$B$23:$F$45,2)</f>
        <v>0</v>
      </c>
      <c r="AU206" s="15">
        <f>VLOOKUP($T206,'2020_CapacityTable'!$B$23:$F$45,3)</f>
        <v>730</v>
      </c>
      <c r="AV206" s="15">
        <f>VLOOKUP($T206,'2020_CapacityTable'!$B$23:$F$45,4)</f>
        <v>1630</v>
      </c>
      <c r="AW206" s="15">
        <f>VLOOKUP($T206,'2020_CapacityTable'!$B$23:$F$45,5)</f>
        <v>1700</v>
      </c>
      <c r="AX206" s="15">
        <f t="shared" si="311"/>
        <v>0</v>
      </c>
      <c r="AY206" s="15">
        <f t="shared" si="312"/>
        <v>657</v>
      </c>
      <c r="AZ206" s="15">
        <f t="shared" si="313"/>
        <v>1467</v>
      </c>
      <c r="BA206" s="15">
        <f t="shared" si="314"/>
        <v>1530</v>
      </c>
      <c r="BB206" s="3">
        <f t="shared" si="344"/>
        <v>1467</v>
      </c>
      <c r="BC206" s="138">
        <f>VLOOKUP($B206,'2022 counts'!$B$6:$AD$304,28,FALSE)</f>
        <v>725</v>
      </c>
      <c r="BD206" s="138">
        <f>VLOOKUP($B206,'2022 counts'!$B$6:$AD$304,29,FALSE)</f>
        <v>729</v>
      </c>
      <c r="BE206" s="11">
        <f t="shared" si="315"/>
        <v>0.5</v>
      </c>
      <c r="BF206" s="2" t="str">
        <f t="shared" si="316"/>
        <v>D</v>
      </c>
      <c r="BG206" s="135">
        <v>0</v>
      </c>
      <c r="BH206" s="135">
        <f>IF($AQ206="","",VLOOKUP($B206, '2022 counts'!$B$6:$T$304,19,FALSE))</f>
        <v>0</v>
      </c>
      <c r="BI206" s="38">
        <f t="shared" si="317"/>
        <v>0.01</v>
      </c>
      <c r="BJ206" s="39" t="str">
        <f t="shared" si="318"/>
        <v>minimum</v>
      </c>
      <c r="BK206" s="15">
        <f>VLOOKUP($U206,'2020_CapacityTable'!$B$49:$F$71,2)</f>
        <v>0</v>
      </c>
      <c r="BL206" s="15">
        <f>VLOOKUP($U206,'2020_CapacityTable'!$B$49:$F$71,3)</f>
        <v>14500</v>
      </c>
      <c r="BM206" s="15">
        <f>VLOOKUP($T206,'2020_CapacityTable'!$B$49:$F$71,4)</f>
        <v>32400</v>
      </c>
      <c r="BN206" s="15">
        <f>VLOOKUP($T206,'2020_CapacityTable'!$B$49:$F$71,5)</f>
        <v>33800</v>
      </c>
      <c r="BO206" s="15">
        <f t="shared" si="319"/>
        <v>0</v>
      </c>
      <c r="BP206" s="15">
        <f t="shared" si="320"/>
        <v>13050</v>
      </c>
      <c r="BQ206" s="15">
        <f t="shared" si="321"/>
        <v>29160</v>
      </c>
      <c r="BR206" s="15">
        <f t="shared" si="322"/>
        <v>30420</v>
      </c>
      <c r="BS206" s="3">
        <f t="shared" si="345"/>
        <v>29160</v>
      </c>
      <c r="BT206" s="40">
        <f>'State of the System - Sumter Co'!AD206</f>
        <v>16457</v>
      </c>
      <c r="BU206" s="41">
        <f t="shared" si="323"/>
        <v>0.56000000000000005</v>
      </c>
      <c r="BV206" s="2" t="str">
        <f t="shared" si="324"/>
        <v>D</v>
      </c>
      <c r="BW206" s="2">
        <f t="shared" si="325"/>
        <v>0.93</v>
      </c>
      <c r="BX206" s="15">
        <f>VLOOKUP($U206,'2020_CapacityTable'!$B$23:$F$45,2)</f>
        <v>0</v>
      </c>
      <c r="BY206" s="15">
        <f>VLOOKUP($U206,'2020_CapacityTable'!$B$23:$F$45,3)</f>
        <v>730</v>
      </c>
      <c r="BZ206" s="15">
        <f>VLOOKUP($U206,'2020_CapacityTable'!$B$23:$F$45,4)</f>
        <v>1630</v>
      </c>
      <c r="CA206" s="15">
        <f>VLOOKUP($U206,'2020_CapacityTable'!$B$23:$F$45,5)</f>
        <v>1700</v>
      </c>
      <c r="CB206" s="15">
        <f t="shared" si="326"/>
        <v>0</v>
      </c>
      <c r="CC206" s="15">
        <f t="shared" si="327"/>
        <v>657</v>
      </c>
      <c r="CD206" s="15">
        <f t="shared" si="328"/>
        <v>1467</v>
      </c>
      <c r="CE206" s="15">
        <f t="shared" si="329"/>
        <v>1530</v>
      </c>
      <c r="CF206" s="3">
        <f t="shared" si="292"/>
        <v>1467</v>
      </c>
      <c r="CG206" s="2">
        <f>'State of the System - Sumter Co'!AH206</f>
        <v>762</v>
      </c>
      <c r="CH206" s="2">
        <f>'State of the System - Sumter Co'!AI206</f>
        <v>766</v>
      </c>
      <c r="CI206" s="11">
        <f t="shared" si="330"/>
        <v>0.52</v>
      </c>
      <c r="CJ206" s="2" t="str">
        <f t="shared" si="293"/>
        <v>D</v>
      </c>
      <c r="CK206" s="3">
        <f t="shared" si="331"/>
        <v>32854</v>
      </c>
      <c r="CL206" s="11">
        <f t="shared" si="332"/>
        <v>0.5</v>
      </c>
      <c r="CM206" s="11" t="str">
        <f t="shared" si="333"/>
        <v>NOT CONGESTED</v>
      </c>
      <c r="CN206" s="3">
        <f t="shared" si="334"/>
        <v>1652</v>
      </c>
      <c r="CO206" s="11">
        <f t="shared" si="335"/>
        <v>0.46</v>
      </c>
      <c r="CP206" s="156" t="str">
        <f t="shared" si="336"/>
        <v>NOT CONGESTED</v>
      </c>
      <c r="CQ206" s="3"/>
      <c r="CR206" s="3"/>
      <c r="CS206" s="11" t="str">
        <f t="shared" si="337"/>
        <v/>
      </c>
      <c r="CT206" s="11" t="str">
        <f t="shared" si="346"/>
        <v/>
      </c>
      <c r="CU206" s="11" t="str">
        <f t="shared" si="338"/>
        <v/>
      </c>
      <c r="CV206" s="11" t="str">
        <f t="shared" si="339"/>
        <v/>
      </c>
      <c r="CW206" s="3"/>
      <c r="CX206" s="1"/>
      <c r="CY206" s="145" t="str">
        <f t="shared" si="340"/>
        <v/>
      </c>
      <c r="CZ206" s="32" t="str">
        <f t="shared" si="341"/>
        <v/>
      </c>
    </row>
    <row r="207" spans="1:104" s="9" customFormat="1" ht="12.75" customHeight="1">
      <c r="A207" s="242">
        <v>35270001</v>
      </c>
      <c r="B207" s="1">
        <f t="shared" si="342"/>
        <v>188014</v>
      </c>
      <c r="C207" s="1">
        <v>56</v>
      </c>
      <c r="D207" s="1" t="str">
        <f>VLOOKUP(C207,'2022 counts'!$A$6:$B$304,2,FALSE)</f>
        <v>STATE</v>
      </c>
      <c r="E207" s="1">
        <v>188014</v>
      </c>
      <c r="F207" s="2" t="s">
        <v>136</v>
      </c>
      <c r="G207" s="156">
        <v>55</v>
      </c>
      <c r="H207" s="11">
        <v>2.4451665238400002</v>
      </c>
      <c r="I207" s="10" t="s">
        <v>742</v>
      </c>
      <c r="J207" s="10" t="s">
        <v>40</v>
      </c>
      <c r="K207" s="10" t="s">
        <v>67</v>
      </c>
      <c r="L207" s="157">
        <v>2</v>
      </c>
      <c r="M207" s="1">
        <v>2</v>
      </c>
      <c r="N207" s="1" t="str">
        <f>IF('State of the System - Sumter Co'!L207="URBAN","U","R")</f>
        <v>U</v>
      </c>
      <c r="O207" s="1" t="str">
        <f>IF('State of the System - Sumter Co'!M207="UNDIVIDED","U",IF('State of the System - Sumter Co'!M207="DIVIDED","D","F"))</f>
        <v>U</v>
      </c>
      <c r="P207" s="1" t="str">
        <f>'State of the System - Sumter Co'!N207</f>
        <v>UNINTERRUPTED</v>
      </c>
      <c r="Q207" s="1" t="str">
        <f t="shared" si="300"/>
        <v/>
      </c>
      <c r="R207" s="1" t="str">
        <f>'State of the System - Sumter Co'!O207</f>
        <v/>
      </c>
      <c r="S207" s="1" t="str">
        <f t="shared" si="298"/>
        <v>-x</v>
      </c>
      <c r="T207" s="1" t="str">
        <f t="shared" si="301"/>
        <v>U-2U-x</v>
      </c>
      <c r="U207" s="5" t="s">
        <v>243</v>
      </c>
      <c r="V207" s="1" t="s">
        <v>10</v>
      </c>
      <c r="W207" s="1" t="s">
        <v>11</v>
      </c>
      <c r="X207" s="1" t="s">
        <v>12</v>
      </c>
      <c r="Y207" s="1" t="str">
        <f>'State of the System - Sumter Co'!R207</f>
        <v>D</v>
      </c>
      <c r="Z207" s="157" t="str">
        <f t="shared" si="302"/>
        <v>Other CMP Network Roadways</v>
      </c>
      <c r="AA207" s="15">
        <f>VLOOKUP($T207,'2020_CapacityTable'!$B$49:$F$71,2)</f>
        <v>11700</v>
      </c>
      <c r="AB207" s="15">
        <f>VLOOKUP($T207,'2020_CapacityTable'!$B$49:$F$71,3)</f>
        <v>18000</v>
      </c>
      <c r="AC207" s="15">
        <f>VLOOKUP($T207,'2020_CapacityTable'!$B$49:$F$71,4)</f>
        <v>24200</v>
      </c>
      <c r="AD207" s="15">
        <f>VLOOKUP($T207,'2020_CapacityTable'!$B$49:$F$71,5)</f>
        <v>32600</v>
      </c>
      <c r="AE207" s="35"/>
      <c r="AF207" s="36" t="str">
        <f t="shared" si="303"/>
        <v/>
      </c>
      <c r="AG207" s="35"/>
      <c r="AH207" s="35" t="str">
        <f>IF(O207="U",IF(L207&gt;2,"LOOK",""),"")</f>
        <v/>
      </c>
      <c r="AI207" s="35"/>
      <c r="AJ207" s="36"/>
      <c r="AK207" s="15">
        <f t="shared" si="304"/>
        <v>11700</v>
      </c>
      <c r="AL207" s="15">
        <f t="shared" si="305"/>
        <v>18000</v>
      </c>
      <c r="AM207" s="15">
        <f t="shared" si="306"/>
        <v>24200</v>
      </c>
      <c r="AN207" s="15">
        <f t="shared" si="307"/>
        <v>32600</v>
      </c>
      <c r="AO207" s="3">
        <f t="shared" si="343"/>
        <v>24200</v>
      </c>
      <c r="AP207" s="138">
        <f>VLOOKUP($B207,'2022 counts'!$B$6:$R$304,17,FALSE)</f>
        <v>8380</v>
      </c>
      <c r="AQ207" s="11">
        <f t="shared" si="308"/>
        <v>0.35</v>
      </c>
      <c r="AR207" s="2" t="str">
        <f t="shared" si="309"/>
        <v>B</v>
      </c>
      <c r="AS207" s="26">
        <f t="shared" si="310"/>
        <v>7.48</v>
      </c>
      <c r="AT207" s="15">
        <f>VLOOKUP($T207,'2020_CapacityTable'!$B$23:$F$45,2)</f>
        <v>580</v>
      </c>
      <c r="AU207" s="15">
        <f>VLOOKUP($T207,'2020_CapacityTable'!$B$23:$F$45,3)</f>
        <v>890</v>
      </c>
      <c r="AV207" s="15">
        <f>VLOOKUP($T207,'2020_CapacityTable'!$B$23:$F$45,4)</f>
        <v>1200</v>
      </c>
      <c r="AW207" s="15">
        <f>VLOOKUP($T207,'2020_CapacityTable'!$B$23:$F$45,5)</f>
        <v>1610</v>
      </c>
      <c r="AX207" s="15">
        <f t="shared" si="311"/>
        <v>580</v>
      </c>
      <c r="AY207" s="15">
        <f t="shared" si="312"/>
        <v>890</v>
      </c>
      <c r="AZ207" s="15">
        <f t="shared" si="313"/>
        <v>1200</v>
      </c>
      <c r="BA207" s="15">
        <f t="shared" si="314"/>
        <v>1610</v>
      </c>
      <c r="BB207" s="3">
        <f t="shared" si="344"/>
        <v>1200</v>
      </c>
      <c r="BC207" s="138">
        <f>VLOOKUP($B207,'2022 counts'!$B$6:$AD$304,28,FALSE)</f>
        <v>422</v>
      </c>
      <c r="BD207" s="138">
        <f>VLOOKUP($B207,'2022 counts'!$B$6:$AD$304,29,FALSE)</f>
        <v>374</v>
      </c>
      <c r="BE207" s="11">
        <f t="shared" si="315"/>
        <v>0.35</v>
      </c>
      <c r="BF207" s="2" t="str">
        <f t="shared" si="316"/>
        <v>B</v>
      </c>
      <c r="BG207" s="135">
        <v>2.2499999999999999E-2</v>
      </c>
      <c r="BH207" s="135">
        <f>IF($AQ207="","",VLOOKUP($B207, '2022 counts'!$B$6:$T$304,19,FALSE))</f>
        <v>2.2499999999999999E-2</v>
      </c>
      <c r="BI207" s="38">
        <f t="shared" si="317"/>
        <v>2.2499999999999999E-2</v>
      </c>
      <c r="BJ207" s="39" t="str">
        <f t="shared" si="318"/>
        <v/>
      </c>
      <c r="BK207" s="15"/>
      <c r="BL207" s="15"/>
      <c r="BM207" s="15"/>
      <c r="BN207" s="15"/>
      <c r="BO207" s="15"/>
      <c r="BP207" s="15">
        <f t="shared" ref="BP207:BP238" si="349">ROUND(BL207*(1+SUM($AE207:$AJ207)),0)</f>
        <v>0</v>
      </c>
      <c r="BQ207" s="15">
        <f t="shared" ref="BQ207:BQ238" si="350">ROUND(BM207*(1+SUM($AE207:$AJ207)),0)</f>
        <v>0</v>
      </c>
      <c r="BR207" s="15">
        <f t="shared" ref="BR207:BR238" si="351">ROUND(BN207*(1+SUM($AE207:$AJ207)),0)</f>
        <v>0</v>
      </c>
      <c r="BS207" s="3">
        <f t="shared" si="345"/>
        <v>0</v>
      </c>
      <c r="BT207" s="40"/>
      <c r="BU207" s="41"/>
      <c r="BV207" s="2"/>
      <c r="BW207" s="2"/>
      <c r="BX207" s="15"/>
      <c r="BY207" s="15"/>
      <c r="BZ207" s="15"/>
      <c r="CA207" s="15"/>
      <c r="CB207" s="15"/>
      <c r="CC207" s="15"/>
      <c r="CD207" s="15"/>
      <c r="CE207" s="15"/>
      <c r="CF207" s="3"/>
      <c r="CG207" s="2">
        <f>'State of the System - Sumter Co'!AH207</f>
        <v>472</v>
      </c>
      <c r="CH207" s="2">
        <f>'State of the System - Sumter Co'!AI207</f>
        <v>418</v>
      </c>
      <c r="CI207" s="11"/>
      <c r="CJ207" s="2"/>
      <c r="CK207" s="3">
        <f t="shared" si="331"/>
        <v>35208</v>
      </c>
      <c r="CL207" s="11">
        <f t="shared" si="332"/>
        <v>0</v>
      </c>
      <c r="CM207" s="11" t="str">
        <f t="shared" si="333"/>
        <v>NOT CONGESTED</v>
      </c>
      <c r="CN207" s="3">
        <f t="shared" si="334"/>
        <v>1739</v>
      </c>
      <c r="CO207" s="11">
        <f t="shared" si="335"/>
        <v>0.27</v>
      </c>
      <c r="CP207" s="156" t="str">
        <f t="shared" si="336"/>
        <v>NOT CONGESTED</v>
      </c>
      <c r="CQ207" s="2"/>
      <c r="CR207" s="42"/>
      <c r="CS207" s="11" t="str">
        <f t="shared" si="337"/>
        <v/>
      </c>
      <c r="CT207" s="11" t="str">
        <f t="shared" si="346"/>
        <v/>
      </c>
      <c r="CU207" s="11" t="str">
        <f t="shared" si="338"/>
        <v/>
      </c>
      <c r="CV207" s="11" t="str">
        <f t="shared" si="339"/>
        <v/>
      </c>
      <c r="CW207" s="2"/>
      <c r="CX207" s="1" t="s">
        <v>585</v>
      </c>
      <c r="CY207" s="145" t="str">
        <f t="shared" si="340"/>
        <v/>
      </c>
      <c r="CZ207" s="32" t="str">
        <f t="shared" si="341"/>
        <v/>
      </c>
    </row>
    <row r="208" spans="1:104" s="9" customFormat="1" ht="12.75" customHeight="1">
      <c r="A208" s="242">
        <v>35270002</v>
      </c>
      <c r="B208" s="1">
        <f t="shared" si="342"/>
        <v>40</v>
      </c>
      <c r="C208" s="1">
        <v>58</v>
      </c>
      <c r="D208" s="1">
        <f>VLOOKUP(C208,'2022 counts'!$A$6:$B$304,2,FALSE)</f>
        <v>40</v>
      </c>
      <c r="E208" s="1"/>
      <c r="F208" s="2" t="s">
        <v>6</v>
      </c>
      <c r="G208" s="156">
        <v>55</v>
      </c>
      <c r="H208" s="11">
        <v>1.4939256220899999</v>
      </c>
      <c r="I208" s="10" t="s">
        <v>742</v>
      </c>
      <c r="J208" s="10" t="s">
        <v>67</v>
      </c>
      <c r="K208" s="10" t="s">
        <v>59</v>
      </c>
      <c r="L208" s="157">
        <v>2</v>
      </c>
      <c r="M208" s="1">
        <f>'State of the System - Sumter Co'!K208</f>
        <v>0</v>
      </c>
      <c r="N208" s="1" t="str">
        <f>IF('State of the System - Sumter Co'!L208="URBAN","U","R")</f>
        <v>U</v>
      </c>
      <c r="O208" s="1" t="str">
        <f>IF('State of the System - Sumter Co'!M208="UNDIVIDED","U",IF('State of the System - Sumter Co'!M208="DIVIDED","D","F"))</f>
        <v>U</v>
      </c>
      <c r="P208" s="1" t="str">
        <f>'State of the System - Sumter Co'!N208</f>
        <v>UNINTERRUPTED</v>
      </c>
      <c r="Q208" s="1" t="str">
        <f t="shared" si="300"/>
        <v/>
      </c>
      <c r="R208" s="1" t="str">
        <f>'State of the System - Sumter Co'!O208</f>
        <v/>
      </c>
      <c r="S208" s="1" t="str">
        <f t="shared" si="298"/>
        <v>-x</v>
      </c>
      <c r="T208" s="1" t="str">
        <f t="shared" si="301"/>
        <v>U-2U-x</v>
      </c>
      <c r="U208" s="5" t="s">
        <v>243</v>
      </c>
      <c r="V208" s="1" t="s">
        <v>10</v>
      </c>
      <c r="W208" s="1" t="s">
        <v>25</v>
      </c>
      <c r="X208" s="1" t="s">
        <v>12</v>
      </c>
      <c r="Y208" s="1" t="str">
        <f>'State of the System - Sumter Co'!R208</f>
        <v>D</v>
      </c>
      <c r="Z208" s="157" t="str">
        <f t="shared" si="302"/>
        <v>Other CMP Network Roadways</v>
      </c>
      <c r="AA208" s="15">
        <f>VLOOKUP($T208,'2020_CapacityTable'!$B$49:$F$71,2)</f>
        <v>11700</v>
      </c>
      <c r="AB208" s="15">
        <f>VLOOKUP($T208,'2020_CapacityTable'!$B$49:$F$71,3)</f>
        <v>18000</v>
      </c>
      <c r="AC208" s="15">
        <f>VLOOKUP($T208,'2020_CapacityTable'!$B$49:$F$71,4)</f>
        <v>24200</v>
      </c>
      <c r="AD208" s="15">
        <f>VLOOKUP($T208,'2020_CapacityTable'!$B$49:$F$71,5)</f>
        <v>32600</v>
      </c>
      <c r="AE208" s="35"/>
      <c r="AF208" s="36" t="str">
        <f t="shared" si="303"/>
        <v/>
      </c>
      <c r="AG208" s="35" t="str">
        <f>IF(AND(L208=2,P208="interrupted",O208="U"),"LOOK","")</f>
        <v/>
      </c>
      <c r="AH208" s="35" t="str">
        <f>IF(O208="U",IF(L208&gt;2,"LOOK",""),"")</f>
        <v/>
      </c>
      <c r="AI208" s="35"/>
      <c r="AJ208" s="36"/>
      <c r="AK208" s="15">
        <f t="shared" si="304"/>
        <v>11700</v>
      </c>
      <c r="AL208" s="15">
        <f t="shared" si="305"/>
        <v>18000</v>
      </c>
      <c r="AM208" s="15">
        <f t="shared" si="306"/>
        <v>24200</v>
      </c>
      <c r="AN208" s="15">
        <f t="shared" si="307"/>
        <v>32600</v>
      </c>
      <c r="AO208" s="3">
        <f t="shared" si="343"/>
        <v>24200</v>
      </c>
      <c r="AP208" s="138">
        <f>VLOOKUP($B208,'2022 counts'!$B$6:$R$304,17,FALSE)</f>
        <v>15678</v>
      </c>
      <c r="AQ208" s="11">
        <f t="shared" si="308"/>
        <v>0.65</v>
      </c>
      <c r="AR208" s="2" t="str">
        <f t="shared" si="309"/>
        <v>C</v>
      </c>
      <c r="AS208" s="26">
        <f t="shared" si="310"/>
        <v>8.5500000000000007</v>
      </c>
      <c r="AT208" s="15">
        <f>VLOOKUP($T208,'2020_CapacityTable'!$B$23:$F$45,2)</f>
        <v>580</v>
      </c>
      <c r="AU208" s="15">
        <f>VLOOKUP($T208,'2020_CapacityTable'!$B$23:$F$45,3)</f>
        <v>890</v>
      </c>
      <c r="AV208" s="15">
        <f>VLOOKUP($T208,'2020_CapacityTable'!$B$23:$F$45,4)</f>
        <v>1200</v>
      </c>
      <c r="AW208" s="15">
        <f>VLOOKUP($T208,'2020_CapacityTable'!$B$23:$F$45,5)</f>
        <v>1610</v>
      </c>
      <c r="AX208" s="15">
        <f t="shared" si="311"/>
        <v>580</v>
      </c>
      <c r="AY208" s="15">
        <f t="shared" si="312"/>
        <v>890</v>
      </c>
      <c r="AZ208" s="15">
        <f t="shared" si="313"/>
        <v>1200</v>
      </c>
      <c r="BA208" s="15">
        <f t="shared" si="314"/>
        <v>1610</v>
      </c>
      <c r="BB208" s="3">
        <f t="shared" si="344"/>
        <v>1200</v>
      </c>
      <c r="BC208" s="138">
        <f>VLOOKUP($B208,'2022 counts'!$B$6:$AD$304,28,FALSE)</f>
        <v>647</v>
      </c>
      <c r="BD208" s="138">
        <f>VLOOKUP($B208,'2022 counts'!$B$6:$AD$304,29,FALSE)</f>
        <v>465</v>
      </c>
      <c r="BE208" s="11">
        <f t="shared" si="315"/>
        <v>0.54</v>
      </c>
      <c r="BF208" s="2" t="str">
        <f t="shared" si="316"/>
        <v>C</v>
      </c>
      <c r="BG208" s="135">
        <v>5.5E-2</v>
      </c>
      <c r="BH208" s="135">
        <f>IF($AQ208="","",VLOOKUP($B208, '2022 counts'!$B$6:$T$304,19,FALSE))</f>
        <v>5.5E-2</v>
      </c>
      <c r="BI208" s="38">
        <f t="shared" si="317"/>
        <v>5.5E-2</v>
      </c>
      <c r="BJ208" s="39" t="str">
        <f t="shared" si="318"/>
        <v/>
      </c>
      <c r="BK208" s="15"/>
      <c r="BL208" s="15"/>
      <c r="BM208" s="15"/>
      <c r="BN208" s="15"/>
      <c r="BO208" s="15"/>
      <c r="BP208" s="15">
        <f t="shared" si="349"/>
        <v>0</v>
      </c>
      <c r="BQ208" s="15">
        <f t="shared" si="350"/>
        <v>0</v>
      </c>
      <c r="BR208" s="15">
        <f t="shared" si="351"/>
        <v>0</v>
      </c>
      <c r="BS208" s="3">
        <f t="shared" si="345"/>
        <v>0</v>
      </c>
      <c r="BT208" s="40"/>
      <c r="BU208" s="41"/>
      <c r="BV208" s="2"/>
      <c r="BW208" s="2"/>
      <c r="BX208" s="15"/>
      <c r="BY208" s="15"/>
      <c r="BZ208" s="15"/>
      <c r="CA208" s="15"/>
      <c r="CB208" s="15"/>
      <c r="CC208" s="15"/>
      <c r="CD208" s="15"/>
      <c r="CE208" s="15"/>
      <c r="CF208" s="3"/>
      <c r="CG208" s="2">
        <f>'State of the System - Sumter Co'!AH208</f>
        <v>846</v>
      </c>
      <c r="CH208" s="2">
        <f>'State of the System - Sumter Co'!AI208</f>
        <v>608</v>
      </c>
      <c r="CI208" s="11"/>
      <c r="CJ208" s="2"/>
      <c r="CK208" s="3">
        <f t="shared" si="331"/>
        <v>35208</v>
      </c>
      <c r="CL208" s="11">
        <f t="shared" si="332"/>
        <v>0</v>
      </c>
      <c r="CM208" s="11" t="str">
        <f t="shared" si="333"/>
        <v>NOT CONGESTED</v>
      </c>
      <c r="CN208" s="3">
        <f t="shared" si="334"/>
        <v>1739</v>
      </c>
      <c r="CO208" s="11">
        <f t="shared" si="335"/>
        <v>0.49</v>
      </c>
      <c r="CP208" s="156" t="str">
        <f t="shared" si="336"/>
        <v>NOT CONGESTED</v>
      </c>
      <c r="CQ208" s="2"/>
      <c r="CR208" s="42"/>
      <c r="CS208" s="11" t="str">
        <f t="shared" si="337"/>
        <v/>
      </c>
      <c r="CT208" s="11" t="str">
        <f t="shared" si="346"/>
        <v/>
      </c>
      <c r="CU208" s="11" t="str">
        <f t="shared" si="338"/>
        <v/>
      </c>
      <c r="CV208" s="11" t="str">
        <f t="shared" si="339"/>
        <v/>
      </c>
      <c r="CW208" s="3"/>
      <c r="CX208" s="1" t="s">
        <v>585</v>
      </c>
      <c r="CY208" s="145" t="str">
        <f t="shared" si="340"/>
        <v/>
      </c>
      <c r="CZ208" s="32" t="str">
        <f t="shared" si="341"/>
        <v/>
      </c>
    </row>
    <row r="209" spans="1:104" s="9" customFormat="1" ht="12.75" customHeight="1">
      <c r="A209" s="242">
        <v>35270003</v>
      </c>
      <c r="B209" s="1">
        <f t="shared" si="342"/>
        <v>41</v>
      </c>
      <c r="C209" s="1">
        <v>59</v>
      </c>
      <c r="D209" s="1">
        <f>VLOOKUP(C209,'2022 counts'!$A$6:$B$304,2,FALSE)</f>
        <v>41</v>
      </c>
      <c r="E209" s="1"/>
      <c r="F209" s="2" t="s">
        <v>6</v>
      </c>
      <c r="G209" s="156">
        <v>55</v>
      </c>
      <c r="H209" s="11">
        <v>2.5647038547799998</v>
      </c>
      <c r="I209" s="10" t="s">
        <v>742</v>
      </c>
      <c r="J209" s="10" t="s">
        <v>59</v>
      </c>
      <c r="K209" s="10" t="s">
        <v>56</v>
      </c>
      <c r="L209" s="157">
        <v>2</v>
      </c>
      <c r="M209" s="1">
        <f>'State of the System - Sumter Co'!K209</f>
        <v>0</v>
      </c>
      <c r="N209" s="1" t="str">
        <f>IF('State of the System - Sumter Co'!L209="URBAN","U","R")</f>
        <v>U</v>
      </c>
      <c r="O209" s="1" t="str">
        <f>IF('State of the System - Sumter Co'!M209="UNDIVIDED","U",IF('State of the System - Sumter Co'!M209="DIVIDED","D","F"))</f>
        <v>U</v>
      </c>
      <c r="P209" s="1" t="str">
        <f>'State of the System - Sumter Co'!N209</f>
        <v>UNINTERRUPTED</v>
      </c>
      <c r="Q209" s="1" t="str">
        <f t="shared" si="300"/>
        <v/>
      </c>
      <c r="R209" s="1" t="str">
        <f>'State of the System - Sumter Co'!O209</f>
        <v/>
      </c>
      <c r="S209" s="1" t="str">
        <f t="shared" si="298"/>
        <v>-x</v>
      </c>
      <c r="T209" s="1" t="str">
        <f t="shared" si="301"/>
        <v>U-2U-x</v>
      </c>
      <c r="U209" s="5" t="s">
        <v>243</v>
      </c>
      <c r="V209" s="1" t="s">
        <v>10</v>
      </c>
      <c r="W209" s="1" t="s">
        <v>25</v>
      </c>
      <c r="X209" s="1" t="s">
        <v>12</v>
      </c>
      <c r="Y209" s="1" t="str">
        <f>'State of the System - Sumter Co'!R209</f>
        <v>D</v>
      </c>
      <c r="Z209" s="157" t="str">
        <f t="shared" si="302"/>
        <v>Other CMP Network Roadways</v>
      </c>
      <c r="AA209" s="15">
        <f>VLOOKUP($T209,'2020_CapacityTable'!$B$49:$F$71,2)</f>
        <v>11700</v>
      </c>
      <c r="AB209" s="15">
        <f>VLOOKUP($T209,'2020_CapacityTable'!$B$49:$F$71,3)</f>
        <v>18000</v>
      </c>
      <c r="AC209" s="15">
        <f>VLOOKUP($T209,'2020_CapacityTable'!$B$49:$F$71,4)</f>
        <v>24200</v>
      </c>
      <c r="AD209" s="15">
        <f>VLOOKUP($T209,'2020_CapacityTable'!$B$49:$F$71,5)</f>
        <v>32600</v>
      </c>
      <c r="AE209" s="35"/>
      <c r="AF209" s="36" t="str">
        <f t="shared" si="303"/>
        <v/>
      </c>
      <c r="AG209" s="35"/>
      <c r="AH209" s="35" t="str">
        <f>IF(O209="U",IF(L209&gt;2,"LOOK",""),"")</f>
        <v/>
      </c>
      <c r="AI209" s="35"/>
      <c r="AJ209" s="36"/>
      <c r="AK209" s="15">
        <f t="shared" si="304"/>
        <v>11700</v>
      </c>
      <c r="AL209" s="15">
        <f t="shared" si="305"/>
        <v>18000</v>
      </c>
      <c r="AM209" s="15">
        <f t="shared" si="306"/>
        <v>24200</v>
      </c>
      <c r="AN209" s="15">
        <f t="shared" si="307"/>
        <v>32600</v>
      </c>
      <c r="AO209" s="3">
        <f t="shared" si="343"/>
        <v>24200</v>
      </c>
      <c r="AP209" s="138">
        <f>VLOOKUP($B209,'2022 counts'!$B$6:$R$304,17,FALSE)</f>
        <v>15563</v>
      </c>
      <c r="AQ209" s="11">
        <f t="shared" si="308"/>
        <v>0.64</v>
      </c>
      <c r="AR209" s="2" t="str">
        <f t="shared" si="309"/>
        <v>C</v>
      </c>
      <c r="AS209" s="26">
        <f t="shared" si="310"/>
        <v>14.57</v>
      </c>
      <c r="AT209" s="15">
        <f>VLOOKUP($T209,'2020_CapacityTable'!$B$23:$F$45,2)</f>
        <v>580</v>
      </c>
      <c r="AU209" s="15">
        <f>VLOOKUP($T209,'2020_CapacityTable'!$B$23:$F$45,3)</f>
        <v>890</v>
      </c>
      <c r="AV209" s="15">
        <f>VLOOKUP($T209,'2020_CapacityTable'!$B$23:$F$45,4)</f>
        <v>1200</v>
      </c>
      <c r="AW209" s="15">
        <f>VLOOKUP($T209,'2020_CapacityTable'!$B$23:$F$45,5)</f>
        <v>1610</v>
      </c>
      <c r="AX209" s="15">
        <f t="shared" si="311"/>
        <v>580</v>
      </c>
      <c r="AY209" s="15">
        <f t="shared" si="312"/>
        <v>890</v>
      </c>
      <c r="AZ209" s="15">
        <f t="shared" si="313"/>
        <v>1200</v>
      </c>
      <c r="BA209" s="15">
        <f t="shared" si="314"/>
        <v>1610</v>
      </c>
      <c r="BB209" s="3">
        <f t="shared" si="344"/>
        <v>1200</v>
      </c>
      <c r="BC209" s="138">
        <f>VLOOKUP($B209,'2022 counts'!$B$6:$AD$304,28,FALSE)</f>
        <v>691</v>
      </c>
      <c r="BD209" s="138">
        <f>VLOOKUP($B209,'2022 counts'!$B$6:$AD$304,29,FALSE)</f>
        <v>529</v>
      </c>
      <c r="BE209" s="11">
        <f t="shared" si="315"/>
        <v>0.57999999999999996</v>
      </c>
      <c r="BF209" s="2" t="str">
        <f t="shared" si="316"/>
        <v>C</v>
      </c>
      <c r="BG209" s="135">
        <v>5.5E-2</v>
      </c>
      <c r="BH209" s="135">
        <f>IF($AQ209="","",VLOOKUP($B209, '2022 counts'!$B$6:$T$304,19,FALSE))</f>
        <v>5.5E-2</v>
      </c>
      <c r="BI209" s="38">
        <f t="shared" si="317"/>
        <v>5.5E-2</v>
      </c>
      <c r="BJ209" s="39" t="str">
        <f t="shared" si="318"/>
        <v/>
      </c>
      <c r="BK209" s="15"/>
      <c r="BL209" s="15"/>
      <c r="BM209" s="15"/>
      <c r="BN209" s="15"/>
      <c r="BO209" s="15"/>
      <c r="BP209" s="15">
        <f t="shared" si="349"/>
        <v>0</v>
      </c>
      <c r="BQ209" s="15">
        <f t="shared" si="350"/>
        <v>0</v>
      </c>
      <c r="BR209" s="15">
        <f t="shared" si="351"/>
        <v>0</v>
      </c>
      <c r="BS209" s="3">
        <f t="shared" si="345"/>
        <v>0</v>
      </c>
      <c r="BT209" s="40"/>
      <c r="BU209" s="41"/>
      <c r="BV209" s="2"/>
      <c r="BW209" s="2"/>
      <c r="BX209" s="15"/>
      <c r="BY209" s="15"/>
      <c r="BZ209" s="15"/>
      <c r="CA209" s="15"/>
      <c r="CB209" s="15"/>
      <c r="CC209" s="15"/>
      <c r="CD209" s="15"/>
      <c r="CE209" s="15"/>
      <c r="CF209" s="3"/>
      <c r="CG209" s="2">
        <f>'State of the System - Sumter Co'!AH209</f>
        <v>903</v>
      </c>
      <c r="CH209" s="2">
        <f>'State of the System - Sumter Co'!AI209</f>
        <v>691</v>
      </c>
      <c r="CI209" s="11"/>
      <c r="CJ209" s="2"/>
      <c r="CK209" s="3">
        <f t="shared" si="331"/>
        <v>35208</v>
      </c>
      <c r="CL209" s="11">
        <f t="shared" si="332"/>
        <v>0</v>
      </c>
      <c r="CM209" s="11" t="str">
        <f t="shared" si="333"/>
        <v>NOT CONGESTED</v>
      </c>
      <c r="CN209" s="3">
        <f t="shared" si="334"/>
        <v>1739</v>
      </c>
      <c r="CO209" s="11">
        <f t="shared" si="335"/>
        <v>0.52</v>
      </c>
      <c r="CP209" s="156" t="str">
        <f t="shared" si="336"/>
        <v>NOT CONGESTED</v>
      </c>
      <c r="CQ209" s="2"/>
      <c r="CR209" s="42"/>
      <c r="CS209" s="11" t="str">
        <f t="shared" si="337"/>
        <v/>
      </c>
      <c r="CT209" s="11" t="str">
        <f t="shared" si="346"/>
        <v/>
      </c>
      <c r="CU209" s="11" t="str">
        <f t="shared" si="338"/>
        <v/>
      </c>
      <c r="CV209" s="11" t="str">
        <f t="shared" si="339"/>
        <v/>
      </c>
      <c r="CW209" s="3"/>
      <c r="CX209" s="1" t="s">
        <v>585</v>
      </c>
      <c r="CY209" s="145" t="str">
        <f t="shared" si="340"/>
        <v/>
      </c>
      <c r="CZ209" s="32" t="str">
        <f t="shared" si="341"/>
        <v/>
      </c>
    </row>
    <row r="210" spans="1:104" s="9" customFormat="1" ht="12.75" customHeight="1">
      <c r="A210" s="1">
        <v>35281102</v>
      </c>
      <c r="B210" s="1">
        <f t="shared" si="342"/>
        <v>12</v>
      </c>
      <c r="C210" s="1">
        <v>8</v>
      </c>
      <c r="D210" s="1">
        <f>VLOOKUP(C210,'2022 counts'!$A$6:$B$304,2,FALSE)</f>
        <v>12</v>
      </c>
      <c r="E210" s="1"/>
      <c r="F210" s="2" t="s">
        <v>6</v>
      </c>
      <c r="G210" s="156">
        <v>35</v>
      </c>
      <c r="H210" s="11">
        <v>1.5415156006399999</v>
      </c>
      <c r="I210" s="10" t="s">
        <v>712</v>
      </c>
      <c r="J210" s="10" t="s">
        <v>775</v>
      </c>
      <c r="K210" s="10" t="s">
        <v>39</v>
      </c>
      <c r="L210" s="157">
        <v>2</v>
      </c>
      <c r="M210" s="1">
        <f>'State of the System - Sumter Co'!K210</f>
        <v>2</v>
      </c>
      <c r="N210" s="1" t="str">
        <f>IF('State of the System - Sumter Co'!L210="URBAN","U","R")</f>
        <v>U</v>
      </c>
      <c r="O210" s="1" t="str">
        <f>IF('State of the System - Sumter Co'!M210="UNDIVIDED","U",IF('State of the System - Sumter Co'!M210="DIVIDED","D","F"))</f>
        <v>U</v>
      </c>
      <c r="P210" s="1" t="str">
        <f>'State of the System - Sumter Co'!N210</f>
        <v>UNINTERRUPTED</v>
      </c>
      <c r="Q210" s="1" t="str">
        <f t="shared" si="300"/>
        <v/>
      </c>
      <c r="R210" s="1" t="str">
        <f>'State of the System - Sumter Co'!O210</f>
        <v/>
      </c>
      <c r="S210" s="1" t="str">
        <f t="shared" si="298"/>
        <v>-x</v>
      </c>
      <c r="T210" s="1" t="str">
        <f t="shared" si="301"/>
        <v>U-2U-x</v>
      </c>
      <c r="U210" s="1" t="str">
        <f t="shared" ref="U210:U242" si="352">CONCATENATE(N210,"-",L210,O210,S210,Q210)</f>
        <v>U-2U-x</v>
      </c>
      <c r="V210" s="1" t="s">
        <v>10</v>
      </c>
      <c r="W210" s="1" t="s">
        <v>11</v>
      </c>
      <c r="X210" s="1" t="s">
        <v>21</v>
      </c>
      <c r="Y210" s="1" t="str">
        <f>'State of the System - Sumter Co'!R210</f>
        <v>D</v>
      </c>
      <c r="Z210" s="157" t="str">
        <f t="shared" si="302"/>
        <v>Other CMP Network Roadways</v>
      </c>
      <c r="AA210" s="15">
        <f>VLOOKUP($T210,'2020_CapacityTable'!$B$49:$F$71,2)</f>
        <v>11700</v>
      </c>
      <c r="AB210" s="15">
        <f>VLOOKUP($T210,'2020_CapacityTable'!$B$49:$F$71,3)</f>
        <v>18000</v>
      </c>
      <c r="AC210" s="15">
        <f>VLOOKUP($T210,'2020_CapacityTable'!$B$49:$F$71,4)</f>
        <v>24200</v>
      </c>
      <c r="AD210" s="15">
        <f>VLOOKUP($T210,'2020_CapacityTable'!$B$49:$F$71,5)</f>
        <v>32600</v>
      </c>
      <c r="AE210" s="35"/>
      <c r="AF210" s="36" t="str">
        <f t="shared" si="303"/>
        <v/>
      </c>
      <c r="AG210" s="35"/>
      <c r="AH210" s="35" t="str">
        <f>IF(O210="U",IF(L210&gt;2,"LOOK",""),"")</f>
        <v/>
      </c>
      <c r="AI210" s="35"/>
      <c r="AJ210" s="36"/>
      <c r="AK210" s="15">
        <f t="shared" si="304"/>
        <v>11700</v>
      </c>
      <c r="AL210" s="15">
        <f t="shared" si="305"/>
        <v>18000</v>
      </c>
      <c r="AM210" s="15">
        <f t="shared" si="306"/>
        <v>24200</v>
      </c>
      <c r="AN210" s="15">
        <f t="shared" si="307"/>
        <v>32600</v>
      </c>
      <c r="AO210" s="3">
        <f t="shared" si="343"/>
        <v>24200</v>
      </c>
      <c r="AP210" s="138">
        <f>VLOOKUP($B210,'2022 counts'!$B$6:$R$304,17,FALSE)</f>
        <v>1599</v>
      </c>
      <c r="AQ210" s="11">
        <f t="shared" si="308"/>
        <v>7.0000000000000007E-2</v>
      </c>
      <c r="AR210" s="2" t="str">
        <f t="shared" si="309"/>
        <v>B</v>
      </c>
      <c r="AS210" s="26">
        <f t="shared" si="310"/>
        <v>0.9</v>
      </c>
      <c r="AT210" s="15">
        <f>VLOOKUP($T210,'2020_CapacityTable'!$B$23:$F$45,2)</f>
        <v>580</v>
      </c>
      <c r="AU210" s="15">
        <f>VLOOKUP($T210,'2020_CapacityTable'!$B$23:$F$45,3)</f>
        <v>890</v>
      </c>
      <c r="AV210" s="15">
        <f>VLOOKUP($T210,'2020_CapacityTable'!$B$23:$F$45,4)</f>
        <v>1200</v>
      </c>
      <c r="AW210" s="15">
        <f>VLOOKUP($T210,'2020_CapacityTable'!$B$23:$F$45,5)</f>
        <v>1610</v>
      </c>
      <c r="AX210" s="15">
        <f t="shared" si="311"/>
        <v>580</v>
      </c>
      <c r="AY210" s="15">
        <f t="shared" si="312"/>
        <v>890</v>
      </c>
      <c r="AZ210" s="15">
        <f t="shared" si="313"/>
        <v>1200</v>
      </c>
      <c r="BA210" s="15">
        <f t="shared" si="314"/>
        <v>1610</v>
      </c>
      <c r="BB210" s="3">
        <f t="shared" si="344"/>
        <v>1200</v>
      </c>
      <c r="BC210" s="138">
        <f>VLOOKUP($B210,'2022 counts'!$B$6:$AD$304,28,FALSE)</f>
        <v>65</v>
      </c>
      <c r="BD210" s="138">
        <f>VLOOKUP($B210,'2022 counts'!$B$6:$AD$304,29,FALSE)</f>
        <v>103</v>
      </c>
      <c r="BE210" s="11">
        <f t="shared" si="315"/>
        <v>0.09</v>
      </c>
      <c r="BF210" s="2" t="str">
        <f t="shared" si="316"/>
        <v>B</v>
      </c>
      <c r="BG210" s="135">
        <v>7.4999999999999997E-2</v>
      </c>
      <c r="BH210" s="135">
        <f>IF($AQ210="","",VLOOKUP($B210, '2022 counts'!$B$6:$T$304,19,FALSE))</f>
        <v>7.4999999999999997E-2</v>
      </c>
      <c r="BI210" s="38">
        <f t="shared" si="317"/>
        <v>7.4999999999999997E-2</v>
      </c>
      <c r="BJ210" s="39" t="str">
        <f t="shared" si="318"/>
        <v/>
      </c>
      <c r="BK210" s="15">
        <f>VLOOKUP($U210,'2020_CapacityTable'!$B$49:$F$71,2)</f>
        <v>11700</v>
      </c>
      <c r="BL210" s="15">
        <f>VLOOKUP($U210,'2020_CapacityTable'!$B$49:$F$71,3)</f>
        <v>18000</v>
      </c>
      <c r="BM210" s="15">
        <f>VLOOKUP($T210,'2020_CapacityTable'!$B$49:$F$71,4)</f>
        <v>24200</v>
      </c>
      <c r="BN210" s="15">
        <f>VLOOKUP($T210,'2020_CapacityTable'!$B$49:$F$71,5)</f>
        <v>32600</v>
      </c>
      <c r="BO210" s="15">
        <f t="shared" ref="BO210:BO242" si="353">ROUND(BK210*(1+SUM($AE210:$AJ210)),0)</f>
        <v>11700</v>
      </c>
      <c r="BP210" s="15">
        <f t="shared" si="349"/>
        <v>18000</v>
      </c>
      <c r="BQ210" s="15">
        <f t="shared" si="350"/>
        <v>24200</v>
      </c>
      <c r="BR210" s="15">
        <f t="shared" si="351"/>
        <v>32600</v>
      </c>
      <c r="BS210" s="3">
        <f t="shared" si="345"/>
        <v>24200</v>
      </c>
      <c r="BT210" s="40">
        <f>'State of the System - Sumter Co'!AD210</f>
        <v>2296</v>
      </c>
      <c r="BU210" s="41">
        <f t="shared" ref="BU210:BU242" si="354">IF(BT210="-","",ROUND(BT210/BS210,2))</f>
        <v>0.09</v>
      </c>
      <c r="BV210" s="2" t="str">
        <f t="shared" ref="BV210:BV242" si="355">IF(BU210="","",IF(BT210&lt;=$BO210,"B",IF(BT210&lt;=$BP210,"C",IF(BT210&lt;=$BQ210,"D",IF(BT210&lt;=$BR210,"E","F")))))</f>
        <v>B</v>
      </c>
      <c r="BW210" s="2">
        <f t="shared" si="325"/>
        <v>1.29</v>
      </c>
      <c r="BX210" s="15">
        <f>VLOOKUP($U210,'2020_CapacityTable'!$B$23:$F$45,2)</f>
        <v>580</v>
      </c>
      <c r="BY210" s="15">
        <f>VLOOKUP($U210,'2020_CapacityTable'!$B$23:$F$45,3)</f>
        <v>890</v>
      </c>
      <c r="BZ210" s="15">
        <f>VLOOKUP($U210,'2020_CapacityTable'!$B$23:$F$45,4)</f>
        <v>1200</v>
      </c>
      <c r="CA210" s="15">
        <f>VLOOKUP($U210,'2020_CapacityTable'!$B$23:$F$45,5)</f>
        <v>1610</v>
      </c>
      <c r="CB210" s="15">
        <f t="shared" ref="CB210:CB242" si="356">ROUND(BX210*(1+SUM($AE210:$AJ210)),0)</f>
        <v>580</v>
      </c>
      <c r="CC210" s="15">
        <f t="shared" ref="CC210:CC242" si="357">ROUND(BY210*(1+SUM($AE210:$AJ210)),0)</f>
        <v>890</v>
      </c>
      <c r="CD210" s="15">
        <f t="shared" ref="CD210:CD242" si="358">ROUND(BZ210*(1+SUM($AE210:$AJ210)),0)</f>
        <v>1200</v>
      </c>
      <c r="CE210" s="15">
        <f t="shared" ref="CE210:CE242" si="359">ROUND(CA210*(1+SUM($AE210:$AJ210)),0)</f>
        <v>1610</v>
      </c>
      <c r="CF210" s="3">
        <f t="shared" ref="CF210:CF225" si="360">IF($Y210="","",IF($Y210="B",CB210,IF($Y210="C",CC210,IF($Y210="D",CD210,CE210))))</f>
        <v>1200</v>
      </c>
      <c r="CG210" s="2">
        <f>'State of the System - Sumter Co'!AH210</f>
        <v>93</v>
      </c>
      <c r="CH210" s="2">
        <f>'State of the System - Sumter Co'!AI210</f>
        <v>148</v>
      </c>
      <c r="CI210" s="11">
        <f t="shared" si="330"/>
        <v>0.12</v>
      </c>
      <c r="CJ210" s="2" t="str">
        <f t="shared" ref="CJ210:CJ225" si="361">IF(OR(CI210="",CI210="-",CI210=0),"",IF(MAX(CG210,CH210)&lt;=$AX210,"B",IF(MAX(CG210,CH210)&lt;=$AY210,"C",IF(MAX(CG210,CH210)&lt;=$AZ210,"D",IF(MAX(CG210,CH210)&lt;=$BA210,"E","F")))))</f>
        <v>B</v>
      </c>
      <c r="CK210" s="3">
        <f t="shared" si="331"/>
        <v>35208</v>
      </c>
      <c r="CL210" s="11">
        <f t="shared" si="332"/>
        <v>7.0000000000000007E-2</v>
      </c>
      <c r="CM210" s="11" t="str">
        <f t="shared" si="333"/>
        <v>NOT CONGESTED</v>
      </c>
      <c r="CN210" s="3">
        <f t="shared" si="334"/>
        <v>1739</v>
      </c>
      <c r="CO210" s="11">
        <f t="shared" si="335"/>
        <v>0.09</v>
      </c>
      <c r="CP210" s="156" t="str">
        <f t="shared" si="336"/>
        <v>NOT CONGESTED</v>
      </c>
      <c r="CQ210" s="2"/>
      <c r="CR210" s="42"/>
      <c r="CS210" s="11" t="str">
        <f t="shared" si="337"/>
        <v/>
      </c>
      <c r="CT210" s="11" t="str">
        <f t="shared" si="346"/>
        <v/>
      </c>
      <c r="CU210" s="11" t="str">
        <f t="shared" si="338"/>
        <v/>
      </c>
      <c r="CV210" s="11" t="str">
        <f t="shared" si="339"/>
        <v/>
      </c>
      <c r="CW210" s="3"/>
      <c r="CX210" s="1"/>
      <c r="CY210" s="145" t="str">
        <f t="shared" si="340"/>
        <v/>
      </c>
      <c r="CZ210" s="32" t="str">
        <f t="shared" si="341"/>
        <v/>
      </c>
    </row>
    <row r="211" spans="1:104" s="9" customFormat="1" ht="12.75" customHeight="1">
      <c r="A211" s="1">
        <v>35281103</v>
      </c>
      <c r="B211" s="1" t="str">
        <f t="shared" si="342"/>
        <v>2020-1100</v>
      </c>
      <c r="C211" s="1">
        <v>1100</v>
      </c>
      <c r="D211" s="1" t="str">
        <f>VLOOKUP(C211,'2022 counts'!$A$6:$B$304,2,FALSE)</f>
        <v>2020-1100</v>
      </c>
      <c r="E211" s="1"/>
      <c r="F211" s="2" t="s">
        <v>25</v>
      </c>
      <c r="G211" s="156">
        <v>35</v>
      </c>
      <c r="H211" s="11">
        <v>1.1341798673200001</v>
      </c>
      <c r="I211" s="10" t="s">
        <v>712</v>
      </c>
      <c r="J211" s="10" t="s">
        <v>39</v>
      </c>
      <c r="K211" s="10" t="s">
        <v>40</v>
      </c>
      <c r="L211" s="157">
        <v>2</v>
      </c>
      <c r="M211" s="1">
        <f>'State of the System - Sumter Co'!K211</f>
        <v>2</v>
      </c>
      <c r="N211" s="1" t="str">
        <f>IF('State of the System - Sumter Co'!L211="URBAN","U","R")</f>
        <v>U</v>
      </c>
      <c r="O211" s="1" t="str">
        <f>IF('State of the System - Sumter Co'!M211="UNDIVIDED","U",IF('State of the System - Sumter Co'!M211="DIVIDED","D","F"))</f>
        <v>U</v>
      </c>
      <c r="P211" s="1" t="str">
        <f>'State of the System - Sumter Co'!N211</f>
        <v>UNINTERRUPTED</v>
      </c>
      <c r="Q211" s="1" t="str">
        <f t="shared" si="300"/>
        <v/>
      </c>
      <c r="R211" s="1" t="str">
        <f>'State of the System - Sumter Co'!O211</f>
        <v/>
      </c>
      <c r="S211" s="1" t="str">
        <f t="shared" si="298"/>
        <v>-x</v>
      </c>
      <c r="T211" s="1" t="str">
        <f t="shared" si="301"/>
        <v>U-2U-x</v>
      </c>
      <c r="U211" s="1" t="str">
        <f t="shared" si="352"/>
        <v>U-2U-x</v>
      </c>
      <c r="V211" s="1" t="s">
        <v>10</v>
      </c>
      <c r="W211" s="1" t="s">
        <v>25</v>
      </c>
      <c r="X211" s="1" t="s">
        <v>21</v>
      </c>
      <c r="Y211" s="1" t="str">
        <f>'State of the System - Sumter Co'!R211</f>
        <v>D</v>
      </c>
      <c r="Z211" s="157" t="str">
        <f t="shared" si="302"/>
        <v>Other CMP Network Roadways</v>
      </c>
      <c r="AA211" s="15">
        <f>VLOOKUP($T211,'2020_CapacityTable'!$B$49:$F$71,2)</f>
        <v>11700</v>
      </c>
      <c r="AB211" s="15">
        <f>VLOOKUP($T211,'2020_CapacityTable'!$B$49:$F$71,3)</f>
        <v>18000</v>
      </c>
      <c r="AC211" s="15">
        <f>VLOOKUP($T211,'2020_CapacityTable'!$B$49:$F$71,4)</f>
        <v>24200</v>
      </c>
      <c r="AD211" s="15">
        <f>VLOOKUP($T211,'2020_CapacityTable'!$B$49:$F$71,5)</f>
        <v>32600</v>
      </c>
      <c r="AE211" s="35"/>
      <c r="AF211" s="36" t="str">
        <f t="shared" si="303"/>
        <v/>
      </c>
      <c r="AG211" s="35"/>
      <c r="AH211" s="35" t="str">
        <f>IF(O211="U",IF(L211&gt;2,"LOOK",""),"")</f>
        <v/>
      </c>
      <c r="AI211" s="35"/>
      <c r="AJ211" s="36"/>
      <c r="AK211" s="15">
        <f t="shared" si="304"/>
        <v>11700</v>
      </c>
      <c r="AL211" s="15">
        <f t="shared" si="305"/>
        <v>18000</v>
      </c>
      <c r="AM211" s="15">
        <f t="shared" si="306"/>
        <v>24200</v>
      </c>
      <c r="AN211" s="15">
        <f t="shared" si="307"/>
        <v>32600</v>
      </c>
      <c r="AO211" s="3">
        <f t="shared" si="343"/>
        <v>24200</v>
      </c>
      <c r="AP211" s="138">
        <f>VLOOKUP($B211,'2022 counts'!$B$6:$R$304,17,FALSE)</f>
        <v>16340.600000000093</v>
      </c>
      <c r="AQ211" s="11">
        <f t="shared" si="308"/>
        <v>0.68</v>
      </c>
      <c r="AR211" s="2" t="str">
        <f t="shared" si="309"/>
        <v>C</v>
      </c>
      <c r="AS211" s="26">
        <f t="shared" si="310"/>
        <v>6.76</v>
      </c>
      <c r="AT211" s="15">
        <f>VLOOKUP($T211,'2020_CapacityTable'!$B$23:$F$45,2)</f>
        <v>580</v>
      </c>
      <c r="AU211" s="15">
        <f>VLOOKUP($T211,'2020_CapacityTable'!$B$23:$F$45,3)</f>
        <v>890</v>
      </c>
      <c r="AV211" s="15">
        <f>VLOOKUP($T211,'2020_CapacityTable'!$B$23:$F$45,4)</f>
        <v>1200</v>
      </c>
      <c r="AW211" s="15">
        <f>VLOOKUP($T211,'2020_CapacityTable'!$B$23:$F$45,5)</f>
        <v>1610</v>
      </c>
      <c r="AX211" s="15">
        <f t="shared" si="311"/>
        <v>580</v>
      </c>
      <c r="AY211" s="15">
        <f t="shared" si="312"/>
        <v>890</v>
      </c>
      <c r="AZ211" s="15">
        <f t="shared" si="313"/>
        <v>1200</v>
      </c>
      <c r="BA211" s="15">
        <f t="shared" si="314"/>
        <v>1610</v>
      </c>
      <c r="BB211" s="3">
        <f t="shared" si="344"/>
        <v>1200</v>
      </c>
      <c r="BC211" s="138">
        <f>VLOOKUP($B211,'2022 counts'!$B$6:$AD$304,28,FALSE)</f>
        <v>406</v>
      </c>
      <c r="BD211" s="138">
        <f>VLOOKUP($B211,'2022 counts'!$B$6:$AD$304,29,FALSE)</f>
        <v>725</v>
      </c>
      <c r="BE211" s="11">
        <f t="shared" si="315"/>
        <v>0.6</v>
      </c>
      <c r="BF211" s="2" t="str">
        <f t="shared" si="316"/>
        <v>C</v>
      </c>
      <c r="BG211" s="135">
        <v>0.08</v>
      </c>
      <c r="BH211" s="135">
        <f>IF($AQ211="","",VLOOKUP($B211, '2022 counts'!$B$6:$T$304,19,FALSE))</f>
        <v>0.08</v>
      </c>
      <c r="BI211" s="38">
        <f t="shared" si="317"/>
        <v>0.08</v>
      </c>
      <c r="BJ211" s="39" t="str">
        <f t="shared" si="318"/>
        <v/>
      </c>
      <c r="BK211" s="15">
        <f>VLOOKUP($U211,'2020_CapacityTable'!$B$49:$F$71,2)</f>
        <v>11700</v>
      </c>
      <c r="BL211" s="15">
        <f>VLOOKUP($U211,'2020_CapacityTable'!$B$49:$F$71,3)</f>
        <v>18000</v>
      </c>
      <c r="BM211" s="15">
        <f>VLOOKUP($T211,'2020_CapacityTable'!$B$49:$F$71,4)</f>
        <v>24200</v>
      </c>
      <c r="BN211" s="15">
        <f>VLOOKUP($T211,'2020_CapacityTable'!$B$49:$F$71,5)</f>
        <v>32600</v>
      </c>
      <c r="BO211" s="15">
        <f t="shared" si="353"/>
        <v>11700</v>
      </c>
      <c r="BP211" s="15">
        <f t="shared" si="349"/>
        <v>18000</v>
      </c>
      <c r="BQ211" s="15">
        <f t="shared" si="350"/>
        <v>24200</v>
      </c>
      <c r="BR211" s="15">
        <f t="shared" si="351"/>
        <v>32600</v>
      </c>
      <c r="BS211" s="3">
        <f t="shared" si="345"/>
        <v>24200</v>
      </c>
      <c r="BT211" s="40">
        <f>'State of the System - Sumter Co'!AD211</f>
        <v>24010</v>
      </c>
      <c r="BU211" s="41">
        <f t="shared" si="354"/>
        <v>0.99</v>
      </c>
      <c r="BV211" s="2" t="str">
        <f t="shared" si="355"/>
        <v>D</v>
      </c>
      <c r="BW211" s="2">
        <f t="shared" si="325"/>
        <v>9.94</v>
      </c>
      <c r="BX211" s="15">
        <f>VLOOKUP($U211,'2020_CapacityTable'!$B$23:$F$45,2)</f>
        <v>580</v>
      </c>
      <c r="BY211" s="15">
        <f>VLOOKUP($U211,'2020_CapacityTable'!$B$23:$F$45,3)</f>
        <v>890</v>
      </c>
      <c r="BZ211" s="15">
        <f>VLOOKUP($U211,'2020_CapacityTable'!$B$23:$F$45,4)</f>
        <v>1200</v>
      </c>
      <c r="CA211" s="15">
        <f>VLOOKUP($U211,'2020_CapacityTable'!$B$23:$F$45,5)</f>
        <v>1610</v>
      </c>
      <c r="CB211" s="15">
        <f t="shared" si="356"/>
        <v>580</v>
      </c>
      <c r="CC211" s="15">
        <f t="shared" si="357"/>
        <v>890</v>
      </c>
      <c r="CD211" s="15">
        <f t="shared" si="358"/>
        <v>1200</v>
      </c>
      <c r="CE211" s="15">
        <f t="shared" si="359"/>
        <v>1610</v>
      </c>
      <c r="CF211" s="3">
        <f t="shared" si="360"/>
        <v>1200</v>
      </c>
      <c r="CG211" s="2">
        <f>'State of the System - Sumter Co'!AH211</f>
        <v>597</v>
      </c>
      <c r="CH211" s="2">
        <f>'State of the System - Sumter Co'!AI211</f>
        <v>1065</v>
      </c>
      <c r="CI211" s="11">
        <f t="shared" si="330"/>
        <v>0.89</v>
      </c>
      <c r="CJ211" s="2" t="str">
        <f t="shared" si="361"/>
        <v>D</v>
      </c>
      <c r="CK211" s="3">
        <f t="shared" si="331"/>
        <v>35208</v>
      </c>
      <c r="CL211" s="11">
        <f t="shared" si="332"/>
        <v>0.68</v>
      </c>
      <c r="CM211" s="11" t="str">
        <f t="shared" si="333"/>
        <v>APPROACHING CONGESTION</v>
      </c>
      <c r="CN211" s="3">
        <f t="shared" si="334"/>
        <v>1739</v>
      </c>
      <c r="CO211" s="11">
        <f t="shared" si="335"/>
        <v>0.61</v>
      </c>
      <c r="CP211" s="156" t="str">
        <f t="shared" si="336"/>
        <v>NOT CONGESTED</v>
      </c>
      <c r="CQ211" s="2"/>
      <c r="CR211" s="42"/>
      <c r="CS211" s="11" t="str">
        <f t="shared" si="337"/>
        <v/>
      </c>
      <c r="CT211" s="11" t="str">
        <f t="shared" si="346"/>
        <v/>
      </c>
      <c r="CU211" s="11" t="str">
        <f t="shared" si="338"/>
        <v/>
      </c>
      <c r="CV211" s="11" t="str">
        <f t="shared" si="339"/>
        <v/>
      </c>
      <c r="CW211" s="3"/>
      <c r="CX211" s="1"/>
      <c r="CY211" s="145" t="str">
        <f t="shared" si="340"/>
        <v/>
      </c>
      <c r="CZ211" s="32" t="str">
        <f t="shared" si="341"/>
        <v/>
      </c>
    </row>
    <row r="212" spans="1:104" s="9" customFormat="1" ht="12.75" customHeight="1">
      <c r="A212" s="1">
        <v>35281301</v>
      </c>
      <c r="B212" s="1">
        <f t="shared" si="342"/>
        <v>13</v>
      </c>
      <c r="C212" s="1">
        <v>9</v>
      </c>
      <c r="D212" s="1">
        <f>VLOOKUP(C212,'2022 counts'!$A$6:$B$304,2,FALSE)</f>
        <v>13</v>
      </c>
      <c r="E212" s="5" t="s">
        <v>243</v>
      </c>
      <c r="F212" s="2" t="s">
        <v>6</v>
      </c>
      <c r="G212" s="156">
        <v>35</v>
      </c>
      <c r="H212" s="11">
        <v>0.52346435585700002</v>
      </c>
      <c r="I212" s="10" t="s">
        <v>712</v>
      </c>
      <c r="J212" s="10" t="s">
        <v>41</v>
      </c>
      <c r="K212" s="10" t="s">
        <v>18</v>
      </c>
      <c r="L212" s="157">
        <v>4</v>
      </c>
      <c r="M212" s="1">
        <f>'State of the System - Sumter Co'!K212</f>
        <v>4</v>
      </c>
      <c r="N212" s="1" t="str">
        <f>IF('State of the System - Sumter Co'!L212="URBAN","U","R")</f>
        <v>U</v>
      </c>
      <c r="O212" s="1" t="str">
        <f>IF('State of the System - Sumter Co'!M212="UNDIVIDED","U",IF('State of the System - Sumter Co'!M212="DIVIDED","D","F"))</f>
        <v>D</v>
      </c>
      <c r="P212" s="1" t="str">
        <f>'State of the System - Sumter Co'!N212</f>
        <v>INTERRUPTED</v>
      </c>
      <c r="Q212" s="1" t="str">
        <f t="shared" si="300"/>
        <v/>
      </c>
      <c r="R212" s="1" t="str">
        <f>'State of the System - Sumter Co'!O212</f>
        <v/>
      </c>
      <c r="S212" s="1" t="str">
        <f t="shared" si="298"/>
        <v>-2</v>
      </c>
      <c r="T212" s="1" t="str">
        <f t="shared" si="301"/>
        <v>U-4D-2</v>
      </c>
      <c r="U212" s="1" t="str">
        <f t="shared" si="352"/>
        <v>U-4D-2</v>
      </c>
      <c r="V212" s="1" t="s">
        <v>10</v>
      </c>
      <c r="W212" s="1" t="s">
        <v>25</v>
      </c>
      <c r="X212" s="1" t="s">
        <v>21</v>
      </c>
      <c r="Y212" s="1" t="str">
        <f>'State of the System - Sumter Co'!R212</f>
        <v>D</v>
      </c>
      <c r="Z212" s="157" t="str">
        <f t="shared" si="302"/>
        <v>Other CMP Network Roadways</v>
      </c>
      <c r="AA212" s="15">
        <f>VLOOKUP($T212,'2020_CapacityTable'!$B$49:$F$71,2)</f>
        <v>0</v>
      </c>
      <c r="AB212" s="15">
        <f>VLOOKUP($T212,'2020_CapacityTable'!$B$49:$F$71,3)</f>
        <v>14500</v>
      </c>
      <c r="AC212" s="15">
        <f>VLOOKUP($T212,'2020_CapacityTable'!$B$49:$F$71,4)</f>
        <v>32400</v>
      </c>
      <c r="AD212" s="15">
        <f>VLOOKUP($T212,'2020_CapacityTable'!$B$49:$F$71,5)</f>
        <v>33800</v>
      </c>
      <c r="AE212" s="35">
        <f>IF(V212&lt;&gt;"STATE",-10%,"")</f>
        <v>-0.1</v>
      </c>
      <c r="AF212" s="36" t="str">
        <f t="shared" si="303"/>
        <v/>
      </c>
      <c r="AG212" s="35" t="str">
        <f>IF(L212=2,IF(P212="interrupted","LOOK",""),"")</f>
        <v/>
      </c>
      <c r="AH212" s="35" t="str">
        <f>IF(O212="U",IF(#REF!&gt;2,"LOOK",""),"")</f>
        <v/>
      </c>
      <c r="AI212" s="35"/>
      <c r="AJ212" s="36">
        <v>0.05</v>
      </c>
      <c r="AK212" s="15">
        <f t="shared" si="304"/>
        <v>0</v>
      </c>
      <c r="AL212" s="15">
        <f t="shared" si="305"/>
        <v>13775</v>
      </c>
      <c r="AM212" s="15">
        <f t="shared" si="306"/>
        <v>30780</v>
      </c>
      <c r="AN212" s="15">
        <f t="shared" si="307"/>
        <v>32110</v>
      </c>
      <c r="AO212" s="3">
        <f t="shared" si="343"/>
        <v>30780</v>
      </c>
      <c r="AP212" s="138">
        <f>VLOOKUP($B212,'2022 counts'!$B$6:$R$304,17,FALSE)</f>
        <v>7827</v>
      </c>
      <c r="AQ212" s="11">
        <f t="shared" si="308"/>
        <v>0.25</v>
      </c>
      <c r="AR212" s="2" t="str">
        <f t="shared" si="309"/>
        <v>C</v>
      </c>
      <c r="AS212" s="26">
        <f t="shared" si="310"/>
        <v>1.5</v>
      </c>
      <c r="AT212" s="15">
        <f>VLOOKUP($T212,'2020_CapacityTable'!$B$23:$F$45,2)</f>
        <v>0</v>
      </c>
      <c r="AU212" s="15">
        <f>VLOOKUP($T212,'2020_CapacityTable'!$B$23:$F$45,3)</f>
        <v>730</v>
      </c>
      <c r="AV212" s="15">
        <f>VLOOKUP($T212,'2020_CapacityTable'!$B$23:$F$45,4)</f>
        <v>1630</v>
      </c>
      <c r="AW212" s="15">
        <f>VLOOKUP($T212,'2020_CapacityTable'!$B$23:$F$45,5)</f>
        <v>1700</v>
      </c>
      <c r="AX212" s="15">
        <f t="shared" si="311"/>
        <v>0</v>
      </c>
      <c r="AY212" s="15">
        <f t="shared" si="312"/>
        <v>694</v>
      </c>
      <c r="AZ212" s="15">
        <f t="shared" si="313"/>
        <v>1549</v>
      </c>
      <c r="BA212" s="15">
        <f t="shared" si="314"/>
        <v>1615</v>
      </c>
      <c r="BB212" s="3">
        <f t="shared" si="344"/>
        <v>1549</v>
      </c>
      <c r="BC212" s="138">
        <f>VLOOKUP($B212,'2022 counts'!$B$6:$AD$304,28,FALSE)</f>
        <v>307</v>
      </c>
      <c r="BD212" s="138">
        <f>VLOOKUP($B212,'2022 counts'!$B$6:$AD$304,29,FALSE)</f>
        <v>374</v>
      </c>
      <c r="BE212" s="11">
        <f t="shared" si="315"/>
        <v>0.24</v>
      </c>
      <c r="BF212" s="2" t="str">
        <f t="shared" si="316"/>
        <v>C</v>
      </c>
      <c r="BG212" s="135">
        <v>0</v>
      </c>
      <c r="BH212" s="135">
        <f>IF($AQ212="","",VLOOKUP($B212, '2022 counts'!$B$6:$T$304,19,FALSE))</f>
        <v>0</v>
      </c>
      <c r="BI212" s="38">
        <f t="shared" si="317"/>
        <v>0.01</v>
      </c>
      <c r="BJ212" s="39" t="str">
        <f t="shared" si="318"/>
        <v>minimum</v>
      </c>
      <c r="BK212" s="15">
        <f>VLOOKUP($U212,'2020_CapacityTable'!$B$49:$F$71,2)</f>
        <v>0</v>
      </c>
      <c r="BL212" s="15">
        <f>VLOOKUP($U212,'2020_CapacityTable'!$B$49:$F$71,3)</f>
        <v>14500</v>
      </c>
      <c r="BM212" s="15">
        <f>VLOOKUP($T212,'2020_CapacityTable'!$B$49:$F$71,4)</f>
        <v>32400</v>
      </c>
      <c r="BN212" s="15">
        <f>VLOOKUP($T212,'2020_CapacityTable'!$B$49:$F$71,5)</f>
        <v>33800</v>
      </c>
      <c r="BO212" s="15">
        <f t="shared" si="353"/>
        <v>0</v>
      </c>
      <c r="BP212" s="15">
        <f t="shared" si="349"/>
        <v>13775</v>
      </c>
      <c r="BQ212" s="15">
        <f t="shared" si="350"/>
        <v>30780</v>
      </c>
      <c r="BR212" s="15">
        <f t="shared" si="351"/>
        <v>32110</v>
      </c>
      <c r="BS212" s="3">
        <f t="shared" si="345"/>
        <v>30780</v>
      </c>
      <c r="BT212" s="40">
        <f>'State of the System - Sumter Co'!AD212</f>
        <v>8226</v>
      </c>
      <c r="BU212" s="41">
        <f t="shared" si="354"/>
        <v>0.27</v>
      </c>
      <c r="BV212" s="2" t="str">
        <f t="shared" si="355"/>
        <v>C</v>
      </c>
      <c r="BW212" s="2">
        <f t="shared" si="325"/>
        <v>1.57</v>
      </c>
      <c r="BX212" s="15">
        <f>VLOOKUP($U212,'2020_CapacityTable'!$B$23:$F$45,2)</f>
        <v>0</v>
      </c>
      <c r="BY212" s="15">
        <f>VLOOKUP($U212,'2020_CapacityTable'!$B$23:$F$45,3)</f>
        <v>730</v>
      </c>
      <c r="BZ212" s="15">
        <f>VLOOKUP($U212,'2020_CapacityTable'!$B$23:$F$45,4)</f>
        <v>1630</v>
      </c>
      <c r="CA212" s="15">
        <f>VLOOKUP($U212,'2020_CapacityTable'!$B$23:$F$45,5)</f>
        <v>1700</v>
      </c>
      <c r="CB212" s="15">
        <f t="shared" si="356"/>
        <v>0</v>
      </c>
      <c r="CC212" s="15">
        <f t="shared" si="357"/>
        <v>694</v>
      </c>
      <c r="CD212" s="15">
        <f t="shared" si="358"/>
        <v>1549</v>
      </c>
      <c r="CE212" s="15">
        <f t="shared" si="359"/>
        <v>1615</v>
      </c>
      <c r="CF212" s="3">
        <f t="shared" si="360"/>
        <v>1549</v>
      </c>
      <c r="CG212" s="2">
        <f>'State of the System - Sumter Co'!AH212</f>
        <v>323</v>
      </c>
      <c r="CH212" s="2">
        <f>'State of the System - Sumter Co'!AI212</f>
        <v>393</v>
      </c>
      <c r="CI212" s="11">
        <f t="shared" si="330"/>
        <v>0.25</v>
      </c>
      <c r="CJ212" s="2" t="str">
        <f t="shared" si="361"/>
        <v>C</v>
      </c>
      <c r="CK212" s="3">
        <f t="shared" si="331"/>
        <v>34679</v>
      </c>
      <c r="CL212" s="11">
        <f t="shared" si="332"/>
        <v>0.24</v>
      </c>
      <c r="CM212" s="11" t="str">
        <f t="shared" si="333"/>
        <v>NOT CONGESTED</v>
      </c>
      <c r="CN212" s="3">
        <f t="shared" si="334"/>
        <v>1744</v>
      </c>
      <c r="CO212" s="11">
        <f t="shared" si="335"/>
        <v>0.23</v>
      </c>
      <c r="CP212" s="156" t="str">
        <f t="shared" si="336"/>
        <v>NOT CONGESTED</v>
      </c>
      <c r="CQ212" s="3"/>
      <c r="CR212" s="3"/>
      <c r="CS212" s="11" t="str">
        <f t="shared" si="337"/>
        <v/>
      </c>
      <c r="CT212" s="11" t="str">
        <f t="shared" si="346"/>
        <v/>
      </c>
      <c r="CU212" s="11" t="str">
        <f t="shared" si="338"/>
        <v/>
      </c>
      <c r="CV212" s="11" t="str">
        <f t="shared" si="339"/>
        <v/>
      </c>
      <c r="CW212" s="3"/>
      <c r="CX212" s="1"/>
      <c r="CY212" s="145" t="str">
        <f t="shared" si="340"/>
        <v/>
      </c>
      <c r="CZ212" s="32" t="str">
        <f t="shared" si="341"/>
        <v/>
      </c>
    </row>
    <row r="213" spans="1:104" s="9" customFormat="1" ht="12.75" customHeight="1">
      <c r="A213" s="1">
        <v>35281302</v>
      </c>
      <c r="B213" s="1">
        <f t="shared" si="342"/>
        <v>14</v>
      </c>
      <c r="C213" s="1">
        <v>354</v>
      </c>
      <c r="D213" s="1">
        <f>VLOOKUP(C213,'2022 counts'!$A$6:$B$304,2,FALSE)</f>
        <v>14</v>
      </c>
      <c r="E213" s="1"/>
      <c r="F213" s="2" t="s">
        <v>6</v>
      </c>
      <c r="G213" s="156">
        <v>25</v>
      </c>
      <c r="H213" s="11">
        <v>2.79825001146</v>
      </c>
      <c r="I213" s="10" t="s">
        <v>712</v>
      </c>
      <c r="J213" s="10" t="s">
        <v>18</v>
      </c>
      <c r="K213" s="10" t="s">
        <v>42</v>
      </c>
      <c r="L213" s="157">
        <v>2</v>
      </c>
      <c r="M213" s="1">
        <f>'State of the System - Sumter Co'!K213</f>
        <v>2</v>
      </c>
      <c r="N213" s="1" t="str">
        <f>IF('State of the System - Sumter Co'!L213="URBAN","U","R")</f>
        <v>U</v>
      </c>
      <c r="O213" s="1" t="str">
        <f>IF('State of the System - Sumter Co'!M213="UNDIVIDED","U",IF('State of the System - Sumter Co'!M213="DIVIDED","D","F"))</f>
        <v>U</v>
      </c>
      <c r="P213" s="1" t="str">
        <f>'State of the System - Sumter Co'!N213</f>
        <v>UNINTERRUPTED</v>
      </c>
      <c r="Q213" s="1" t="str">
        <f t="shared" si="300"/>
        <v/>
      </c>
      <c r="R213" s="1" t="str">
        <f>'State of the System - Sumter Co'!O213</f>
        <v/>
      </c>
      <c r="S213" s="1" t="str">
        <f t="shared" si="298"/>
        <v>-x</v>
      </c>
      <c r="T213" s="1" t="str">
        <f t="shared" si="301"/>
        <v>U-2U-x</v>
      </c>
      <c r="U213" s="1" t="str">
        <f t="shared" si="352"/>
        <v>U-2U-x</v>
      </c>
      <c r="V213" s="1" t="s">
        <v>10</v>
      </c>
      <c r="W213" s="1" t="s">
        <v>11</v>
      </c>
      <c r="X213" s="1" t="s">
        <v>21</v>
      </c>
      <c r="Y213" s="1" t="str">
        <f>'State of the System - Sumter Co'!R213</f>
        <v>D</v>
      </c>
      <c r="Z213" s="157" t="str">
        <f t="shared" si="302"/>
        <v>Other CMP Network Roadways</v>
      </c>
      <c r="AA213" s="15">
        <f>VLOOKUP($T213,'2020_CapacityTable'!$B$49:$F$71,2)</f>
        <v>11700</v>
      </c>
      <c r="AB213" s="15">
        <f>VLOOKUP($T213,'2020_CapacityTable'!$B$49:$F$71,3)</f>
        <v>18000</v>
      </c>
      <c r="AC213" s="15">
        <f>VLOOKUP($T213,'2020_CapacityTable'!$B$49:$F$71,4)</f>
        <v>24200</v>
      </c>
      <c r="AD213" s="15">
        <f>VLOOKUP($T213,'2020_CapacityTable'!$B$49:$F$71,5)</f>
        <v>32600</v>
      </c>
      <c r="AE213" s="35"/>
      <c r="AF213" s="36" t="str">
        <f t="shared" si="303"/>
        <v/>
      </c>
      <c r="AG213" s="35"/>
      <c r="AH213" s="35" t="str">
        <f>IF(O213="U",IF(L213&gt;2,"LOOK",""),"")</f>
        <v/>
      </c>
      <c r="AI213" s="35"/>
      <c r="AJ213" s="36"/>
      <c r="AK213" s="15">
        <f t="shared" si="304"/>
        <v>11700</v>
      </c>
      <c r="AL213" s="15">
        <f t="shared" si="305"/>
        <v>18000</v>
      </c>
      <c r="AM213" s="15">
        <f t="shared" si="306"/>
        <v>24200</v>
      </c>
      <c r="AN213" s="15">
        <f t="shared" si="307"/>
        <v>32600</v>
      </c>
      <c r="AO213" s="3">
        <f t="shared" si="343"/>
        <v>24200</v>
      </c>
      <c r="AP213" s="138">
        <f>VLOOKUP($B213,'2022 counts'!$B$6:$R$304,17,FALSE)</f>
        <v>3155</v>
      </c>
      <c r="AQ213" s="11">
        <f t="shared" si="308"/>
        <v>0.13</v>
      </c>
      <c r="AR213" s="2" t="str">
        <f t="shared" si="309"/>
        <v>B</v>
      </c>
      <c r="AS213" s="26">
        <f t="shared" si="310"/>
        <v>3.22</v>
      </c>
      <c r="AT213" s="15">
        <f>VLOOKUP($T213,'2020_CapacityTable'!$B$23:$F$45,2)</f>
        <v>580</v>
      </c>
      <c r="AU213" s="15">
        <f>VLOOKUP($T213,'2020_CapacityTable'!$B$23:$F$45,3)</f>
        <v>890</v>
      </c>
      <c r="AV213" s="15">
        <f>VLOOKUP($T213,'2020_CapacityTable'!$B$23:$F$45,4)</f>
        <v>1200</v>
      </c>
      <c r="AW213" s="15">
        <f>VLOOKUP($T213,'2020_CapacityTable'!$B$23:$F$45,5)</f>
        <v>1610</v>
      </c>
      <c r="AX213" s="15">
        <f t="shared" si="311"/>
        <v>580</v>
      </c>
      <c r="AY213" s="15">
        <f t="shared" si="312"/>
        <v>890</v>
      </c>
      <c r="AZ213" s="15">
        <f t="shared" si="313"/>
        <v>1200</v>
      </c>
      <c r="BA213" s="15">
        <f t="shared" si="314"/>
        <v>1610</v>
      </c>
      <c r="BB213" s="3">
        <f t="shared" si="344"/>
        <v>1200</v>
      </c>
      <c r="BC213" s="138">
        <f>VLOOKUP($B213,'2022 counts'!$B$6:$AD$304,28,FALSE)</f>
        <v>119</v>
      </c>
      <c r="BD213" s="138">
        <f>VLOOKUP($B213,'2022 counts'!$B$6:$AD$304,29,FALSE)</f>
        <v>174</v>
      </c>
      <c r="BE213" s="11">
        <f t="shared" si="315"/>
        <v>0.15</v>
      </c>
      <c r="BF213" s="2" t="str">
        <f t="shared" si="316"/>
        <v>B</v>
      </c>
      <c r="BG213" s="135">
        <v>9.2499999999999999E-2</v>
      </c>
      <c r="BH213" s="135">
        <f>IF($AQ213="","",VLOOKUP($B213, '2022 counts'!$B$6:$T$304,19,FALSE))</f>
        <v>9.2499999999999999E-2</v>
      </c>
      <c r="BI213" s="38">
        <f t="shared" si="317"/>
        <v>9.2499999999999999E-2</v>
      </c>
      <c r="BJ213" s="39" t="str">
        <f t="shared" si="318"/>
        <v/>
      </c>
      <c r="BK213" s="15">
        <f>VLOOKUP($U213,'2020_CapacityTable'!$B$49:$F$71,2)</f>
        <v>11700</v>
      </c>
      <c r="BL213" s="15">
        <f>VLOOKUP($U213,'2020_CapacityTable'!$B$49:$F$71,3)</f>
        <v>18000</v>
      </c>
      <c r="BM213" s="15">
        <f>VLOOKUP($T213,'2020_CapacityTable'!$B$49:$F$71,4)</f>
        <v>24200</v>
      </c>
      <c r="BN213" s="15">
        <f>VLOOKUP($T213,'2020_CapacityTable'!$B$49:$F$71,5)</f>
        <v>32600</v>
      </c>
      <c r="BO213" s="15">
        <f t="shared" si="353"/>
        <v>11700</v>
      </c>
      <c r="BP213" s="15">
        <f t="shared" si="349"/>
        <v>18000</v>
      </c>
      <c r="BQ213" s="15">
        <f t="shared" si="350"/>
        <v>24200</v>
      </c>
      <c r="BR213" s="15">
        <f t="shared" si="351"/>
        <v>32600</v>
      </c>
      <c r="BS213" s="3">
        <f t="shared" si="345"/>
        <v>24200</v>
      </c>
      <c r="BT213" s="40">
        <f>'State of the System - Sumter Co'!AD213</f>
        <v>4910</v>
      </c>
      <c r="BU213" s="41">
        <f t="shared" si="354"/>
        <v>0.2</v>
      </c>
      <c r="BV213" s="2" t="str">
        <f t="shared" si="355"/>
        <v>B</v>
      </c>
      <c r="BW213" s="2">
        <f t="shared" si="325"/>
        <v>5.01</v>
      </c>
      <c r="BX213" s="15">
        <f>VLOOKUP($U213,'2020_CapacityTable'!$B$23:$F$45,2)</f>
        <v>580</v>
      </c>
      <c r="BY213" s="15">
        <f>VLOOKUP($U213,'2020_CapacityTable'!$B$23:$F$45,3)</f>
        <v>890</v>
      </c>
      <c r="BZ213" s="15">
        <f>VLOOKUP($U213,'2020_CapacityTable'!$B$23:$F$45,4)</f>
        <v>1200</v>
      </c>
      <c r="CA213" s="15">
        <f>VLOOKUP($U213,'2020_CapacityTable'!$B$23:$F$45,5)</f>
        <v>1610</v>
      </c>
      <c r="CB213" s="15">
        <f t="shared" si="356"/>
        <v>580</v>
      </c>
      <c r="CC213" s="15">
        <f t="shared" si="357"/>
        <v>890</v>
      </c>
      <c r="CD213" s="15">
        <f t="shared" si="358"/>
        <v>1200</v>
      </c>
      <c r="CE213" s="15">
        <f t="shared" si="359"/>
        <v>1610</v>
      </c>
      <c r="CF213" s="3">
        <f t="shared" si="360"/>
        <v>1200</v>
      </c>
      <c r="CG213" s="2">
        <f>'State of the System - Sumter Co'!AH213</f>
        <v>185</v>
      </c>
      <c r="CH213" s="2">
        <f>'State of the System - Sumter Co'!AI213</f>
        <v>271</v>
      </c>
      <c r="CI213" s="11">
        <f t="shared" si="330"/>
        <v>0.23</v>
      </c>
      <c r="CJ213" s="2" t="str">
        <f t="shared" si="361"/>
        <v>B</v>
      </c>
      <c r="CK213" s="3">
        <f t="shared" si="331"/>
        <v>35208</v>
      </c>
      <c r="CL213" s="11">
        <f t="shared" si="332"/>
        <v>0.14000000000000001</v>
      </c>
      <c r="CM213" s="11" t="str">
        <f t="shared" si="333"/>
        <v>NOT CONGESTED</v>
      </c>
      <c r="CN213" s="3">
        <f t="shared" si="334"/>
        <v>1739</v>
      </c>
      <c r="CO213" s="11">
        <f t="shared" si="335"/>
        <v>0.16</v>
      </c>
      <c r="CP213" s="156" t="str">
        <f t="shared" si="336"/>
        <v>NOT CONGESTED</v>
      </c>
      <c r="CQ213" s="2"/>
      <c r="CR213" s="42"/>
      <c r="CS213" s="11" t="str">
        <f t="shared" si="337"/>
        <v/>
      </c>
      <c r="CT213" s="11" t="str">
        <f t="shared" si="346"/>
        <v/>
      </c>
      <c r="CU213" s="11" t="str">
        <f t="shared" si="338"/>
        <v/>
      </c>
      <c r="CV213" s="11" t="str">
        <f t="shared" si="339"/>
        <v/>
      </c>
      <c r="CW213" s="3"/>
      <c r="CX213" s="1"/>
      <c r="CY213" s="145" t="str">
        <f t="shared" si="340"/>
        <v/>
      </c>
      <c r="CZ213" s="32" t="str">
        <f t="shared" si="341"/>
        <v/>
      </c>
    </row>
    <row r="214" spans="1:104" s="9" customFormat="1" ht="12.75" customHeight="1">
      <c r="A214" s="1">
        <v>35310001</v>
      </c>
      <c r="B214" s="1">
        <f>IF($D214="STATE",E214,D214)</f>
        <v>187006</v>
      </c>
      <c r="C214" s="1">
        <v>81</v>
      </c>
      <c r="D214" s="1" t="str">
        <f>VLOOKUP(C214,'2022 counts'!$A$6:$B$304,2,FALSE)</f>
        <v>STATE</v>
      </c>
      <c r="E214" s="1">
        <v>187006</v>
      </c>
      <c r="F214" s="2" t="s">
        <v>6</v>
      </c>
      <c r="G214" s="156">
        <v>35</v>
      </c>
      <c r="H214" s="11">
        <v>0.43455012267999998</v>
      </c>
      <c r="I214" s="10" t="s">
        <v>745</v>
      </c>
      <c r="J214" s="10" t="s">
        <v>74</v>
      </c>
      <c r="K214" s="10" t="s">
        <v>75</v>
      </c>
      <c r="L214" s="157">
        <v>4</v>
      </c>
      <c r="M214" s="1">
        <f>'State of the System - Sumter Co'!K214</f>
        <v>4</v>
      </c>
      <c r="N214" s="1" t="str">
        <f>IF('State of the System - Sumter Co'!L214="URBAN","U","R")</f>
        <v>U</v>
      </c>
      <c r="O214" s="1" t="str">
        <f>IF('State of the System - Sumter Co'!M214="UNDIVIDED","U",IF('State of the System - Sumter Co'!M214="DIVIDED","D","F"))</f>
        <v>U</v>
      </c>
      <c r="P214" s="1" t="str">
        <f>'State of the System - Sumter Co'!N214</f>
        <v>INTERRUPTED</v>
      </c>
      <c r="Q214" s="1" t="str">
        <f t="shared" si="300"/>
        <v/>
      </c>
      <c r="R214" s="1" t="str">
        <f>'State of the System - Sumter Co'!O214</f>
        <v/>
      </c>
      <c r="S214" s="1" t="str">
        <f t="shared" si="298"/>
        <v>-2</v>
      </c>
      <c r="T214" s="1" t="str">
        <f t="shared" si="301"/>
        <v>U-4U-2</v>
      </c>
      <c r="U214" s="1" t="str">
        <f t="shared" si="352"/>
        <v>U-4U-2</v>
      </c>
      <c r="V214" s="1" t="s">
        <v>10</v>
      </c>
      <c r="W214" s="1" t="s">
        <v>76</v>
      </c>
      <c r="X214" s="1" t="s">
        <v>12</v>
      </c>
      <c r="Y214" s="1" t="str">
        <f>'State of the System - Sumter Co'!R214</f>
        <v>D</v>
      </c>
      <c r="Z214" s="157" t="str">
        <f t="shared" si="302"/>
        <v>Other CMP Network Roadways</v>
      </c>
      <c r="AA214" s="15">
        <f>VLOOKUP($T214,'2020_CapacityTable'!$B$49:$F$71,2)</f>
        <v>0</v>
      </c>
      <c r="AB214" s="15">
        <f>VLOOKUP($T214,'2020_CapacityTable'!$B$49:$F$71,3)</f>
        <v>14500</v>
      </c>
      <c r="AC214" s="15">
        <f>VLOOKUP($T214,'2020_CapacityTable'!$B$49:$F$71,4)</f>
        <v>32400</v>
      </c>
      <c r="AD214" s="15">
        <f>VLOOKUP($T214,'2020_CapacityTable'!$B$49:$F$71,5)</f>
        <v>33800</v>
      </c>
      <c r="AE214" s="35">
        <f>IF(V214&lt;&gt;"STATE",-10%,"")</f>
        <v>-0.1</v>
      </c>
      <c r="AF214" s="36" t="str">
        <f t="shared" si="303"/>
        <v/>
      </c>
      <c r="AG214" s="35" t="str">
        <f>IF(AND(L214=2,P214="interrupted",O214="U"),"LOOK","")</f>
        <v/>
      </c>
      <c r="AH214" s="35"/>
      <c r="AI214" s="35"/>
      <c r="AJ214" s="36">
        <v>0.05</v>
      </c>
      <c r="AK214" s="15">
        <f t="shared" si="304"/>
        <v>0</v>
      </c>
      <c r="AL214" s="15">
        <f t="shared" si="305"/>
        <v>13775</v>
      </c>
      <c r="AM214" s="15">
        <f t="shared" si="306"/>
        <v>30780</v>
      </c>
      <c r="AN214" s="15">
        <f t="shared" si="307"/>
        <v>32110</v>
      </c>
      <c r="AO214" s="3">
        <f t="shared" si="343"/>
        <v>30780</v>
      </c>
      <c r="AP214" s="138">
        <f>VLOOKUP($B214,'2022 counts'!$B$6:$R$304,17,FALSE)</f>
        <v>6470</v>
      </c>
      <c r="AQ214" s="11">
        <f t="shared" si="308"/>
        <v>0.21</v>
      </c>
      <c r="AR214" s="2" t="str">
        <f t="shared" si="309"/>
        <v>C</v>
      </c>
      <c r="AS214" s="26">
        <f t="shared" si="310"/>
        <v>1.03</v>
      </c>
      <c r="AT214" s="15">
        <f>VLOOKUP($T214,'2020_CapacityTable'!$B$23:$F$45,2)</f>
        <v>0</v>
      </c>
      <c r="AU214" s="15">
        <f>VLOOKUP($T214,'2020_CapacityTable'!$B$23:$F$45,3)</f>
        <v>730</v>
      </c>
      <c r="AV214" s="15">
        <f>VLOOKUP($T214,'2020_CapacityTable'!$B$23:$F$45,4)</f>
        <v>1630</v>
      </c>
      <c r="AW214" s="15">
        <f>VLOOKUP($T214,'2020_CapacityTable'!$B$23:$F$45,5)</f>
        <v>1700</v>
      </c>
      <c r="AX214" s="15">
        <f t="shared" si="311"/>
        <v>0</v>
      </c>
      <c r="AY214" s="15">
        <f t="shared" si="312"/>
        <v>694</v>
      </c>
      <c r="AZ214" s="15">
        <f t="shared" si="313"/>
        <v>1549</v>
      </c>
      <c r="BA214" s="15">
        <f t="shared" si="314"/>
        <v>1615</v>
      </c>
      <c r="BB214" s="3">
        <f t="shared" si="344"/>
        <v>1549</v>
      </c>
      <c r="BC214" s="138">
        <f>VLOOKUP($B214,'2022 counts'!$B$6:$AD$304,28,FALSE)</f>
        <v>326</v>
      </c>
      <c r="BD214" s="138">
        <f>VLOOKUP($B214,'2022 counts'!$B$6:$AD$304,29,FALSE)</f>
        <v>289</v>
      </c>
      <c r="BE214" s="11">
        <f t="shared" si="315"/>
        <v>0.21</v>
      </c>
      <c r="BF214" s="2" t="str">
        <f t="shared" si="316"/>
        <v>C</v>
      </c>
      <c r="BG214" s="135">
        <v>0</v>
      </c>
      <c r="BH214" s="135">
        <f>IF($AQ214="","",VLOOKUP($B214, '2022 counts'!$B$6:$T$304,19,FALSE))</f>
        <v>0</v>
      </c>
      <c r="BI214" s="38">
        <f t="shared" si="317"/>
        <v>0.01</v>
      </c>
      <c r="BJ214" s="39" t="str">
        <f t="shared" si="318"/>
        <v>minimum</v>
      </c>
      <c r="BK214" s="15">
        <f>VLOOKUP($U214,'2020_CapacityTable'!$B$49:$F$71,2)</f>
        <v>0</v>
      </c>
      <c r="BL214" s="15">
        <f>VLOOKUP($U214,'2020_CapacityTable'!$B$49:$F$71,3)</f>
        <v>14500</v>
      </c>
      <c r="BM214" s="15">
        <f>VLOOKUP($T214,'2020_CapacityTable'!$B$49:$F$71,4)</f>
        <v>32400</v>
      </c>
      <c r="BN214" s="15">
        <f>VLOOKUP($T214,'2020_CapacityTable'!$B$49:$F$71,5)</f>
        <v>33800</v>
      </c>
      <c r="BO214" s="15">
        <f t="shared" si="353"/>
        <v>0</v>
      </c>
      <c r="BP214" s="15">
        <f t="shared" si="349"/>
        <v>13775</v>
      </c>
      <c r="BQ214" s="15">
        <f t="shared" si="350"/>
        <v>30780</v>
      </c>
      <c r="BR214" s="15">
        <f t="shared" si="351"/>
        <v>32110</v>
      </c>
      <c r="BS214" s="3">
        <f t="shared" si="345"/>
        <v>30780</v>
      </c>
      <c r="BT214" s="40">
        <f>'State of the System - Sumter Co'!AD214</f>
        <v>6800</v>
      </c>
      <c r="BU214" s="41">
        <f t="shared" si="354"/>
        <v>0.22</v>
      </c>
      <c r="BV214" s="2" t="str">
        <f t="shared" si="355"/>
        <v>C</v>
      </c>
      <c r="BW214" s="2">
        <f t="shared" si="325"/>
        <v>1.08</v>
      </c>
      <c r="BX214" s="15">
        <f>VLOOKUP($U214,'2020_CapacityTable'!$B$23:$F$45,2)</f>
        <v>0</v>
      </c>
      <c r="BY214" s="15">
        <f>VLOOKUP($U214,'2020_CapacityTable'!$B$23:$F$45,3)</f>
        <v>730</v>
      </c>
      <c r="BZ214" s="15">
        <f>VLOOKUP($U214,'2020_CapacityTable'!$B$23:$F$45,4)</f>
        <v>1630</v>
      </c>
      <c r="CA214" s="15">
        <f>VLOOKUP($U214,'2020_CapacityTable'!$B$23:$F$45,5)</f>
        <v>1700</v>
      </c>
      <c r="CB214" s="15">
        <f t="shared" si="356"/>
        <v>0</v>
      </c>
      <c r="CC214" s="15">
        <f t="shared" si="357"/>
        <v>694</v>
      </c>
      <c r="CD214" s="15">
        <f t="shared" si="358"/>
        <v>1549</v>
      </c>
      <c r="CE214" s="15">
        <f t="shared" si="359"/>
        <v>1615</v>
      </c>
      <c r="CF214" s="3">
        <f t="shared" si="360"/>
        <v>1549</v>
      </c>
      <c r="CG214" s="2">
        <f>'State of the System - Sumter Co'!AH214</f>
        <v>343</v>
      </c>
      <c r="CH214" s="2">
        <f>'State of the System - Sumter Co'!AI214</f>
        <v>304</v>
      </c>
      <c r="CI214" s="11">
        <f t="shared" si="330"/>
        <v>0.22</v>
      </c>
      <c r="CJ214" s="2" t="str">
        <f t="shared" si="361"/>
        <v>C</v>
      </c>
      <c r="CK214" s="3">
        <f t="shared" si="331"/>
        <v>34679</v>
      </c>
      <c r="CL214" s="11">
        <f t="shared" si="332"/>
        <v>0.2</v>
      </c>
      <c r="CM214" s="11" t="str">
        <f t="shared" si="333"/>
        <v>NOT CONGESTED</v>
      </c>
      <c r="CN214" s="3">
        <f t="shared" si="334"/>
        <v>1744</v>
      </c>
      <c r="CO214" s="11">
        <f t="shared" si="335"/>
        <v>0.2</v>
      </c>
      <c r="CP214" s="156" t="str">
        <f t="shared" si="336"/>
        <v>NOT CONGESTED</v>
      </c>
      <c r="CQ214" s="2"/>
      <c r="CR214" s="42"/>
      <c r="CS214" s="11" t="str">
        <f t="shared" si="337"/>
        <v/>
      </c>
      <c r="CT214" s="11" t="str">
        <f t="shared" si="346"/>
        <v/>
      </c>
      <c r="CU214" s="11" t="str">
        <f t="shared" si="338"/>
        <v/>
      </c>
      <c r="CV214" s="11" t="str">
        <f t="shared" si="339"/>
        <v/>
      </c>
      <c r="CW214" s="3"/>
      <c r="CX214" s="1"/>
      <c r="CY214" s="145" t="str">
        <f t="shared" si="340"/>
        <v/>
      </c>
      <c r="CZ214" s="32" t="str">
        <f t="shared" si="341"/>
        <v/>
      </c>
    </row>
    <row r="215" spans="1:104" s="9" customFormat="1" ht="12.75" customHeight="1">
      <c r="A215" s="1">
        <v>35310002</v>
      </c>
      <c r="B215" s="1">
        <f t="shared" si="342"/>
        <v>52</v>
      </c>
      <c r="C215" s="1">
        <v>80</v>
      </c>
      <c r="D215" s="1">
        <f>VLOOKUP(C215,'2022 counts'!$A$6:$B$304,2,FALSE)</f>
        <v>52</v>
      </c>
      <c r="E215" s="1"/>
      <c r="F215" s="2" t="s">
        <v>6</v>
      </c>
      <c r="G215" s="156">
        <v>45</v>
      </c>
      <c r="H215" s="11">
        <v>0.57476477552899996</v>
      </c>
      <c r="I215" s="10" t="s">
        <v>745</v>
      </c>
      <c r="J215" s="10" t="s">
        <v>75</v>
      </c>
      <c r="K215" s="10" t="s">
        <v>77</v>
      </c>
      <c r="L215" s="157">
        <v>4</v>
      </c>
      <c r="M215" s="1">
        <f>'State of the System - Sumter Co'!K215</f>
        <v>4</v>
      </c>
      <c r="N215" s="1" t="str">
        <f>IF('State of the System - Sumter Co'!L215="URBAN","U","R")</f>
        <v>U</v>
      </c>
      <c r="O215" s="1" t="str">
        <f>IF('State of the System - Sumter Co'!M215="UNDIVIDED","U",IF('State of the System - Sumter Co'!M215="DIVIDED","D","F"))</f>
        <v>U</v>
      </c>
      <c r="P215" s="1" t="str">
        <f>'State of the System - Sumter Co'!N215</f>
        <v>INTERRUPTED</v>
      </c>
      <c r="Q215" s="1" t="str">
        <f t="shared" si="300"/>
        <v/>
      </c>
      <c r="R215" s="1" t="str">
        <f>'State of the System - Sumter Co'!O215</f>
        <v/>
      </c>
      <c r="S215" s="1" t="str">
        <f t="shared" si="298"/>
        <v>-1</v>
      </c>
      <c r="T215" s="1" t="str">
        <f t="shared" si="301"/>
        <v>U-4U-1</v>
      </c>
      <c r="U215" s="1" t="str">
        <f t="shared" si="352"/>
        <v>U-4U-1</v>
      </c>
      <c r="V215" s="1" t="s">
        <v>10</v>
      </c>
      <c r="W215" s="1" t="s">
        <v>76</v>
      </c>
      <c r="X215" s="1" t="s">
        <v>12</v>
      </c>
      <c r="Y215" s="1" t="str">
        <f>'State of the System - Sumter Co'!R215</f>
        <v>D</v>
      </c>
      <c r="Z215" s="157" t="str">
        <f t="shared" si="302"/>
        <v>Other CMP Network Roadways</v>
      </c>
      <c r="AA215" s="15">
        <f>VLOOKUP($T215,'2020_CapacityTable'!$B$49:$F$71,2)</f>
        <v>0</v>
      </c>
      <c r="AB215" s="15">
        <f>VLOOKUP($T215,'2020_CapacityTable'!$B$49:$F$71,3)</f>
        <v>37900</v>
      </c>
      <c r="AC215" s="15">
        <f>VLOOKUP($T215,'2020_CapacityTable'!$B$49:$F$71,4)</f>
        <v>39800</v>
      </c>
      <c r="AD215" s="15">
        <f>VLOOKUP($T215,'2020_CapacityTable'!$B$49:$F$71,5)</f>
        <v>39800</v>
      </c>
      <c r="AE215" s="35">
        <f>IF(V215&lt;&gt;"STATE",-10%,"")</f>
        <v>-0.1</v>
      </c>
      <c r="AF215" s="36" t="str">
        <f t="shared" si="303"/>
        <v/>
      </c>
      <c r="AG215" s="35" t="str">
        <f>IF(AND(L215=2,P215="interrupted",O215="U"),"LOOK","")</f>
        <v/>
      </c>
      <c r="AH215" s="35"/>
      <c r="AI215" s="35"/>
      <c r="AJ215" s="36">
        <v>0.05</v>
      </c>
      <c r="AK215" s="15">
        <f t="shared" si="304"/>
        <v>0</v>
      </c>
      <c r="AL215" s="15">
        <f t="shared" si="305"/>
        <v>36005</v>
      </c>
      <c r="AM215" s="15">
        <f t="shared" si="306"/>
        <v>37810</v>
      </c>
      <c r="AN215" s="15">
        <f t="shared" si="307"/>
        <v>37810</v>
      </c>
      <c r="AO215" s="3">
        <f t="shared" si="343"/>
        <v>37810</v>
      </c>
      <c r="AP215" s="138">
        <f>VLOOKUP($B215,'2022 counts'!$B$6:$R$304,17,FALSE)</f>
        <v>5951</v>
      </c>
      <c r="AQ215" s="11">
        <f t="shared" si="308"/>
        <v>0.16</v>
      </c>
      <c r="AR215" s="2" t="str">
        <f t="shared" si="309"/>
        <v>C</v>
      </c>
      <c r="AS215" s="26">
        <f t="shared" si="310"/>
        <v>1.25</v>
      </c>
      <c r="AT215" s="15">
        <f>VLOOKUP($T215,'2020_CapacityTable'!$B$23:$F$45,2)</f>
        <v>0</v>
      </c>
      <c r="AU215" s="15">
        <f>VLOOKUP($T215,'2020_CapacityTable'!$B$23:$F$45,3)</f>
        <v>1910</v>
      </c>
      <c r="AV215" s="15">
        <f>VLOOKUP($T215,'2020_CapacityTable'!$B$23:$F$45,4)</f>
        <v>2000</v>
      </c>
      <c r="AW215" s="15">
        <f>VLOOKUP($T215,'2020_CapacityTable'!$B$23:$F$45,5)</f>
        <v>2000</v>
      </c>
      <c r="AX215" s="15">
        <f t="shared" si="311"/>
        <v>0</v>
      </c>
      <c r="AY215" s="15">
        <f t="shared" si="312"/>
        <v>1815</v>
      </c>
      <c r="AZ215" s="15">
        <f t="shared" si="313"/>
        <v>1900</v>
      </c>
      <c r="BA215" s="15">
        <f t="shared" si="314"/>
        <v>1900</v>
      </c>
      <c r="BB215" s="3">
        <f t="shared" si="344"/>
        <v>1900</v>
      </c>
      <c r="BC215" s="138">
        <f>VLOOKUP($B215,'2022 counts'!$B$6:$AD$304,28,FALSE)</f>
        <v>286</v>
      </c>
      <c r="BD215" s="138">
        <f>VLOOKUP($B215,'2022 counts'!$B$6:$AD$304,29,FALSE)</f>
        <v>258</v>
      </c>
      <c r="BE215" s="11">
        <f t="shared" si="315"/>
        <v>0.15</v>
      </c>
      <c r="BF215" s="2" t="str">
        <f t="shared" si="316"/>
        <v>C</v>
      </c>
      <c r="BG215" s="135">
        <v>3.7499999999999999E-2</v>
      </c>
      <c r="BH215" s="135">
        <f>IF($AQ215="","",VLOOKUP($B215, '2022 counts'!$B$6:$T$304,19,FALSE))</f>
        <v>0.01</v>
      </c>
      <c r="BI215" s="38">
        <f t="shared" si="317"/>
        <v>0.01</v>
      </c>
      <c r="BJ215" s="39" t="str">
        <f t="shared" si="318"/>
        <v>(1)</v>
      </c>
      <c r="BK215" s="15">
        <f>VLOOKUP($U215,'2020_CapacityTable'!$B$49:$F$71,2)</f>
        <v>0</v>
      </c>
      <c r="BL215" s="15">
        <f>VLOOKUP($U215,'2020_CapacityTable'!$B$49:$F$71,3)</f>
        <v>37900</v>
      </c>
      <c r="BM215" s="15">
        <f>VLOOKUP($T215,'2020_CapacityTable'!$B$49:$F$71,4)</f>
        <v>39800</v>
      </c>
      <c r="BN215" s="15">
        <f>VLOOKUP($T215,'2020_CapacityTable'!$B$49:$F$71,5)</f>
        <v>39800</v>
      </c>
      <c r="BO215" s="15">
        <f t="shared" si="353"/>
        <v>0</v>
      </c>
      <c r="BP215" s="15">
        <f t="shared" si="349"/>
        <v>36005</v>
      </c>
      <c r="BQ215" s="15">
        <f t="shared" si="350"/>
        <v>37810</v>
      </c>
      <c r="BR215" s="15">
        <f t="shared" si="351"/>
        <v>37810</v>
      </c>
      <c r="BS215" s="3">
        <f t="shared" si="345"/>
        <v>37810</v>
      </c>
      <c r="BT215" s="40">
        <f>'State of the System - Sumter Co'!AD215</f>
        <v>6255</v>
      </c>
      <c r="BU215" s="41">
        <f t="shared" si="354"/>
        <v>0.17</v>
      </c>
      <c r="BV215" s="2" t="str">
        <f t="shared" si="355"/>
        <v>C</v>
      </c>
      <c r="BW215" s="2">
        <f t="shared" si="325"/>
        <v>1.31</v>
      </c>
      <c r="BX215" s="15">
        <f>VLOOKUP($U215,'2020_CapacityTable'!$B$23:$F$45,2)</f>
        <v>0</v>
      </c>
      <c r="BY215" s="15">
        <f>VLOOKUP($U215,'2020_CapacityTable'!$B$23:$F$45,3)</f>
        <v>1910</v>
      </c>
      <c r="BZ215" s="15">
        <f>VLOOKUP($U215,'2020_CapacityTable'!$B$23:$F$45,4)</f>
        <v>2000</v>
      </c>
      <c r="CA215" s="15">
        <f>VLOOKUP($U215,'2020_CapacityTable'!$B$23:$F$45,5)</f>
        <v>2000</v>
      </c>
      <c r="CB215" s="15">
        <f t="shared" si="356"/>
        <v>0</v>
      </c>
      <c r="CC215" s="15">
        <f t="shared" si="357"/>
        <v>1815</v>
      </c>
      <c r="CD215" s="15">
        <f t="shared" si="358"/>
        <v>1900</v>
      </c>
      <c r="CE215" s="15">
        <f t="shared" si="359"/>
        <v>1900</v>
      </c>
      <c r="CF215" s="3">
        <f t="shared" si="360"/>
        <v>1900</v>
      </c>
      <c r="CG215" s="2">
        <f>'State of the System - Sumter Co'!AH215</f>
        <v>301</v>
      </c>
      <c r="CH215" s="2">
        <f>'State of the System - Sumter Co'!AI215</f>
        <v>271</v>
      </c>
      <c r="CI215" s="11">
        <f t="shared" si="330"/>
        <v>0.16</v>
      </c>
      <c r="CJ215" s="2" t="str">
        <f t="shared" si="361"/>
        <v>C</v>
      </c>
      <c r="CK215" s="3">
        <f t="shared" si="331"/>
        <v>40835</v>
      </c>
      <c r="CL215" s="11">
        <f t="shared" si="332"/>
        <v>0.15</v>
      </c>
      <c r="CM215" s="11" t="str">
        <f t="shared" si="333"/>
        <v>NOT CONGESTED</v>
      </c>
      <c r="CN215" s="3">
        <f t="shared" si="334"/>
        <v>2052</v>
      </c>
      <c r="CO215" s="11">
        <f t="shared" si="335"/>
        <v>0.15</v>
      </c>
      <c r="CP215" s="156" t="str">
        <f t="shared" si="336"/>
        <v>NOT CONGESTED</v>
      </c>
      <c r="CQ215" s="2"/>
      <c r="CR215" s="42"/>
      <c r="CS215" s="11" t="str">
        <f t="shared" si="337"/>
        <v/>
      </c>
      <c r="CT215" s="11" t="str">
        <f t="shared" si="346"/>
        <v/>
      </c>
      <c r="CU215" s="11" t="str">
        <f t="shared" si="338"/>
        <v/>
      </c>
      <c r="CV215" s="11" t="str">
        <f t="shared" si="339"/>
        <v/>
      </c>
      <c r="CW215" s="3" t="s">
        <v>586</v>
      </c>
      <c r="CX215" s="1"/>
      <c r="CY215" s="145" t="str">
        <f t="shared" si="340"/>
        <v/>
      </c>
      <c r="CZ215" s="32" t="str">
        <f t="shared" si="341"/>
        <v/>
      </c>
    </row>
    <row r="216" spans="1:104" s="9" customFormat="1" ht="12.75" customHeight="1">
      <c r="A216" s="1">
        <v>35310003</v>
      </c>
      <c r="B216" s="1">
        <f t="shared" si="342"/>
        <v>51</v>
      </c>
      <c r="C216" s="1">
        <v>79</v>
      </c>
      <c r="D216" s="1">
        <f>VLOOKUP(C216,'2022 counts'!$A$6:$B$304,2,FALSE)</f>
        <v>51</v>
      </c>
      <c r="E216" s="5" t="s">
        <v>243</v>
      </c>
      <c r="F216" s="2" t="s">
        <v>589</v>
      </c>
      <c r="G216" s="156">
        <v>55</v>
      </c>
      <c r="H216" s="11">
        <v>1.27009717172</v>
      </c>
      <c r="I216" s="10" t="s">
        <v>745</v>
      </c>
      <c r="J216" s="10" t="s">
        <v>77</v>
      </c>
      <c r="K216" s="10" t="s">
        <v>78</v>
      </c>
      <c r="L216" s="157">
        <v>2</v>
      </c>
      <c r="M216" s="1">
        <f>'State of the System - Sumter Co'!K216</f>
        <v>2</v>
      </c>
      <c r="N216" s="1" t="str">
        <f>IF('State of the System - Sumter Co'!L216="URBAN","U","R")</f>
        <v>U</v>
      </c>
      <c r="O216" s="1" t="str">
        <f>IF('State of the System - Sumter Co'!M216="UNDIVIDED","U",IF('State of the System - Sumter Co'!M216="DIVIDED","D","F"))</f>
        <v>U</v>
      </c>
      <c r="P216" s="1" t="str">
        <f>'State of the System - Sumter Co'!N216</f>
        <v>UNINTERRUPTED</v>
      </c>
      <c r="Q216" s="1" t="str">
        <f t="shared" si="300"/>
        <v/>
      </c>
      <c r="R216" s="1" t="str">
        <f>'State of the System - Sumter Co'!O216</f>
        <v/>
      </c>
      <c r="S216" s="1" t="str">
        <f t="shared" si="298"/>
        <v>-x</v>
      </c>
      <c r="T216" s="1" t="str">
        <f t="shared" si="301"/>
        <v>U-2U-x</v>
      </c>
      <c r="U216" s="1" t="str">
        <f t="shared" si="352"/>
        <v>U-2U-x</v>
      </c>
      <c r="V216" s="1" t="s">
        <v>10</v>
      </c>
      <c r="W216" s="1" t="s">
        <v>76</v>
      </c>
      <c r="X216" s="1" t="s">
        <v>12</v>
      </c>
      <c r="Y216" s="1" t="str">
        <f>'State of the System - Sumter Co'!R216</f>
        <v>D</v>
      </c>
      <c r="Z216" s="157" t="str">
        <f t="shared" si="302"/>
        <v>Other CMP Network Roadways</v>
      </c>
      <c r="AA216" s="15">
        <f>VLOOKUP($T216,'2020_CapacityTable'!$B$49:$F$71,2)</f>
        <v>11700</v>
      </c>
      <c r="AB216" s="15">
        <f>VLOOKUP($T216,'2020_CapacityTable'!$B$49:$F$71,3)</f>
        <v>18000</v>
      </c>
      <c r="AC216" s="15">
        <f>VLOOKUP($T216,'2020_CapacityTable'!$B$49:$F$71,4)</f>
        <v>24200</v>
      </c>
      <c r="AD216" s="15">
        <f>VLOOKUP($T216,'2020_CapacityTable'!$B$49:$F$71,5)</f>
        <v>32600</v>
      </c>
      <c r="AE216" s="35"/>
      <c r="AF216" s="36" t="str">
        <f t="shared" si="303"/>
        <v/>
      </c>
      <c r="AG216" s="35"/>
      <c r="AH216" s="35" t="str">
        <f>IF(O216="U",IF(L216&gt;2,"LOOK",""),"")</f>
        <v/>
      </c>
      <c r="AI216" s="35"/>
      <c r="AJ216" s="36"/>
      <c r="AK216" s="15">
        <f t="shared" si="304"/>
        <v>11700</v>
      </c>
      <c r="AL216" s="15">
        <f t="shared" si="305"/>
        <v>18000</v>
      </c>
      <c r="AM216" s="15">
        <f t="shared" si="306"/>
        <v>24200</v>
      </c>
      <c r="AN216" s="15">
        <f t="shared" si="307"/>
        <v>32600</v>
      </c>
      <c r="AO216" s="3">
        <f t="shared" si="343"/>
        <v>24200</v>
      </c>
      <c r="AP216" s="138">
        <f>VLOOKUP($B216,'2022 counts'!$B$6:$R$304,17,FALSE)</f>
        <v>5681</v>
      </c>
      <c r="AQ216" s="11">
        <f t="shared" si="308"/>
        <v>0.23</v>
      </c>
      <c r="AR216" s="2" t="str">
        <f t="shared" si="309"/>
        <v>B</v>
      </c>
      <c r="AS216" s="26">
        <f t="shared" si="310"/>
        <v>2.63</v>
      </c>
      <c r="AT216" s="15">
        <f>VLOOKUP($T216,'2020_CapacityTable'!$B$23:$F$45,2)</f>
        <v>580</v>
      </c>
      <c r="AU216" s="15">
        <f>VLOOKUP($T216,'2020_CapacityTable'!$B$23:$F$45,3)</f>
        <v>890</v>
      </c>
      <c r="AV216" s="15">
        <f>VLOOKUP($T216,'2020_CapacityTable'!$B$23:$F$45,4)</f>
        <v>1200</v>
      </c>
      <c r="AW216" s="15">
        <f>VLOOKUP($T216,'2020_CapacityTable'!$B$23:$F$45,5)</f>
        <v>1610</v>
      </c>
      <c r="AX216" s="15">
        <f t="shared" si="311"/>
        <v>580</v>
      </c>
      <c r="AY216" s="15">
        <f t="shared" si="312"/>
        <v>890</v>
      </c>
      <c r="AZ216" s="15">
        <f t="shared" si="313"/>
        <v>1200</v>
      </c>
      <c r="BA216" s="15">
        <f t="shared" si="314"/>
        <v>1610</v>
      </c>
      <c r="BB216" s="3">
        <f t="shared" si="344"/>
        <v>1200</v>
      </c>
      <c r="BC216" s="138">
        <f>VLOOKUP($B216,'2022 counts'!$B$6:$AD$304,28,FALSE)</f>
        <v>308</v>
      </c>
      <c r="BD216" s="138">
        <f>VLOOKUP($B216,'2022 counts'!$B$6:$AD$304,29,FALSE)</f>
        <v>223</v>
      </c>
      <c r="BE216" s="11">
        <f t="shared" si="315"/>
        <v>0.26</v>
      </c>
      <c r="BF216" s="2" t="str">
        <f t="shared" si="316"/>
        <v>B</v>
      </c>
      <c r="BG216" s="135">
        <v>2.2499999999999999E-2</v>
      </c>
      <c r="BH216" s="135">
        <f>IF($AQ216="","",VLOOKUP($B216, '2022 counts'!$B$6:$T$304,19,FALSE))</f>
        <v>2.2499999999999999E-2</v>
      </c>
      <c r="BI216" s="38">
        <f t="shared" si="317"/>
        <v>2.2499999999999999E-2</v>
      </c>
      <c r="BJ216" s="39" t="str">
        <f t="shared" si="318"/>
        <v/>
      </c>
      <c r="BK216" s="15">
        <f>VLOOKUP($U216,'2020_CapacityTable'!$B$49:$F$71,2)</f>
        <v>11700</v>
      </c>
      <c r="BL216" s="15">
        <f>VLOOKUP($U216,'2020_CapacityTable'!$B$49:$F$71,3)</f>
        <v>18000</v>
      </c>
      <c r="BM216" s="15">
        <f>VLOOKUP($T216,'2020_CapacityTable'!$B$49:$F$71,4)</f>
        <v>24200</v>
      </c>
      <c r="BN216" s="15">
        <f>VLOOKUP($T216,'2020_CapacityTable'!$B$49:$F$71,5)</f>
        <v>32600</v>
      </c>
      <c r="BO216" s="15">
        <f t="shared" si="353"/>
        <v>11700</v>
      </c>
      <c r="BP216" s="15">
        <f t="shared" si="349"/>
        <v>18000</v>
      </c>
      <c r="BQ216" s="15">
        <f t="shared" si="350"/>
        <v>24200</v>
      </c>
      <c r="BR216" s="15">
        <f t="shared" si="351"/>
        <v>32600</v>
      </c>
      <c r="BS216" s="3">
        <f t="shared" si="345"/>
        <v>24200</v>
      </c>
      <c r="BT216" s="40">
        <f>'State of the System - Sumter Co'!AD216</f>
        <v>6350</v>
      </c>
      <c r="BU216" s="41">
        <f t="shared" si="354"/>
        <v>0.26</v>
      </c>
      <c r="BV216" s="2" t="str">
        <f t="shared" si="355"/>
        <v>B</v>
      </c>
      <c r="BW216" s="2">
        <f t="shared" si="325"/>
        <v>2.94</v>
      </c>
      <c r="BX216" s="15">
        <f>VLOOKUP($U216,'2020_CapacityTable'!$B$23:$F$45,2)</f>
        <v>580</v>
      </c>
      <c r="BY216" s="15">
        <f>VLOOKUP($U216,'2020_CapacityTable'!$B$23:$F$45,3)</f>
        <v>890</v>
      </c>
      <c r="BZ216" s="15">
        <f>VLOOKUP($U216,'2020_CapacityTable'!$B$23:$F$45,4)</f>
        <v>1200</v>
      </c>
      <c r="CA216" s="15">
        <f>VLOOKUP($U216,'2020_CapacityTable'!$B$23:$F$45,5)</f>
        <v>1610</v>
      </c>
      <c r="CB216" s="15">
        <f t="shared" si="356"/>
        <v>580</v>
      </c>
      <c r="CC216" s="15">
        <f t="shared" si="357"/>
        <v>890</v>
      </c>
      <c r="CD216" s="15">
        <f t="shared" si="358"/>
        <v>1200</v>
      </c>
      <c r="CE216" s="15">
        <f t="shared" si="359"/>
        <v>1610</v>
      </c>
      <c r="CF216" s="3">
        <f t="shared" si="360"/>
        <v>1200</v>
      </c>
      <c r="CG216" s="2">
        <f>'State of the System - Sumter Co'!AH216</f>
        <v>344</v>
      </c>
      <c r="CH216" s="2">
        <f>'State of the System - Sumter Co'!AI216</f>
        <v>249</v>
      </c>
      <c r="CI216" s="11">
        <f t="shared" si="330"/>
        <v>0.28999999999999998</v>
      </c>
      <c r="CJ216" s="2" t="str">
        <f t="shared" si="361"/>
        <v>B</v>
      </c>
      <c r="CK216" s="3">
        <f t="shared" si="331"/>
        <v>35208</v>
      </c>
      <c r="CL216" s="11">
        <f t="shared" si="332"/>
        <v>0.18</v>
      </c>
      <c r="CM216" s="11" t="str">
        <f t="shared" si="333"/>
        <v>NOT CONGESTED</v>
      </c>
      <c r="CN216" s="3">
        <f t="shared" si="334"/>
        <v>1739</v>
      </c>
      <c r="CO216" s="11">
        <f t="shared" si="335"/>
        <v>0.2</v>
      </c>
      <c r="CP216" s="156" t="str">
        <f t="shared" si="336"/>
        <v>NOT CONGESTED</v>
      </c>
      <c r="CQ216" s="2"/>
      <c r="CR216" s="42"/>
      <c r="CS216" s="11" t="str">
        <f t="shared" si="337"/>
        <v/>
      </c>
      <c r="CT216" s="11" t="str">
        <f t="shared" si="346"/>
        <v/>
      </c>
      <c r="CU216" s="11" t="str">
        <f t="shared" si="338"/>
        <v/>
      </c>
      <c r="CV216" s="11" t="str">
        <f t="shared" si="339"/>
        <v/>
      </c>
      <c r="CW216" s="3"/>
      <c r="CX216" s="1"/>
      <c r="CY216" s="145" t="str">
        <f t="shared" si="340"/>
        <v/>
      </c>
      <c r="CZ216" s="32" t="str">
        <f t="shared" si="341"/>
        <v/>
      </c>
    </row>
    <row r="217" spans="1:104" s="9" customFormat="1" ht="12.75" customHeight="1">
      <c r="A217" s="1">
        <v>35310004</v>
      </c>
      <c r="B217" s="1">
        <f t="shared" si="342"/>
        <v>50</v>
      </c>
      <c r="C217" s="1">
        <v>78</v>
      </c>
      <c r="D217" s="1">
        <f>VLOOKUP(C217,'2022 counts'!$A$6:$B$304,2,FALSE)</f>
        <v>50</v>
      </c>
      <c r="E217" s="5" t="s">
        <v>243</v>
      </c>
      <c r="F217" s="2" t="s">
        <v>589</v>
      </c>
      <c r="G217" s="156">
        <v>55</v>
      </c>
      <c r="H217" s="11">
        <v>3.6874844545799998</v>
      </c>
      <c r="I217" s="10" t="s">
        <v>745</v>
      </c>
      <c r="J217" s="10" t="s">
        <v>78</v>
      </c>
      <c r="K217" s="10" t="s">
        <v>742</v>
      </c>
      <c r="L217" s="157">
        <v>2</v>
      </c>
      <c r="M217" s="1">
        <f>'State of the System - Sumter Co'!K217</f>
        <v>2</v>
      </c>
      <c r="N217" s="1" t="str">
        <f>IF('State of the System - Sumter Co'!L217="URBAN","U","R")</f>
        <v>U</v>
      </c>
      <c r="O217" s="1" t="str">
        <f>IF('State of the System - Sumter Co'!M217="UNDIVIDED","U",IF('State of the System - Sumter Co'!M217="DIVIDED","D","F"))</f>
        <v>U</v>
      </c>
      <c r="P217" s="1" t="str">
        <f>'State of the System - Sumter Co'!N217</f>
        <v>UNINTERRUPTED</v>
      </c>
      <c r="Q217" s="1" t="str">
        <f t="shared" si="300"/>
        <v/>
      </c>
      <c r="R217" s="1" t="str">
        <f>'State of the System - Sumter Co'!O217</f>
        <v/>
      </c>
      <c r="S217" s="1" t="str">
        <f t="shared" si="298"/>
        <v>-x</v>
      </c>
      <c r="T217" s="1" t="str">
        <f t="shared" si="301"/>
        <v>U-2U-x</v>
      </c>
      <c r="U217" s="1" t="str">
        <f t="shared" si="352"/>
        <v>U-2U-x</v>
      </c>
      <c r="V217" s="1" t="s">
        <v>10</v>
      </c>
      <c r="W217" s="1" t="s">
        <v>76</v>
      </c>
      <c r="X217" s="1" t="s">
        <v>12</v>
      </c>
      <c r="Y217" s="1" t="str">
        <f>'State of the System - Sumter Co'!R217</f>
        <v>D</v>
      </c>
      <c r="Z217" s="157" t="str">
        <f t="shared" si="302"/>
        <v>Other CMP Network Roadways</v>
      </c>
      <c r="AA217" s="15">
        <f>VLOOKUP($T217,'2020_CapacityTable'!$B$49:$F$71,2)</f>
        <v>11700</v>
      </c>
      <c r="AB217" s="15">
        <f>VLOOKUP($T217,'2020_CapacityTable'!$B$49:$F$71,3)</f>
        <v>18000</v>
      </c>
      <c r="AC217" s="15">
        <f>VLOOKUP($T217,'2020_CapacityTable'!$B$49:$F$71,4)</f>
        <v>24200</v>
      </c>
      <c r="AD217" s="15">
        <f>VLOOKUP($T217,'2020_CapacityTable'!$B$49:$F$71,5)</f>
        <v>32600</v>
      </c>
      <c r="AE217" s="35"/>
      <c r="AF217" s="36" t="str">
        <f t="shared" si="303"/>
        <v/>
      </c>
      <c r="AG217" s="35"/>
      <c r="AH217" s="35" t="str">
        <f>IF(O217="U",IF(L217&gt;2,"LOOK",""),"")</f>
        <v/>
      </c>
      <c r="AI217" s="35"/>
      <c r="AJ217" s="36"/>
      <c r="AK217" s="15">
        <f t="shared" si="304"/>
        <v>11700</v>
      </c>
      <c r="AL217" s="15">
        <f t="shared" si="305"/>
        <v>18000</v>
      </c>
      <c r="AM217" s="15">
        <f t="shared" si="306"/>
        <v>24200</v>
      </c>
      <c r="AN217" s="15">
        <f t="shared" si="307"/>
        <v>32600</v>
      </c>
      <c r="AO217" s="3">
        <f t="shared" si="343"/>
        <v>24200</v>
      </c>
      <c r="AP217" s="138">
        <f>VLOOKUP($B217,'2022 counts'!$B$6:$R$304,17,FALSE)</f>
        <v>5297</v>
      </c>
      <c r="AQ217" s="11">
        <f t="shared" si="308"/>
        <v>0.22</v>
      </c>
      <c r="AR217" s="2" t="str">
        <f t="shared" si="309"/>
        <v>B</v>
      </c>
      <c r="AS217" s="26">
        <f t="shared" si="310"/>
        <v>7.13</v>
      </c>
      <c r="AT217" s="15">
        <f>VLOOKUP($T217,'2020_CapacityTable'!$B$23:$F$45,2)</f>
        <v>580</v>
      </c>
      <c r="AU217" s="15">
        <f>VLOOKUP($T217,'2020_CapacityTable'!$B$23:$F$45,3)</f>
        <v>890</v>
      </c>
      <c r="AV217" s="15">
        <f>VLOOKUP($T217,'2020_CapacityTable'!$B$23:$F$45,4)</f>
        <v>1200</v>
      </c>
      <c r="AW217" s="15">
        <f>VLOOKUP($T217,'2020_CapacityTable'!$B$23:$F$45,5)</f>
        <v>1610</v>
      </c>
      <c r="AX217" s="15">
        <f t="shared" si="311"/>
        <v>580</v>
      </c>
      <c r="AY217" s="15">
        <f t="shared" si="312"/>
        <v>890</v>
      </c>
      <c r="AZ217" s="15">
        <f t="shared" si="313"/>
        <v>1200</v>
      </c>
      <c r="BA217" s="15">
        <f t="shared" si="314"/>
        <v>1610</v>
      </c>
      <c r="BB217" s="3">
        <f t="shared" si="344"/>
        <v>1200</v>
      </c>
      <c r="BC217" s="138">
        <f>VLOOKUP($B217,'2022 counts'!$B$6:$AD$304,28,FALSE)</f>
        <v>314</v>
      </c>
      <c r="BD217" s="138">
        <f>VLOOKUP($B217,'2022 counts'!$B$6:$AD$304,29,FALSE)</f>
        <v>214</v>
      </c>
      <c r="BE217" s="11">
        <f t="shared" si="315"/>
        <v>0.26</v>
      </c>
      <c r="BF217" s="2" t="str">
        <f t="shared" si="316"/>
        <v>B</v>
      </c>
      <c r="BG217" s="135">
        <v>2.2499999999999999E-2</v>
      </c>
      <c r="BH217" s="135">
        <f>IF($AQ217="","",VLOOKUP($B217, '2022 counts'!$B$6:$T$304,19,FALSE))</f>
        <v>2.2499999999999999E-2</v>
      </c>
      <c r="BI217" s="38">
        <f t="shared" si="317"/>
        <v>2.2499999999999999E-2</v>
      </c>
      <c r="BJ217" s="39" t="str">
        <f t="shared" si="318"/>
        <v/>
      </c>
      <c r="BK217" s="15">
        <f>VLOOKUP($U217,'2020_CapacityTable'!$B$49:$F$71,2)</f>
        <v>11700</v>
      </c>
      <c r="BL217" s="15">
        <f>VLOOKUP($U217,'2020_CapacityTable'!$B$49:$F$71,3)</f>
        <v>18000</v>
      </c>
      <c r="BM217" s="15">
        <f>VLOOKUP($T217,'2020_CapacityTable'!$B$49:$F$71,4)</f>
        <v>24200</v>
      </c>
      <c r="BN217" s="15">
        <f>VLOOKUP($T217,'2020_CapacityTable'!$B$49:$F$71,5)</f>
        <v>32600</v>
      </c>
      <c r="BO217" s="15">
        <f t="shared" si="353"/>
        <v>11700</v>
      </c>
      <c r="BP217" s="15">
        <f t="shared" si="349"/>
        <v>18000</v>
      </c>
      <c r="BQ217" s="15">
        <f t="shared" si="350"/>
        <v>24200</v>
      </c>
      <c r="BR217" s="15">
        <f t="shared" si="351"/>
        <v>32600</v>
      </c>
      <c r="BS217" s="3">
        <f t="shared" si="345"/>
        <v>24200</v>
      </c>
      <c r="BT217" s="40">
        <f>'State of the System - Sumter Co'!AD217</f>
        <v>5920</v>
      </c>
      <c r="BU217" s="41">
        <f t="shared" si="354"/>
        <v>0.24</v>
      </c>
      <c r="BV217" s="2" t="str">
        <f t="shared" si="355"/>
        <v>B</v>
      </c>
      <c r="BW217" s="2">
        <f t="shared" si="325"/>
        <v>7.97</v>
      </c>
      <c r="BX217" s="15">
        <f>VLOOKUP($U217,'2020_CapacityTable'!$B$23:$F$45,2)</f>
        <v>580</v>
      </c>
      <c r="BY217" s="15">
        <f>VLOOKUP($U217,'2020_CapacityTable'!$B$23:$F$45,3)</f>
        <v>890</v>
      </c>
      <c r="BZ217" s="15">
        <f>VLOOKUP($U217,'2020_CapacityTable'!$B$23:$F$45,4)</f>
        <v>1200</v>
      </c>
      <c r="CA217" s="15">
        <f>VLOOKUP($U217,'2020_CapacityTable'!$B$23:$F$45,5)</f>
        <v>1610</v>
      </c>
      <c r="CB217" s="15">
        <f t="shared" si="356"/>
        <v>580</v>
      </c>
      <c r="CC217" s="15">
        <f t="shared" si="357"/>
        <v>890</v>
      </c>
      <c r="CD217" s="15">
        <f t="shared" si="358"/>
        <v>1200</v>
      </c>
      <c r="CE217" s="15">
        <f t="shared" si="359"/>
        <v>1610</v>
      </c>
      <c r="CF217" s="3">
        <f t="shared" si="360"/>
        <v>1200</v>
      </c>
      <c r="CG217" s="2">
        <f>'State of the System - Sumter Co'!AH217</f>
        <v>351</v>
      </c>
      <c r="CH217" s="2">
        <f>'State of the System - Sumter Co'!AI217</f>
        <v>239</v>
      </c>
      <c r="CI217" s="11">
        <f t="shared" si="330"/>
        <v>0.28999999999999998</v>
      </c>
      <c r="CJ217" s="2" t="str">
        <f t="shared" si="361"/>
        <v>B</v>
      </c>
      <c r="CK217" s="3">
        <f t="shared" si="331"/>
        <v>35208</v>
      </c>
      <c r="CL217" s="11">
        <f t="shared" si="332"/>
        <v>0.17</v>
      </c>
      <c r="CM217" s="11" t="str">
        <f t="shared" si="333"/>
        <v>NOT CONGESTED</v>
      </c>
      <c r="CN217" s="3">
        <f t="shared" si="334"/>
        <v>1739</v>
      </c>
      <c r="CO217" s="11">
        <f t="shared" si="335"/>
        <v>0.2</v>
      </c>
      <c r="CP217" s="156" t="str">
        <f t="shared" si="336"/>
        <v>NOT CONGESTED</v>
      </c>
      <c r="CQ217" s="2"/>
      <c r="CR217" s="42"/>
      <c r="CS217" s="11" t="str">
        <f t="shared" si="337"/>
        <v/>
      </c>
      <c r="CT217" s="11" t="str">
        <f t="shared" si="346"/>
        <v/>
      </c>
      <c r="CU217" s="11" t="str">
        <f t="shared" si="338"/>
        <v/>
      </c>
      <c r="CV217" s="11" t="str">
        <f t="shared" si="339"/>
        <v/>
      </c>
      <c r="CW217" s="3"/>
      <c r="CX217" s="1"/>
      <c r="CY217" s="145" t="str">
        <f t="shared" si="340"/>
        <v/>
      </c>
      <c r="CZ217" s="32" t="str">
        <f t="shared" si="341"/>
        <v/>
      </c>
    </row>
    <row r="218" spans="1:104" s="9" customFormat="1" ht="12.75" customHeight="1">
      <c r="A218" s="1">
        <v>35320001</v>
      </c>
      <c r="B218" s="1">
        <f t="shared" si="342"/>
        <v>84</v>
      </c>
      <c r="C218" s="1">
        <v>112</v>
      </c>
      <c r="D218" s="1">
        <f>VLOOKUP(C218,'2022 counts'!$A$6:$B$304,2,FALSE)</f>
        <v>84</v>
      </c>
      <c r="E218" s="1">
        <v>188011</v>
      </c>
      <c r="F218" s="2" t="s">
        <v>136</v>
      </c>
      <c r="G218" s="156">
        <v>55</v>
      </c>
      <c r="H218" s="11">
        <v>1.59686420361</v>
      </c>
      <c r="I218" s="10" t="s">
        <v>735</v>
      </c>
      <c r="J218" s="10" t="s">
        <v>730</v>
      </c>
      <c r="K218" s="10" t="s">
        <v>99</v>
      </c>
      <c r="L218" s="157">
        <v>2</v>
      </c>
      <c r="M218" s="1">
        <f>'State of the System - Sumter Co'!K218</f>
        <v>2</v>
      </c>
      <c r="N218" s="1" t="str">
        <f>IF('State of the System - Sumter Co'!L218="URBAN","U","R")</f>
        <v>R</v>
      </c>
      <c r="O218" s="1" t="str">
        <f>IF('State of the System - Sumter Co'!M218="UNDIVIDED","U",IF('State of the System - Sumter Co'!M218="DIVIDED","D","F"))</f>
        <v>U</v>
      </c>
      <c r="P218" s="1" t="str">
        <f>'State of the System - Sumter Co'!N218</f>
        <v>UNINTERRUPTED</v>
      </c>
      <c r="Q218" s="1" t="str">
        <f t="shared" si="300"/>
        <v>y</v>
      </c>
      <c r="R218" s="1" t="str">
        <f>'State of the System - Sumter Co'!O218</f>
        <v>DEVELOPED</v>
      </c>
      <c r="S218" s="1" t="str">
        <f t="shared" si="298"/>
        <v/>
      </c>
      <c r="T218" s="1" t="str">
        <f t="shared" si="301"/>
        <v>R-2Uy</v>
      </c>
      <c r="U218" s="1" t="str">
        <f t="shared" si="352"/>
        <v>R-2Uy</v>
      </c>
      <c r="V218" s="1" t="s">
        <v>10</v>
      </c>
      <c r="W218" s="1" t="s">
        <v>11</v>
      </c>
      <c r="X218" s="1" t="s">
        <v>21</v>
      </c>
      <c r="Y218" s="1" t="str">
        <f>'State of the System - Sumter Co'!R218</f>
        <v>C</v>
      </c>
      <c r="Z218" s="157" t="str">
        <f t="shared" si="302"/>
        <v>Other CMP Network Roadways</v>
      </c>
      <c r="AA218" s="15">
        <f>VLOOKUP($T218,'2020_CapacityTable'!$B$49:$F$71,2)</f>
        <v>10300</v>
      </c>
      <c r="AB218" s="15">
        <f>VLOOKUP($T218,'2020_CapacityTable'!$B$49:$F$71,3)</f>
        <v>15700</v>
      </c>
      <c r="AC218" s="15">
        <f>VLOOKUP($T218,'2020_CapacityTable'!$B$49:$F$71,4)</f>
        <v>21300</v>
      </c>
      <c r="AD218" s="15">
        <f>VLOOKUP($T218,'2020_CapacityTable'!$B$49:$F$71,5)</f>
        <v>28500</v>
      </c>
      <c r="AE218" s="35"/>
      <c r="AF218" s="36" t="str">
        <f t="shared" si="303"/>
        <v/>
      </c>
      <c r="AG218" s="35" t="str">
        <f t="shared" ref="AG218:AG225" si="362">IF(AND($L218=2,$P218="interrupted",$O218="U"),"LOOK","")</f>
        <v/>
      </c>
      <c r="AH218" s="35" t="str">
        <f>IF(O218="U",IF(L218&gt;2,"LOOK",""),"")</f>
        <v/>
      </c>
      <c r="AI218" s="35"/>
      <c r="AJ218" s="36"/>
      <c r="AK218" s="15">
        <f t="shared" si="304"/>
        <v>10300</v>
      </c>
      <c r="AL218" s="15">
        <f t="shared" si="305"/>
        <v>15700</v>
      </c>
      <c r="AM218" s="15">
        <f t="shared" si="306"/>
        <v>21300</v>
      </c>
      <c r="AN218" s="15">
        <f t="shared" si="307"/>
        <v>28500</v>
      </c>
      <c r="AO218" s="3">
        <f t="shared" si="343"/>
        <v>15700</v>
      </c>
      <c r="AP218" s="138">
        <f>VLOOKUP($B218,'2022 counts'!$B$6:$R$304,17,FALSE)</f>
        <v>1053</v>
      </c>
      <c r="AQ218" s="11">
        <f t="shared" si="308"/>
        <v>7.0000000000000007E-2</v>
      </c>
      <c r="AR218" s="2" t="str">
        <f t="shared" si="309"/>
        <v>B</v>
      </c>
      <c r="AS218" s="26">
        <f t="shared" si="310"/>
        <v>0.61</v>
      </c>
      <c r="AT218" s="15">
        <f>VLOOKUP($T218,'2020_CapacityTable'!$B$23:$F$45,2)</f>
        <v>540</v>
      </c>
      <c r="AU218" s="15">
        <f>VLOOKUP($T218,'2020_CapacityTable'!$B$23:$F$45,3)</f>
        <v>820</v>
      </c>
      <c r="AV218" s="15">
        <f>VLOOKUP($T218,'2020_CapacityTable'!$B$23:$F$45,4)</f>
        <v>1110</v>
      </c>
      <c r="AW218" s="15">
        <f>VLOOKUP($T218,'2020_CapacityTable'!$B$23:$F$45,5)</f>
        <v>1490</v>
      </c>
      <c r="AX218" s="15">
        <f t="shared" si="311"/>
        <v>540</v>
      </c>
      <c r="AY218" s="15">
        <f t="shared" si="312"/>
        <v>820</v>
      </c>
      <c r="AZ218" s="15">
        <f t="shared" si="313"/>
        <v>1110</v>
      </c>
      <c r="BA218" s="15">
        <f t="shared" si="314"/>
        <v>1490</v>
      </c>
      <c r="BB218" s="3">
        <f t="shared" si="344"/>
        <v>820</v>
      </c>
      <c r="BC218" s="138">
        <f>VLOOKUP($B218,'2022 counts'!$B$6:$AD$304,28,FALSE)</f>
        <v>42</v>
      </c>
      <c r="BD218" s="138">
        <f>VLOOKUP($B218,'2022 counts'!$B$6:$AD$304,29,FALSE)</f>
        <v>61</v>
      </c>
      <c r="BE218" s="11">
        <f t="shared" si="315"/>
        <v>7.0000000000000007E-2</v>
      </c>
      <c r="BF218" s="2" t="str">
        <f t="shared" si="316"/>
        <v>B</v>
      </c>
      <c r="BG218" s="135">
        <v>0</v>
      </c>
      <c r="BH218" s="135">
        <f>IF($AQ218="","",VLOOKUP($B218, '2022 counts'!$B$6:$T$304,19,FALSE))</f>
        <v>0</v>
      </c>
      <c r="BI218" s="38">
        <f t="shared" si="317"/>
        <v>0.01</v>
      </c>
      <c r="BJ218" s="39" t="str">
        <f t="shared" si="318"/>
        <v>minimum</v>
      </c>
      <c r="BK218" s="15">
        <f>VLOOKUP($U218,'2020_CapacityTable'!$B$49:$F$71,2)</f>
        <v>10300</v>
      </c>
      <c r="BL218" s="15">
        <f>VLOOKUP($U218,'2020_CapacityTable'!$B$49:$F$71,3)</f>
        <v>15700</v>
      </c>
      <c r="BM218" s="15">
        <f>VLOOKUP($T218,'2020_CapacityTable'!$B$49:$F$71,4)</f>
        <v>21300</v>
      </c>
      <c r="BN218" s="15">
        <f>VLOOKUP($T218,'2020_CapacityTable'!$B$49:$F$71,5)</f>
        <v>28500</v>
      </c>
      <c r="BO218" s="15">
        <f t="shared" si="353"/>
        <v>10300</v>
      </c>
      <c r="BP218" s="15">
        <f t="shared" si="349"/>
        <v>15700</v>
      </c>
      <c r="BQ218" s="15">
        <f t="shared" si="350"/>
        <v>21300</v>
      </c>
      <c r="BR218" s="15">
        <f t="shared" si="351"/>
        <v>28500</v>
      </c>
      <c r="BS218" s="3">
        <f t="shared" si="345"/>
        <v>15700</v>
      </c>
      <c r="BT218" s="40">
        <f>'State of the System - Sumter Co'!AD218</f>
        <v>1107</v>
      </c>
      <c r="BU218" s="41">
        <f t="shared" si="354"/>
        <v>7.0000000000000007E-2</v>
      </c>
      <c r="BV218" s="2" t="str">
        <f t="shared" si="355"/>
        <v>B</v>
      </c>
      <c r="BW218" s="2">
        <f t="shared" si="325"/>
        <v>0.65</v>
      </c>
      <c r="BX218" s="15">
        <f>VLOOKUP($U218,'2020_CapacityTable'!$B$23:$F$45,2)</f>
        <v>540</v>
      </c>
      <c r="BY218" s="15">
        <f>VLOOKUP($U218,'2020_CapacityTable'!$B$23:$F$45,3)</f>
        <v>820</v>
      </c>
      <c r="BZ218" s="15">
        <f>VLOOKUP($U218,'2020_CapacityTable'!$B$23:$F$45,4)</f>
        <v>1110</v>
      </c>
      <c r="CA218" s="15">
        <f>VLOOKUP($U218,'2020_CapacityTable'!$B$23:$F$45,5)</f>
        <v>1490</v>
      </c>
      <c r="CB218" s="15">
        <f t="shared" si="356"/>
        <v>540</v>
      </c>
      <c r="CC218" s="15">
        <f t="shared" si="357"/>
        <v>820</v>
      </c>
      <c r="CD218" s="15">
        <f t="shared" si="358"/>
        <v>1110</v>
      </c>
      <c r="CE218" s="15">
        <f t="shared" si="359"/>
        <v>1490</v>
      </c>
      <c r="CF218" s="3">
        <f t="shared" si="360"/>
        <v>820</v>
      </c>
      <c r="CG218" s="2">
        <f>'State of the System - Sumter Co'!AH218</f>
        <v>44</v>
      </c>
      <c r="CH218" s="2">
        <f>'State of the System - Sumter Co'!AI218</f>
        <v>64</v>
      </c>
      <c r="CI218" s="11">
        <f t="shared" si="330"/>
        <v>0.08</v>
      </c>
      <c r="CJ218" s="2" t="str">
        <f t="shared" si="361"/>
        <v>B</v>
      </c>
      <c r="CK218" s="3">
        <f t="shared" si="331"/>
        <v>30780</v>
      </c>
      <c r="CL218" s="11">
        <f t="shared" si="332"/>
        <v>0.04</v>
      </c>
      <c r="CM218" s="11" t="str">
        <f t="shared" si="333"/>
        <v>NOT CONGESTED</v>
      </c>
      <c r="CN218" s="3">
        <f t="shared" si="334"/>
        <v>1609</v>
      </c>
      <c r="CO218" s="11">
        <f t="shared" si="335"/>
        <v>0.04</v>
      </c>
      <c r="CP218" s="156" t="str">
        <f t="shared" si="336"/>
        <v>NOT CONGESTED</v>
      </c>
      <c r="CQ218" s="2"/>
      <c r="CR218" s="42"/>
      <c r="CS218" s="11" t="str">
        <f t="shared" si="337"/>
        <v/>
      </c>
      <c r="CT218" s="11" t="str">
        <f t="shared" si="346"/>
        <v/>
      </c>
      <c r="CU218" s="11" t="str">
        <f t="shared" si="338"/>
        <v/>
      </c>
      <c r="CV218" s="11" t="str">
        <f t="shared" si="339"/>
        <v/>
      </c>
      <c r="CW218" s="3"/>
      <c r="CX218" s="1"/>
      <c r="CY218" s="145" t="str">
        <f t="shared" si="340"/>
        <v/>
      </c>
      <c r="CZ218" s="32" t="str">
        <f t="shared" si="341"/>
        <v/>
      </c>
    </row>
    <row r="219" spans="1:104" s="9" customFormat="1" ht="12.75" customHeight="1">
      <c r="A219" s="1">
        <v>35331101</v>
      </c>
      <c r="B219" s="1">
        <f t="shared" si="342"/>
        <v>29</v>
      </c>
      <c r="C219" s="1">
        <v>41</v>
      </c>
      <c r="D219" s="1">
        <f>VLOOKUP(C219,'2022 counts'!$A$6:$B$304,2,FALSE)</f>
        <v>29</v>
      </c>
      <c r="E219" s="1"/>
      <c r="F219" s="2" t="s">
        <v>6</v>
      </c>
      <c r="G219" s="156">
        <v>45</v>
      </c>
      <c r="H219" s="11">
        <v>0.751961498492</v>
      </c>
      <c r="I219" s="10" t="s">
        <v>727</v>
      </c>
      <c r="J219" s="10" t="s">
        <v>755</v>
      </c>
      <c r="K219" s="10" t="s">
        <v>759</v>
      </c>
      <c r="L219" s="157">
        <v>4</v>
      </c>
      <c r="M219" s="1">
        <f>'State of the System - Sumter Co'!K219</f>
        <v>4</v>
      </c>
      <c r="N219" s="1" t="str">
        <f>IF('State of the System - Sumter Co'!L219="URBAN","U","R")</f>
        <v>U</v>
      </c>
      <c r="O219" s="1" t="str">
        <f>IF('State of the System - Sumter Co'!M219="UNDIVIDED","U",IF('State of the System - Sumter Co'!M219="DIVIDED","D","F"))</f>
        <v>D</v>
      </c>
      <c r="P219" s="1" t="str">
        <f>'State of the System - Sumter Co'!N219</f>
        <v>INTERRUPTED</v>
      </c>
      <c r="Q219" s="1" t="str">
        <f t="shared" si="300"/>
        <v/>
      </c>
      <c r="R219" s="1" t="str">
        <f>'State of the System - Sumter Co'!O219</f>
        <v/>
      </c>
      <c r="S219" s="1" t="str">
        <f t="shared" ref="S219:S251" si="363">IF($N219="r","",IF($P219="interrupted",IF($G219&lt;37.5,"-2","-1"),"-x"))</f>
        <v>-1</v>
      </c>
      <c r="T219" s="1" t="str">
        <f t="shared" si="301"/>
        <v>U-4D-1</v>
      </c>
      <c r="U219" s="1" t="str">
        <f t="shared" si="352"/>
        <v>U-4D-1</v>
      </c>
      <c r="V219" s="1" t="s">
        <v>10</v>
      </c>
      <c r="W219" s="1" t="s">
        <v>25</v>
      </c>
      <c r="X219" s="1" t="s">
        <v>21</v>
      </c>
      <c r="Y219" s="1" t="str">
        <f>'State of the System - Sumter Co'!R219</f>
        <v>D</v>
      </c>
      <c r="Z219" s="157" t="str">
        <f t="shared" si="302"/>
        <v>Other CMP Network Roadways</v>
      </c>
      <c r="AA219" s="15">
        <f>VLOOKUP($T219,'2020_CapacityTable'!$B$49:$F$71,2)</f>
        <v>0</v>
      </c>
      <c r="AB219" s="15">
        <f>VLOOKUP($T219,'2020_CapacityTable'!$B$49:$F$71,3)</f>
        <v>37900</v>
      </c>
      <c r="AC219" s="15">
        <f>VLOOKUP($T219,'2020_CapacityTable'!$B$49:$F$71,4)</f>
        <v>39800</v>
      </c>
      <c r="AD219" s="15">
        <f>VLOOKUP($T219,'2020_CapacityTable'!$B$49:$F$71,5)</f>
        <v>39800</v>
      </c>
      <c r="AE219" s="35">
        <f t="shared" ref="AE219:AE224" si="364">IF(V219&lt;&gt;"STATE",-10%,"")</f>
        <v>-0.1</v>
      </c>
      <c r="AF219" s="36" t="str">
        <f t="shared" si="303"/>
        <v/>
      </c>
      <c r="AG219" s="35" t="str">
        <f t="shared" si="362"/>
        <v/>
      </c>
      <c r="AH219" s="35" t="str">
        <f>IF(O219="U",IF(#REF!&gt;2,"LOOK",""),"")</f>
        <v/>
      </c>
      <c r="AI219" s="35"/>
      <c r="AJ219" s="36">
        <v>0.05</v>
      </c>
      <c r="AK219" s="15">
        <f t="shared" si="304"/>
        <v>0</v>
      </c>
      <c r="AL219" s="15">
        <f t="shared" si="305"/>
        <v>36005</v>
      </c>
      <c r="AM219" s="15">
        <f t="shared" si="306"/>
        <v>37810</v>
      </c>
      <c r="AN219" s="15">
        <f t="shared" si="307"/>
        <v>37810</v>
      </c>
      <c r="AO219" s="3">
        <f t="shared" si="343"/>
        <v>37810</v>
      </c>
      <c r="AP219" s="138">
        <f>VLOOKUP($B219,'2022 counts'!$B$6:$R$304,17,FALSE)</f>
        <v>26935</v>
      </c>
      <c r="AQ219" s="11">
        <f t="shared" si="308"/>
        <v>0.71</v>
      </c>
      <c r="AR219" s="2" t="str">
        <f t="shared" si="309"/>
        <v>C</v>
      </c>
      <c r="AS219" s="26">
        <f t="shared" si="310"/>
        <v>7.39</v>
      </c>
      <c r="AT219" s="15">
        <f>VLOOKUP($T219,'2020_CapacityTable'!$B$23:$F$45,2)</f>
        <v>0</v>
      </c>
      <c r="AU219" s="15">
        <f>VLOOKUP($T219,'2020_CapacityTable'!$B$23:$F$45,3)</f>
        <v>1910</v>
      </c>
      <c r="AV219" s="15">
        <f>VLOOKUP($T219,'2020_CapacityTable'!$B$23:$F$45,4)</f>
        <v>2000</v>
      </c>
      <c r="AW219" s="15">
        <f>VLOOKUP($T219,'2020_CapacityTable'!$B$23:$F$45,5)</f>
        <v>2000</v>
      </c>
      <c r="AX219" s="15">
        <f t="shared" si="311"/>
        <v>0</v>
      </c>
      <c r="AY219" s="15">
        <f t="shared" si="312"/>
        <v>1815</v>
      </c>
      <c r="AZ219" s="15">
        <f t="shared" si="313"/>
        <v>1900</v>
      </c>
      <c r="BA219" s="15">
        <f t="shared" si="314"/>
        <v>1900</v>
      </c>
      <c r="BB219" s="3">
        <f t="shared" si="344"/>
        <v>1900</v>
      </c>
      <c r="BC219" s="138">
        <f>VLOOKUP($B219,'2022 counts'!$B$6:$AD$304,28,FALSE)</f>
        <v>1095</v>
      </c>
      <c r="BD219" s="138">
        <f>VLOOKUP($B219,'2022 counts'!$B$6:$AD$304,29,FALSE)</f>
        <v>1277</v>
      </c>
      <c r="BE219" s="11">
        <f t="shared" si="315"/>
        <v>0.67</v>
      </c>
      <c r="BF219" s="2" t="str">
        <f t="shared" si="316"/>
        <v>C</v>
      </c>
      <c r="BG219" s="135">
        <v>4.4999999999999998E-2</v>
      </c>
      <c r="BH219" s="135">
        <f>IF($AQ219="","",VLOOKUP($B219, '2022 counts'!$B$6:$T$304,19,FALSE))</f>
        <v>4.4999999999999998E-2</v>
      </c>
      <c r="BI219" s="38">
        <f t="shared" si="317"/>
        <v>4.4999999999999998E-2</v>
      </c>
      <c r="BJ219" s="39" t="str">
        <f t="shared" si="318"/>
        <v/>
      </c>
      <c r="BK219" s="15">
        <f>VLOOKUP($U219,'2020_CapacityTable'!$B$49:$F$71,2)</f>
        <v>0</v>
      </c>
      <c r="BL219" s="15">
        <f>VLOOKUP($U219,'2020_CapacityTable'!$B$49:$F$71,3)</f>
        <v>37900</v>
      </c>
      <c r="BM219" s="15">
        <f>VLOOKUP($T219,'2020_CapacityTable'!$B$49:$F$71,4)</f>
        <v>39800</v>
      </c>
      <c r="BN219" s="15">
        <f>VLOOKUP($T219,'2020_CapacityTable'!$B$49:$F$71,5)</f>
        <v>39800</v>
      </c>
      <c r="BO219" s="15">
        <f t="shared" si="353"/>
        <v>0</v>
      </c>
      <c r="BP219" s="15">
        <f t="shared" si="349"/>
        <v>36005</v>
      </c>
      <c r="BQ219" s="15">
        <f t="shared" si="350"/>
        <v>37810</v>
      </c>
      <c r="BR219" s="15">
        <f t="shared" si="351"/>
        <v>37810</v>
      </c>
      <c r="BS219" s="3">
        <f t="shared" si="345"/>
        <v>37810</v>
      </c>
      <c r="BT219" s="40">
        <f>'State of the System - Sumter Co'!AD219</f>
        <v>33566</v>
      </c>
      <c r="BU219" s="41">
        <f t="shared" si="354"/>
        <v>0.89</v>
      </c>
      <c r="BV219" s="2" t="str">
        <f t="shared" si="355"/>
        <v>C</v>
      </c>
      <c r="BW219" s="2">
        <f t="shared" si="325"/>
        <v>9.2100000000000009</v>
      </c>
      <c r="BX219" s="15">
        <f>VLOOKUP($U219,'2020_CapacityTable'!$B$23:$F$45,2)</f>
        <v>0</v>
      </c>
      <c r="BY219" s="15">
        <f>VLOOKUP($U219,'2020_CapacityTable'!$B$23:$F$45,3)</f>
        <v>1910</v>
      </c>
      <c r="BZ219" s="15">
        <f>VLOOKUP($U219,'2020_CapacityTable'!$B$23:$F$45,4)</f>
        <v>2000</v>
      </c>
      <c r="CA219" s="15">
        <f>VLOOKUP($U219,'2020_CapacityTable'!$B$23:$F$45,5)</f>
        <v>2000</v>
      </c>
      <c r="CB219" s="15">
        <f t="shared" si="356"/>
        <v>0</v>
      </c>
      <c r="CC219" s="15">
        <f t="shared" si="357"/>
        <v>1815</v>
      </c>
      <c r="CD219" s="15">
        <f t="shared" si="358"/>
        <v>1900</v>
      </c>
      <c r="CE219" s="15">
        <f t="shared" si="359"/>
        <v>1900</v>
      </c>
      <c r="CF219" s="3">
        <f t="shared" si="360"/>
        <v>1900</v>
      </c>
      <c r="CG219" s="2">
        <f>'State of the System - Sumter Co'!AH219</f>
        <v>1365</v>
      </c>
      <c r="CH219" s="2">
        <f>'State of the System - Sumter Co'!AI219</f>
        <v>1591</v>
      </c>
      <c r="CI219" s="11">
        <f t="shared" si="330"/>
        <v>0.84</v>
      </c>
      <c r="CJ219" s="2" t="str">
        <f t="shared" si="361"/>
        <v>C</v>
      </c>
      <c r="CK219" s="3">
        <f t="shared" si="331"/>
        <v>40835</v>
      </c>
      <c r="CL219" s="11">
        <f t="shared" si="332"/>
        <v>0.82</v>
      </c>
      <c r="CM219" s="11" t="str">
        <f t="shared" si="333"/>
        <v>NOT CONGESTED</v>
      </c>
      <c r="CN219" s="3">
        <f t="shared" si="334"/>
        <v>2052</v>
      </c>
      <c r="CO219" s="11">
        <f t="shared" si="335"/>
        <v>0.78</v>
      </c>
      <c r="CP219" s="156" t="str">
        <f t="shared" si="336"/>
        <v>NOT CONGESTED</v>
      </c>
      <c r="CQ219" s="3"/>
      <c r="CR219" s="3"/>
      <c r="CS219" s="11" t="str">
        <f t="shared" si="337"/>
        <v/>
      </c>
      <c r="CT219" s="11" t="str">
        <f t="shared" si="346"/>
        <v/>
      </c>
      <c r="CU219" s="11" t="str">
        <f t="shared" si="338"/>
        <v/>
      </c>
      <c r="CV219" s="11" t="str">
        <f t="shared" si="339"/>
        <v/>
      </c>
      <c r="CW219" s="3" t="s">
        <v>586</v>
      </c>
      <c r="CX219" s="1"/>
      <c r="CY219" s="145" t="str">
        <f t="shared" si="340"/>
        <v/>
      </c>
      <c r="CZ219" s="32" t="str">
        <f t="shared" si="341"/>
        <v/>
      </c>
    </row>
    <row r="220" spans="1:104" s="9" customFormat="1" ht="12.75" customHeight="1">
      <c r="A220" s="1">
        <v>35331102</v>
      </c>
      <c r="B220" s="1">
        <f t="shared" si="342"/>
        <v>30</v>
      </c>
      <c r="C220" s="1">
        <v>43</v>
      </c>
      <c r="D220" s="1">
        <f>VLOOKUP(C220,'2022 counts'!$A$6:$B$304,2,FALSE)</f>
        <v>30</v>
      </c>
      <c r="E220" s="1"/>
      <c r="F220" s="2" t="s">
        <v>6</v>
      </c>
      <c r="G220" s="156">
        <v>45</v>
      </c>
      <c r="H220" s="11">
        <v>0.67632798155399998</v>
      </c>
      <c r="I220" s="10" t="s">
        <v>727</v>
      </c>
      <c r="J220" s="10" t="s">
        <v>756</v>
      </c>
      <c r="K220" s="10" t="s">
        <v>18</v>
      </c>
      <c r="L220" s="157">
        <v>4</v>
      </c>
      <c r="M220" s="1">
        <f>'State of the System - Sumter Co'!K220</f>
        <v>4</v>
      </c>
      <c r="N220" s="1" t="str">
        <f>IF('State of the System - Sumter Co'!L220="URBAN","U","R")</f>
        <v>U</v>
      </c>
      <c r="O220" s="1" t="str">
        <f>IF('State of the System - Sumter Co'!M220="UNDIVIDED","U",IF('State of the System - Sumter Co'!M220="DIVIDED","D","F"))</f>
        <v>D</v>
      </c>
      <c r="P220" s="1" t="str">
        <f>'State of the System - Sumter Co'!N220</f>
        <v>INTERRUPTED</v>
      </c>
      <c r="Q220" s="1" t="str">
        <f t="shared" si="300"/>
        <v/>
      </c>
      <c r="R220" s="1" t="str">
        <f>'State of the System - Sumter Co'!O220</f>
        <v/>
      </c>
      <c r="S220" s="1" t="str">
        <f t="shared" si="363"/>
        <v>-1</v>
      </c>
      <c r="T220" s="1" t="str">
        <f t="shared" si="301"/>
        <v>U-4D-1</v>
      </c>
      <c r="U220" s="1" t="str">
        <f t="shared" si="352"/>
        <v>U-4D-1</v>
      </c>
      <c r="V220" s="1" t="s">
        <v>10</v>
      </c>
      <c r="W220" s="1" t="s">
        <v>25</v>
      </c>
      <c r="X220" s="1" t="s">
        <v>21</v>
      </c>
      <c r="Y220" s="1" t="str">
        <f>'State of the System - Sumter Co'!R220</f>
        <v>D</v>
      </c>
      <c r="Z220" s="157" t="str">
        <f t="shared" si="302"/>
        <v>Other CMP Network Roadways</v>
      </c>
      <c r="AA220" s="15">
        <f>VLOOKUP($T220,'2020_CapacityTable'!$B$49:$F$71,2)</f>
        <v>0</v>
      </c>
      <c r="AB220" s="15">
        <f>VLOOKUP($T220,'2020_CapacityTable'!$B$49:$F$71,3)</f>
        <v>37900</v>
      </c>
      <c r="AC220" s="15">
        <f>VLOOKUP($T220,'2020_CapacityTable'!$B$49:$F$71,4)</f>
        <v>39800</v>
      </c>
      <c r="AD220" s="15">
        <f>VLOOKUP($T220,'2020_CapacityTable'!$B$49:$F$71,5)</f>
        <v>39800</v>
      </c>
      <c r="AE220" s="35">
        <f t="shared" si="364"/>
        <v>-0.1</v>
      </c>
      <c r="AF220" s="36" t="str">
        <f t="shared" si="303"/>
        <v/>
      </c>
      <c r="AG220" s="35" t="str">
        <f t="shared" si="362"/>
        <v/>
      </c>
      <c r="AH220" s="35" t="str">
        <f>IF(O220="U",IF(#REF!&gt;2,"LOOK",""),"")</f>
        <v/>
      </c>
      <c r="AI220" s="35"/>
      <c r="AJ220" s="36">
        <v>0.05</v>
      </c>
      <c r="AK220" s="15">
        <f t="shared" si="304"/>
        <v>0</v>
      </c>
      <c r="AL220" s="15">
        <f t="shared" si="305"/>
        <v>36005</v>
      </c>
      <c r="AM220" s="15">
        <f t="shared" si="306"/>
        <v>37810</v>
      </c>
      <c r="AN220" s="15">
        <f t="shared" si="307"/>
        <v>37810</v>
      </c>
      <c r="AO220" s="3">
        <f t="shared" si="343"/>
        <v>37810</v>
      </c>
      <c r="AP220" s="138">
        <f>VLOOKUP($B220,'2022 counts'!$B$6:$R$304,17,FALSE)</f>
        <v>28605</v>
      </c>
      <c r="AQ220" s="11">
        <f t="shared" si="308"/>
        <v>0.76</v>
      </c>
      <c r="AR220" s="2" t="str">
        <f t="shared" si="309"/>
        <v>C</v>
      </c>
      <c r="AS220" s="26">
        <f t="shared" si="310"/>
        <v>7.06</v>
      </c>
      <c r="AT220" s="15">
        <f>VLOOKUP($T220,'2020_CapacityTable'!$B$23:$F$45,2)</f>
        <v>0</v>
      </c>
      <c r="AU220" s="15">
        <f>VLOOKUP($T220,'2020_CapacityTable'!$B$23:$F$45,3)</f>
        <v>1910</v>
      </c>
      <c r="AV220" s="15">
        <f>VLOOKUP($T220,'2020_CapacityTable'!$B$23:$F$45,4)</f>
        <v>2000</v>
      </c>
      <c r="AW220" s="15">
        <f>VLOOKUP($T220,'2020_CapacityTable'!$B$23:$F$45,5)</f>
        <v>2000</v>
      </c>
      <c r="AX220" s="15">
        <f t="shared" si="311"/>
        <v>0</v>
      </c>
      <c r="AY220" s="15">
        <f t="shared" si="312"/>
        <v>1815</v>
      </c>
      <c r="AZ220" s="15">
        <f t="shared" si="313"/>
        <v>1900</v>
      </c>
      <c r="BA220" s="15">
        <f t="shared" si="314"/>
        <v>1900</v>
      </c>
      <c r="BB220" s="3">
        <f t="shared" si="344"/>
        <v>1900</v>
      </c>
      <c r="BC220" s="138">
        <f>VLOOKUP($B220,'2022 counts'!$B$6:$AD$304,28,FALSE)</f>
        <v>1270</v>
      </c>
      <c r="BD220" s="138">
        <f>VLOOKUP($B220,'2022 counts'!$B$6:$AD$304,29,FALSE)</f>
        <v>1305</v>
      </c>
      <c r="BE220" s="11">
        <f t="shared" si="315"/>
        <v>0.69</v>
      </c>
      <c r="BF220" s="2" t="str">
        <f t="shared" si="316"/>
        <v>C</v>
      </c>
      <c r="BG220" s="135">
        <v>3.7499999999999999E-2</v>
      </c>
      <c r="BH220" s="135">
        <f>IF($AQ220="","",VLOOKUP($B220, '2022 counts'!$B$6:$T$304,19,FALSE))</f>
        <v>3.7499999999999999E-2</v>
      </c>
      <c r="BI220" s="38">
        <f t="shared" si="317"/>
        <v>3.7499999999999999E-2</v>
      </c>
      <c r="BJ220" s="39" t="str">
        <f t="shared" si="318"/>
        <v/>
      </c>
      <c r="BK220" s="15">
        <f>VLOOKUP($U220,'2020_CapacityTable'!$B$49:$F$71,2)</f>
        <v>0</v>
      </c>
      <c r="BL220" s="15">
        <f>VLOOKUP($U220,'2020_CapacityTable'!$B$49:$F$71,3)</f>
        <v>37900</v>
      </c>
      <c r="BM220" s="15">
        <f>VLOOKUP($T220,'2020_CapacityTable'!$B$49:$F$71,4)</f>
        <v>39800</v>
      </c>
      <c r="BN220" s="15">
        <f>VLOOKUP($T220,'2020_CapacityTable'!$B$49:$F$71,5)</f>
        <v>39800</v>
      </c>
      <c r="BO220" s="15">
        <f t="shared" si="353"/>
        <v>0</v>
      </c>
      <c r="BP220" s="15">
        <f t="shared" si="349"/>
        <v>36005</v>
      </c>
      <c r="BQ220" s="15">
        <f t="shared" si="350"/>
        <v>37810</v>
      </c>
      <c r="BR220" s="15">
        <f t="shared" si="351"/>
        <v>37810</v>
      </c>
      <c r="BS220" s="3">
        <f t="shared" si="345"/>
        <v>37810</v>
      </c>
      <c r="BT220" s="40">
        <f>'State of the System - Sumter Co'!AD220</f>
        <v>34386</v>
      </c>
      <c r="BU220" s="41">
        <f t="shared" si="354"/>
        <v>0.91</v>
      </c>
      <c r="BV220" s="2" t="str">
        <f t="shared" si="355"/>
        <v>C</v>
      </c>
      <c r="BW220" s="2">
        <f t="shared" si="325"/>
        <v>8.49</v>
      </c>
      <c r="BX220" s="15">
        <f>VLOOKUP($U220,'2020_CapacityTable'!$B$23:$F$45,2)</f>
        <v>0</v>
      </c>
      <c r="BY220" s="15">
        <f>VLOOKUP($U220,'2020_CapacityTable'!$B$23:$F$45,3)</f>
        <v>1910</v>
      </c>
      <c r="BZ220" s="15">
        <f>VLOOKUP($U220,'2020_CapacityTable'!$B$23:$F$45,4)</f>
        <v>2000</v>
      </c>
      <c r="CA220" s="15">
        <f>VLOOKUP($U220,'2020_CapacityTable'!$B$23:$F$45,5)</f>
        <v>2000</v>
      </c>
      <c r="CB220" s="15">
        <f t="shared" si="356"/>
        <v>0</v>
      </c>
      <c r="CC220" s="15">
        <f t="shared" si="357"/>
        <v>1815</v>
      </c>
      <c r="CD220" s="15">
        <f t="shared" si="358"/>
        <v>1900</v>
      </c>
      <c r="CE220" s="15">
        <f t="shared" si="359"/>
        <v>1900</v>
      </c>
      <c r="CF220" s="3">
        <f t="shared" si="360"/>
        <v>1900</v>
      </c>
      <c r="CG220" s="2">
        <f>'State of the System - Sumter Co'!AH220</f>
        <v>1527</v>
      </c>
      <c r="CH220" s="2">
        <f>'State of the System - Sumter Co'!AI220</f>
        <v>1569</v>
      </c>
      <c r="CI220" s="11">
        <f t="shared" si="330"/>
        <v>0.83</v>
      </c>
      <c r="CJ220" s="2" t="str">
        <f t="shared" si="361"/>
        <v>C</v>
      </c>
      <c r="CK220" s="3">
        <f t="shared" si="331"/>
        <v>40835</v>
      </c>
      <c r="CL220" s="11">
        <f t="shared" si="332"/>
        <v>0.84</v>
      </c>
      <c r="CM220" s="11" t="str">
        <f t="shared" si="333"/>
        <v>APPROACHING CONGESTION</v>
      </c>
      <c r="CN220" s="3">
        <f t="shared" si="334"/>
        <v>2052</v>
      </c>
      <c r="CO220" s="11">
        <f t="shared" si="335"/>
        <v>0.76</v>
      </c>
      <c r="CP220" s="156" t="str">
        <f t="shared" si="336"/>
        <v>NOT CONGESTED</v>
      </c>
      <c r="CQ220" s="2"/>
      <c r="CR220" s="42"/>
      <c r="CS220" s="11" t="str">
        <f t="shared" si="337"/>
        <v/>
      </c>
      <c r="CT220" s="11" t="str">
        <f t="shared" si="346"/>
        <v/>
      </c>
      <c r="CU220" s="11" t="str">
        <f t="shared" si="338"/>
        <v/>
      </c>
      <c r="CV220" s="11" t="str">
        <f t="shared" si="339"/>
        <v/>
      </c>
      <c r="CW220" s="3"/>
      <c r="CX220" s="1"/>
      <c r="CY220" s="145" t="str">
        <f t="shared" si="340"/>
        <v/>
      </c>
      <c r="CZ220" s="32" t="str">
        <f t="shared" si="341"/>
        <v/>
      </c>
    </row>
    <row r="221" spans="1:104" s="9" customFormat="1" ht="12.75" customHeight="1">
      <c r="A221" s="1">
        <v>35331103</v>
      </c>
      <c r="B221" s="1">
        <f t="shared" si="342"/>
        <v>31</v>
      </c>
      <c r="C221" s="1">
        <v>46</v>
      </c>
      <c r="D221" s="1">
        <f>VLOOKUP(C221,'2022 counts'!$A$6:$B$304,2,FALSE)</f>
        <v>31</v>
      </c>
      <c r="E221" s="1"/>
      <c r="F221" s="2" t="s">
        <v>593</v>
      </c>
      <c r="G221" s="156">
        <v>45</v>
      </c>
      <c r="H221" s="11">
        <v>1.07022459231</v>
      </c>
      <c r="I221" s="10" t="s">
        <v>727</v>
      </c>
      <c r="J221" s="10" t="s">
        <v>18</v>
      </c>
      <c r="K221" s="10" t="s">
        <v>20</v>
      </c>
      <c r="L221" s="157">
        <v>4</v>
      </c>
      <c r="M221" s="1">
        <f>'State of the System - Sumter Co'!K221</f>
        <v>4</v>
      </c>
      <c r="N221" s="1" t="str">
        <f>IF('State of the System - Sumter Co'!L221="URBAN","U","R")</f>
        <v>U</v>
      </c>
      <c r="O221" s="1" t="str">
        <f>IF('State of the System - Sumter Co'!M221="UNDIVIDED","U",IF('State of the System - Sumter Co'!M221="DIVIDED","D","F"))</f>
        <v>D</v>
      </c>
      <c r="P221" s="1" t="str">
        <f>'State of the System - Sumter Co'!N221</f>
        <v>INTERRUPTED</v>
      </c>
      <c r="Q221" s="1" t="str">
        <f t="shared" si="300"/>
        <v/>
      </c>
      <c r="R221" s="1" t="str">
        <f>'State of the System - Sumter Co'!O221</f>
        <v/>
      </c>
      <c r="S221" s="1" t="str">
        <f t="shared" si="363"/>
        <v>-1</v>
      </c>
      <c r="T221" s="1" t="str">
        <f t="shared" si="301"/>
        <v>U-4D-1</v>
      </c>
      <c r="U221" s="1" t="str">
        <f t="shared" si="352"/>
        <v>U-4D-1</v>
      </c>
      <c r="V221" s="1" t="s">
        <v>10</v>
      </c>
      <c r="W221" s="1" t="s">
        <v>11</v>
      </c>
      <c r="X221" s="1" t="s">
        <v>21</v>
      </c>
      <c r="Y221" s="1" t="str">
        <f>'State of the System - Sumter Co'!R221</f>
        <v>D</v>
      </c>
      <c r="Z221" s="157" t="str">
        <f t="shared" si="302"/>
        <v>Other CMP Network Roadways</v>
      </c>
      <c r="AA221" s="15">
        <f>VLOOKUP($T221,'2020_CapacityTable'!$B$49:$F$71,2)</f>
        <v>0</v>
      </c>
      <c r="AB221" s="15">
        <f>VLOOKUP($T221,'2020_CapacityTable'!$B$49:$F$71,3)</f>
        <v>37900</v>
      </c>
      <c r="AC221" s="15">
        <f>VLOOKUP($T221,'2020_CapacityTable'!$B$49:$F$71,4)</f>
        <v>39800</v>
      </c>
      <c r="AD221" s="15">
        <f>VLOOKUP($T221,'2020_CapacityTable'!$B$49:$F$71,5)</f>
        <v>39800</v>
      </c>
      <c r="AE221" s="35">
        <f t="shared" si="364"/>
        <v>-0.1</v>
      </c>
      <c r="AF221" s="36" t="str">
        <f t="shared" si="303"/>
        <v/>
      </c>
      <c r="AG221" s="35" t="str">
        <f t="shared" si="362"/>
        <v/>
      </c>
      <c r="AH221" s="35" t="str">
        <f>IF(O221="U",IF(#REF!&gt;2,"LOOK",""),"")</f>
        <v/>
      </c>
      <c r="AI221" s="35"/>
      <c r="AJ221" s="36">
        <v>0.05</v>
      </c>
      <c r="AK221" s="15">
        <f t="shared" si="304"/>
        <v>0</v>
      </c>
      <c r="AL221" s="15">
        <f t="shared" si="305"/>
        <v>36005</v>
      </c>
      <c r="AM221" s="15">
        <f t="shared" si="306"/>
        <v>37810</v>
      </c>
      <c r="AN221" s="15">
        <f t="shared" si="307"/>
        <v>37810</v>
      </c>
      <c r="AO221" s="3">
        <f t="shared" si="343"/>
        <v>37810</v>
      </c>
      <c r="AP221" s="138">
        <f>VLOOKUP($B221,'2022 counts'!$B$6:$R$304,17,FALSE)</f>
        <v>19155</v>
      </c>
      <c r="AQ221" s="11">
        <f t="shared" si="308"/>
        <v>0.51</v>
      </c>
      <c r="AR221" s="2" t="str">
        <f t="shared" si="309"/>
        <v>C</v>
      </c>
      <c r="AS221" s="26">
        <f t="shared" si="310"/>
        <v>7.48</v>
      </c>
      <c r="AT221" s="15">
        <f>VLOOKUP($T221,'2020_CapacityTable'!$B$23:$F$45,2)</f>
        <v>0</v>
      </c>
      <c r="AU221" s="15">
        <f>VLOOKUP($T221,'2020_CapacityTable'!$B$23:$F$45,3)</f>
        <v>1910</v>
      </c>
      <c r="AV221" s="15">
        <f>VLOOKUP($T221,'2020_CapacityTable'!$B$23:$F$45,4)</f>
        <v>2000</v>
      </c>
      <c r="AW221" s="15">
        <f>VLOOKUP($T221,'2020_CapacityTable'!$B$23:$F$45,5)</f>
        <v>2000</v>
      </c>
      <c r="AX221" s="15">
        <f t="shared" si="311"/>
        <v>0</v>
      </c>
      <c r="AY221" s="15">
        <f t="shared" si="312"/>
        <v>1815</v>
      </c>
      <c r="AZ221" s="15">
        <f t="shared" si="313"/>
        <v>1900</v>
      </c>
      <c r="BA221" s="15">
        <f t="shared" si="314"/>
        <v>1900</v>
      </c>
      <c r="BB221" s="3">
        <f t="shared" si="344"/>
        <v>1900</v>
      </c>
      <c r="BC221" s="138">
        <f>VLOOKUP($B221,'2022 counts'!$B$6:$AD$304,28,FALSE)</f>
        <v>879</v>
      </c>
      <c r="BD221" s="138">
        <f>VLOOKUP($B221,'2022 counts'!$B$6:$AD$304,29,FALSE)</f>
        <v>858</v>
      </c>
      <c r="BE221" s="11">
        <f t="shared" si="315"/>
        <v>0.46</v>
      </c>
      <c r="BF221" s="2" t="str">
        <f t="shared" si="316"/>
        <v>C</v>
      </c>
      <c r="BG221" s="135">
        <v>5.0000000000000001E-3</v>
      </c>
      <c r="BH221" s="135">
        <f>IF($AQ221="","",VLOOKUP($B221, '2022 counts'!$B$6:$T$304,19,FALSE))</f>
        <v>5.0000000000000001E-3</v>
      </c>
      <c r="BI221" s="38">
        <f t="shared" si="317"/>
        <v>0.01</v>
      </c>
      <c r="BJ221" s="39" t="str">
        <f t="shared" si="318"/>
        <v>minimum</v>
      </c>
      <c r="BK221" s="15">
        <f>VLOOKUP($U221,'2020_CapacityTable'!$B$49:$F$71,2)</f>
        <v>0</v>
      </c>
      <c r="BL221" s="15">
        <f>VLOOKUP($U221,'2020_CapacityTable'!$B$49:$F$71,3)</f>
        <v>37900</v>
      </c>
      <c r="BM221" s="15">
        <f>VLOOKUP($T221,'2020_CapacityTable'!$B$49:$F$71,4)</f>
        <v>39800</v>
      </c>
      <c r="BN221" s="15">
        <f>VLOOKUP($T221,'2020_CapacityTable'!$B$49:$F$71,5)</f>
        <v>39800</v>
      </c>
      <c r="BO221" s="15">
        <f t="shared" si="353"/>
        <v>0</v>
      </c>
      <c r="BP221" s="15">
        <f t="shared" si="349"/>
        <v>36005</v>
      </c>
      <c r="BQ221" s="15">
        <f t="shared" si="350"/>
        <v>37810</v>
      </c>
      <c r="BR221" s="15">
        <f t="shared" si="351"/>
        <v>37810</v>
      </c>
      <c r="BS221" s="3">
        <f t="shared" si="345"/>
        <v>37810</v>
      </c>
      <c r="BT221" s="40">
        <f>'State of the System - Sumter Co'!AD221</f>
        <v>20132</v>
      </c>
      <c r="BU221" s="41">
        <f t="shared" si="354"/>
        <v>0.53</v>
      </c>
      <c r="BV221" s="2" t="str">
        <f t="shared" si="355"/>
        <v>C</v>
      </c>
      <c r="BW221" s="2">
        <f t="shared" si="325"/>
        <v>7.86</v>
      </c>
      <c r="BX221" s="15">
        <f>VLOOKUP($U221,'2020_CapacityTable'!$B$23:$F$45,2)</f>
        <v>0</v>
      </c>
      <c r="BY221" s="15">
        <f>VLOOKUP($U221,'2020_CapacityTable'!$B$23:$F$45,3)</f>
        <v>1910</v>
      </c>
      <c r="BZ221" s="15">
        <f>VLOOKUP($U221,'2020_CapacityTable'!$B$23:$F$45,4)</f>
        <v>2000</v>
      </c>
      <c r="CA221" s="15">
        <f>VLOOKUP($U221,'2020_CapacityTable'!$B$23:$F$45,5)</f>
        <v>2000</v>
      </c>
      <c r="CB221" s="15">
        <f t="shared" si="356"/>
        <v>0</v>
      </c>
      <c r="CC221" s="15">
        <f t="shared" si="357"/>
        <v>1815</v>
      </c>
      <c r="CD221" s="15">
        <f t="shared" si="358"/>
        <v>1900</v>
      </c>
      <c r="CE221" s="15">
        <f t="shared" si="359"/>
        <v>1900</v>
      </c>
      <c r="CF221" s="3">
        <f t="shared" si="360"/>
        <v>1900</v>
      </c>
      <c r="CG221" s="2">
        <f>'State of the System - Sumter Co'!AH221</f>
        <v>924</v>
      </c>
      <c r="CH221" s="2">
        <f>'State of the System - Sumter Co'!AI221</f>
        <v>902</v>
      </c>
      <c r="CI221" s="11">
        <f t="shared" si="330"/>
        <v>0.49</v>
      </c>
      <c r="CJ221" s="2" t="str">
        <f t="shared" si="361"/>
        <v>C</v>
      </c>
      <c r="CK221" s="3">
        <f t="shared" si="331"/>
        <v>40835</v>
      </c>
      <c r="CL221" s="11">
        <f t="shared" si="332"/>
        <v>0.49</v>
      </c>
      <c r="CM221" s="11" t="str">
        <f t="shared" si="333"/>
        <v>NOT CONGESTED</v>
      </c>
      <c r="CN221" s="3">
        <f t="shared" si="334"/>
        <v>2052</v>
      </c>
      <c r="CO221" s="11">
        <f t="shared" si="335"/>
        <v>0.45</v>
      </c>
      <c r="CP221" s="156" t="str">
        <f t="shared" si="336"/>
        <v>NOT CONGESTED</v>
      </c>
      <c r="CQ221" s="2"/>
      <c r="CR221" s="42"/>
      <c r="CS221" s="11" t="str">
        <f t="shared" si="337"/>
        <v/>
      </c>
      <c r="CT221" s="11" t="str">
        <f t="shared" si="346"/>
        <v/>
      </c>
      <c r="CU221" s="11" t="str">
        <f t="shared" si="338"/>
        <v/>
      </c>
      <c r="CV221" s="11" t="str">
        <f t="shared" si="339"/>
        <v/>
      </c>
      <c r="CW221" s="3"/>
      <c r="CX221" s="1"/>
      <c r="CY221" s="145" t="str">
        <f t="shared" si="340"/>
        <v/>
      </c>
      <c r="CZ221" s="32" t="str">
        <f t="shared" si="341"/>
        <v/>
      </c>
    </row>
    <row r="222" spans="1:104" s="9" customFormat="1">
      <c r="A222" s="1">
        <v>35331104</v>
      </c>
      <c r="B222" s="1">
        <f t="shared" si="342"/>
        <v>31</v>
      </c>
      <c r="C222" s="1">
        <v>46</v>
      </c>
      <c r="D222" s="1">
        <f>VLOOKUP(C222,'2022 counts'!$A$6:$B$304,2,FALSE)</f>
        <v>31</v>
      </c>
      <c r="E222" s="1"/>
      <c r="F222" s="2" t="s">
        <v>6</v>
      </c>
      <c r="G222" s="156">
        <v>45</v>
      </c>
      <c r="H222" s="11">
        <v>1.07022459231</v>
      </c>
      <c r="I222" s="10" t="s">
        <v>727</v>
      </c>
      <c r="J222" s="10" t="s">
        <v>20</v>
      </c>
      <c r="K222" s="10" t="s">
        <v>55</v>
      </c>
      <c r="L222" s="157">
        <v>4</v>
      </c>
      <c r="M222" s="1">
        <f>'State of the System - Sumter Co'!K222</f>
        <v>4</v>
      </c>
      <c r="N222" s="1" t="str">
        <f>IF('State of the System - Sumter Co'!L222="URBAN","U","R")</f>
        <v>U</v>
      </c>
      <c r="O222" s="1" t="str">
        <f>IF('State of the System - Sumter Co'!M222="UNDIVIDED","U",IF('State of the System - Sumter Co'!M222="DIVIDED","D","F"))</f>
        <v>D</v>
      </c>
      <c r="P222" s="1" t="str">
        <f>'State of the System - Sumter Co'!N222</f>
        <v>INTERRUPTED</v>
      </c>
      <c r="Q222" s="1" t="str">
        <f t="shared" si="300"/>
        <v/>
      </c>
      <c r="R222" s="1" t="str">
        <f>'State of the System - Sumter Co'!O222</f>
        <v/>
      </c>
      <c r="S222" s="1" t="str">
        <f t="shared" si="363"/>
        <v>-1</v>
      </c>
      <c r="T222" s="1" t="str">
        <f t="shared" si="301"/>
        <v>U-4D-1</v>
      </c>
      <c r="U222" s="1" t="str">
        <f t="shared" si="352"/>
        <v>U-4D-1</v>
      </c>
      <c r="V222" s="1" t="s">
        <v>10</v>
      </c>
      <c r="W222" s="1" t="s">
        <v>11</v>
      </c>
      <c r="X222" s="1" t="s">
        <v>21</v>
      </c>
      <c r="Y222" s="1" t="str">
        <f>'State of the System - Sumter Co'!R222</f>
        <v>D</v>
      </c>
      <c r="Z222" s="157" t="str">
        <f t="shared" si="302"/>
        <v>Other CMP Network Roadways</v>
      </c>
      <c r="AA222" s="15">
        <f>VLOOKUP($T222,'2020_CapacityTable'!$B$49:$F$71,2)</f>
        <v>0</v>
      </c>
      <c r="AB222" s="15">
        <f>VLOOKUP($T222,'2020_CapacityTable'!$B$49:$F$71,3)</f>
        <v>37900</v>
      </c>
      <c r="AC222" s="15">
        <f>VLOOKUP($T222,'2020_CapacityTable'!$B$49:$F$71,4)</f>
        <v>39800</v>
      </c>
      <c r="AD222" s="15">
        <f>VLOOKUP($T222,'2020_CapacityTable'!$B$49:$F$71,5)</f>
        <v>39800</v>
      </c>
      <c r="AE222" s="35">
        <f t="shared" si="364"/>
        <v>-0.1</v>
      </c>
      <c r="AF222" s="36" t="str">
        <f t="shared" si="303"/>
        <v/>
      </c>
      <c r="AG222" s="35" t="str">
        <f t="shared" si="362"/>
        <v/>
      </c>
      <c r="AH222" s="35" t="str">
        <f>IF(O222="U",IF(#REF!&gt;2,"LOOK",""),"")</f>
        <v/>
      </c>
      <c r="AI222" s="35"/>
      <c r="AJ222" s="36">
        <v>0.05</v>
      </c>
      <c r="AK222" s="15">
        <f t="shared" si="304"/>
        <v>0</v>
      </c>
      <c r="AL222" s="15">
        <f t="shared" si="305"/>
        <v>36005</v>
      </c>
      <c r="AM222" s="15">
        <f t="shared" si="306"/>
        <v>37810</v>
      </c>
      <c r="AN222" s="15">
        <f t="shared" si="307"/>
        <v>37810</v>
      </c>
      <c r="AO222" s="3">
        <f t="shared" si="343"/>
        <v>37810</v>
      </c>
      <c r="AP222" s="138">
        <f>VLOOKUP($B222,'2022 counts'!$B$6:$R$304,17,FALSE)</f>
        <v>19155</v>
      </c>
      <c r="AQ222" s="11">
        <f t="shared" si="308"/>
        <v>0.51</v>
      </c>
      <c r="AR222" s="2" t="str">
        <f t="shared" si="309"/>
        <v>C</v>
      </c>
      <c r="AS222" s="26">
        <f t="shared" si="310"/>
        <v>7.48</v>
      </c>
      <c r="AT222" s="15">
        <f>VLOOKUP($T222,'2020_CapacityTable'!$B$23:$F$45,2)</f>
        <v>0</v>
      </c>
      <c r="AU222" s="15">
        <f>VLOOKUP($T222,'2020_CapacityTable'!$B$23:$F$45,3)</f>
        <v>1910</v>
      </c>
      <c r="AV222" s="15">
        <f>VLOOKUP($T222,'2020_CapacityTable'!$B$23:$F$45,4)</f>
        <v>2000</v>
      </c>
      <c r="AW222" s="15">
        <f>VLOOKUP($T222,'2020_CapacityTable'!$B$23:$F$45,5)</f>
        <v>2000</v>
      </c>
      <c r="AX222" s="15">
        <f t="shared" si="311"/>
        <v>0</v>
      </c>
      <c r="AY222" s="15">
        <f t="shared" si="312"/>
        <v>1815</v>
      </c>
      <c r="AZ222" s="15">
        <f t="shared" si="313"/>
        <v>1900</v>
      </c>
      <c r="BA222" s="15">
        <f t="shared" si="314"/>
        <v>1900</v>
      </c>
      <c r="BB222" s="3">
        <f t="shared" si="344"/>
        <v>1900</v>
      </c>
      <c r="BC222" s="138">
        <f>VLOOKUP($B222,'2022 counts'!$B$6:$AD$304,28,FALSE)</f>
        <v>879</v>
      </c>
      <c r="BD222" s="138">
        <f>VLOOKUP($B222,'2022 counts'!$B$6:$AD$304,29,FALSE)</f>
        <v>858</v>
      </c>
      <c r="BE222" s="11">
        <f t="shared" si="315"/>
        <v>0.46</v>
      </c>
      <c r="BF222" s="2" t="str">
        <f t="shared" si="316"/>
        <v>C</v>
      </c>
      <c r="BG222" s="135">
        <v>5.0000000000000001E-3</v>
      </c>
      <c r="BH222" s="135">
        <f>IF($AQ222="","",VLOOKUP($B222, '2022 counts'!$B$6:$T$304,19,FALSE))</f>
        <v>5.0000000000000001E-3</v>
      </c>
      <c r="BI222" s="38">
        <f t="shared" si="317"/>
        <v>0.01</v>
      </c>
      <c r="BJ222" s="39" t="str">
        <f t="shared" si="318"/>
        <v>minimum</v>
      </c>
      <c r="BK222" s="15">
        <f>VLOOKUP($U222,'2020_CapacityTable'!$B$49:$F$71,2)</f>
        <v>0</v>
      </c>
      <c r="BL222" s="15">
        <f>VLOOKUP($U222,'2020_CapacityTable'!$B$49:$F$71,3)</f>
        <v>37900</v>
      </c>
      <c r="BM222" s="15">
        <f>VLOOKUP($T222,'2020_CapacityTable'!$B$49:$F$71,4)</f>
        <v>39800</v>
      </c>
      <c r="BN222" s="15">
        <f>VLOOKUP($T222,'2020_CapacityTable'!$B$49:$F$71,5)</f>
        <v>39800</v>
      </c>
      <c r="BO222" s="15">
        <f t="shared" si="353"/>
        <v>0</v>
      </c>
      <c r="BP222" s="15">
        <f t="shared" si="349"/>
        <v>36005</v>
      </c>
      <c r="BQ222" s="15">
        <f t="shared" si="350"/>
        <v>37810</v>
      </c>
      <c r="BR222" s="15">
        <f t="shared" si="351"/>
        <v>37810</v>
      </c>
      <c r="BS222" s="3">
        <f t="shared" si="345"/>
        <v>37810</v>
      </c>
      <c r="BT222" s="40">
        <f>'State of the System - Sumter Co'!AD222</f>
        <v>20132</v>
      </c>
      <c r="BU222" s="41">
        <f t="shared" si="354"/>
        <v>0.53</v>
      </c>
      <c r="BV222" s="2" t="str">
        <f t="shared" si="355"/>
        <v>C</v>
      </c>
      <c r="BW222" s="2">
        <f t="shared" si="325"/>
        <v>7.86</v>
      </c>
      <c r="BX222" s="15">
        <f>VLOOKUP($U222,'2020_CapacityTable'!$B$23:$F$45,2)</f>
        <v>0</v>
      </c>
      <c r="BY222" s="15">
        <f>VLOOKUP($U222,'2020_CapacityTable'!$B$23:$F$45,3)</f>
        <v>1910</v>
      </c>
      <c r="BZ222" s="15">
        <f>VLOOKUP($U222,'2020_CapacityTable'!$B$23:$F$45,4)</f>
        <v>2000</v>
      </c>
      <c r="CA222" s="15">
        <f>VLOOKUP($U222,'2020_CapacityTable'!$B$23:$F$45,5)</f>
        <v>2000</v>
      </c>
      <c r="CB222" s="15">
        <f t="shared" si="356"/>
        <v>0</v>
      </c>
      <c r="CC222" s="15">
        <f t="shared" si="357"/>
        <v>1815</v>
      </c>
      <c r="CD222" s="15">
        <f t="shared" si="358"/>
        <v>1900</v>
      </c>
      <c r="CE222" s="15">
        <f t="shared" si="359"/>
        <v>1900</v>
      </c>
      <c r="CF222" s="3">
        <f t="shared" si="360"/>
        <v>1900</v>
      </c>
      <c r="CG222" s="2">
        <f>'State of the System - Sumter Co'!AH222</f>
        <v>924</v>
      </c>
      <c r="CH222" s="2">
        <f>'State of the System - Sumter Co'!AI222</f>
        <v>902</v>
      </c>
      <c r="CI222" s="11">
        <f t="shared" si="330"/>
        <v>0.49</v>
      </c>
      <c r="CJ222" s="2" t="str">
        <f t="shared" si="361"/>
        <v>C</v>
      </c>
      <c r="CK222" s="3">
        <f t="shared" si="331"/>
        <v>40835</v>
      </c>
      <c r="CL222" s="11">
        <f t="shared" si="332"/>
        <v>0.49</v>
      </c>
      <c r="CM222" s="11" t="str">
        <f t="shared" si="333"/>
        <v>NOT CONGESTED</v>
      </c>
      <c r="CN222" s="3">
        <f t="shared" si="334"/>
        <v>2052</v>
      </c>
      <c r="CO222" s="11">
        <f t="shared" si="335"/>
        <v>0.45</v>
      </c>
      <c r="CP222" s="156" t="str">
        <f t="shared" si="336"/>
        <v>NOT CONGESTED</v>
      </c>
      <c r="CQ222" s="2"/>
      <c r="CR222" s="42"/>
      <c r="CS222" s="11" t="str">
        <f t="shared" si="337"/>
        <v/>
      </c>
      <c r="CT222" s="11" t="str">
        <f t="shared" si="346"/>
        <v/>
      </c>
      <c r="CU222" s="11" t="str">
        <f t="shared" si="338"/>
        <v/>
      </c>
      <c r="CV222" s="11" t="str">
        <f t="shared" si="339"/>
        <v/>
      </c>
      <c r="CW222" s="3"/>
      <c r="CX222" s="1"/>
      <c r="CY222" s="145" t="str">
        <f t="shared" si="340"/>
        <v/>
      </c>
      <c r="CZ222" s="32" t="str">
        <f t="shared" si="341"/>
        <v/>
      </c>
    </row>
    <row r="223" spans="1:104" s="9" customFormat="1" ht="12.75" customHeight="1">
      <c r="A223" s="1">
        <v>35331105</v>
      </c>
      <c r="B223" s="1">
        <f t="shared" si="342"/>
        <v>32</v>
      </c>
      <c r="C223" s="1">
        <v>49</v>
      </c>
      <c r="D223" s="1">
        <f>VLOOKUP(C223,'2022 counts'!$A$6:$B$304,2,FALSE)</f>
        <v>32</v>
      </c>
      <c r="E223" s="1">
        <v>187031</v>
      </c>
      <c r="F223" s="2" t="s">
        <v>6</v>
      </c>
      <c r="G223" s="156">
        <v>45</v>
      </c>
      <c r="H223" s="11">
        <v>0.60920067737500005</v>
      </c>
      <c r="I223" s="10" t="s">
        <v>727</v>
      </c>
      <c r="J223" s="10" t="s">
        <v>55</v>
      </c>
      <c r="K223" s="10" t="s">
        <v>56</v>
      </c>
      <c r="L223" s="157">
        <v>4</v>
      </c>
      <c r="M223" s="1">
        <f>'State of the System - Sumter Co'!K223</f>
        <v>4</v>
      </c>
      <c r="N223" s="1" t="str">
        <f>IF('State of the System - Sumter Co'!L223="URBAN","U","R")</f>
        <v>U</v>
      </c>
      <c r="O223" s="1" t="str">
        <f>IF('State of the System - Sumter Co'!M223="UNDIVIDED","U",IF('State of the System - Sumter Co'!M223="DIVIDED","D","F"))</f>
        <v>D</v>
      </c>
      <c r="P223" s="1" t="str">
        <f>'State of the System - Sumter Co'!N223</f>
        <v>INTERRUPTED</v>
      </c>
      <c r="Q223" s="1" t="str">
        <f t="shared" si="300"/>
        <v/>
      </c>
      <c r="R223" s="1" t="str">
        <f>'State of the System - Sumter Co'!O223</f>
        <v/>
      </c>
      <c r="S223" s="1" t="str">
        <f t="shared" si="363"/>
        <v>-1</v>
      </c>
      <c r="T223" s="1" t="str">
        <f t="shared" si="301"/>
        <v>U-4D-1</v>
      </c>
      <c r="U223" s="1" t="str">
        <f t="shared" si="352"/>
        <v>U-4D-1</v>
      </c>
      <c r="V223" s="1" t="s">
        <v>10</v>
      </c>
      <c r="W223" s="1" t="s">
        <v>11</v>
      </c>
      <c r="X223" s="1" t="s">
        <v>21</v>
      </c>
      <c r="Y223" s="1" t="str">
        <f>'State of the System - Sumter Co'!R223</f>
        <v>D</v>
      </c>
      <c r="Z223" s="157" t="str">
        <f t="shared" si="302"/>
        <v>Other CMP Network Roadways</v>
      </c>
      <c r="AA223" s="15">
        <f>VLOOKUP($T223,'2020_CapacityTable'!$B$49:$F$71,2)</f>
        <v>0</v>
      </c>
      <c r="AB223" s="15">
        <f>VLOOKUP($T223,'2020_CapacityTable'!$B$49:$F$71,3)</f>
        <v>37900</v>
      </c>
      <c r="AC223" s="15">
        <f>VLOOKUP($T223,'2020_CapacityTable'!$B$49:$F$71,4)</f>
        <v>39800</v>
      </c>
      <c r="AD223" s="15">
        <f>VLOOKUP($T223,'2020_CapacityTable'!$B$49:$F$71,5)</f>
        <v>39800</v>
      </c>
      <c r="AE223" s="35">
        <f t="shared" si="364"/>
        <v>-0.1</v>
      </c>
      <c r="AF223" s="36" t="str">
        <f t="shared" si="303"/>
        <v/>
      </c>
      <c r="AG223" s="35" t="str">
        <f t="shared" si="362"/>
        <v/>
      </c>
      <c r="AH223" s="35" t="str">
        <f>IF(O223="U",IF(#REF!&gt;2,"LOOK",""),"")</f>
        <v/>
      </c>
      <c r="AI223" s="35"/>
      <c r="AJ223" s="36">
        <v>0.05</v>
      </c>
      <c r="AK223" s="15">
        <f t="shared" si="304"/>
        <v>0</v>
      </c>
      <c r="AL223" s="15">
        <f t="shared" si="305"/>
        <v>36005</v>
      </c>
      <c r="AM223" s="15">
        <f t="shared" si="306"/>
        <v>37810</v>
      </c>
      <c r="AN223" s="15">
        <f t="shared" si="307"/>
        <v>37810</v>
      </c>
      <c r="AO223" s="3">
        <f t="shared" si="343"/>
        <v>37810</v>
      </c>
      <c r="AP223" s="138">
        <f>VLOOKUP($B223,'2022 counts'!$B$6:$R$304,17,FALSE)</f>
        <v>21232</v>
      </c>
      <c r="AQ223" s="11">
        <f t="shared" si="308"/>
        <v>0.56000000000000005</v>
      </c>
      <c r="AR223" s="2" t="str">
        <f t="shared" si="309"/>
        <v>C</v>
      </c>
      <c r="AS223" s="26">
        <f t="shared" si="310"/>
        <v>4.72</v>
      </c>
      <c r="AT223" s="15">
        <f>VLOOKUP($T223,'2020_CapacityTable'!$B$23:$F$45,2)</f>
        <v>0</v>
      </c>
      <c r="AU223" s="15">
        <f>VLOOKUP($T223,'2020_CapacityTable'!$B$23:$F$45,3)</f>
        <v>1910</v>
      </c>
      <c r="AV223" s="15">
        <f>VLOOKUP($T223,'2020_CapacityTable'!$B$23:$F$45,4)</f>
        <v>2000</v>
      </c>
      <c r="AW223" s="15">
        <f>VLOOKUP($T223,'2020_CapacityTable'!$B$23:$F$45,5)</f>
        <v>2000</v>
      </c>
      <c r="AX223" s="15">
        <f t="shared" si="311"/>
        <v>0</v>
      </c>
      <c r="AY223" s="15">
        <f t="shared" si="312"/>
        <v>1815</v>
      </c>
      <c r="AZ223" s="15">
        <f t="shared" si="313"/>
        <v>1900</v>
      </c>
      <c r="BA223" s="15">
        <f t="shared" si="314"/>
        <v>1900</v>
      </c>
      <c r="BB223" s="3">
        <f t="shared" si="344"/>
        <v>1900</v>
      </c>
      <c r="BC223" s="138">
        <f>VLOOKUP($B223,'2022 counts'!$B$6:$AD$304,28,FALSE)</f>
        <v>785</v>
      </c>
      <c r="BD223" s="138">
        <f>VLOOKUP($B223,'2022 counts'!$B$6:$AD$304,29,FALSE)</f>
        <v>1026</v>
      </c>
      <c r="BE223" s="11">
        <f t="shared" si="315"/>
        <v>0.54</v>
      </c>
      <c r="BF223" s="2" t="str">
        <f t="shared" si="316"/>
        <v>C</v>
      </c>
      <c r="BG223" s="135">
        <v>0</v>
      </c>
      <c r="BH223" s="135">
        <f>IF($AQ223="","",VLOOKUP($B223, '2022 counts'!$B$6:$T$304,19,FALSE))</f>
        <v>0</v>
      </c>
      <c r="BI223" s="38">
        <f t="shared" si="317"/>
        <v>0.01</v>
      </c>
      <c r="BJ223" s="39" t="str">
        <f t="shared" si="318"/>
        <v>minimum</v>
      </c>
      <c r="BK223" s="15">
        <f>VLOOKUP($U223,'2020_CapacityTable'!$B$49:$F$71,2)</f>
        <v>0</v>
      </c>
      <c r="BL223" s="15">
        <f>VLOOKUP($U223,'2020_CapacityTable'!$B$49:$F$71,3)</f>
        <v>37900</v>
      </c>
      <c r="BM223" s="15">
        <f>VLOOKUP($T223,'2020_CapacityTable'!$B$49:$F$71,4)</f>
        <v>39800</v>
      </c>
      <c r="BN223" s="15">
        <f>VLOOKUP($T223,'2020_CapacityTable'!$B$49:$F$71,5)</f>
        <v>39800</v>
      </c>
      <c r="BO223" s="15">
        <f t="shared" si="353"/>
        <v>0</v>
      </c>
      <c r="BP223" s="15">
        <f t="shared" si="349"/>
        <v>36005</v>
      </c>
      <c r="BQ223" s="15">
        <f t="shared" si="350"/>
        <v>37810</v>
      </c>
      <c r="BR223" s="15">
        <f t="shared" si="351"/>
        <v>37810</v>
      </c>
      <c r="BS223" s="3">
        <f t="shared" si="345"/>
        <v>37810</v>
      </c>
      <c r="BT223" s="40">
        <f>'State of the System - Sumter Co'!AD223</f>
        <v>22315</v>
      </c>
      <c r="BU223" s="41">
        <f t="shared" si="354"/>
        <v>0.59</v>
      </c>
      <c r="BV223" s="2" t="str">
        <f t="shared" si="355"/>
        <v>C</v>
      </c>
      <c r="BW223" s="2">
        <f t="shared" si="325"/>
        <v>4.96</v>
      </c>
      <c r="BX223" s="15">
        <f>VLOOKUP($U223,'2020_CapacityTable'!$B$23:$F$45,2)</f>
        <v>0</v>
      </c>
      <c r="BY223" s="15">
        <f>VLOOKUP($U223,'2020_CapacityTable'!$B$23:$F$45,3)</f>
        <v>1910</v>
      </c>
      <c r="BZ223" s="15">
        <f>VLOOKUP($U223,'2020_CapacityTable'!$B$23:$F$45,4)</f>
        <v>2000</v>
      </c>
      <c r="CA223" s="15">
        <f>VLOOKUP($U223,'2020_CapacityTable'!$B$23:$F$45,5)</f>
        <v>2000</v>
      </c>
      <c r="CB223" s="15">
        <f t="shared" si="356"/>
        <v>0</v>
      </c>
      <c r="CC223" s="15">
        <f t="shared" si="357"/>
        <v>1815</v>
      </c>
      <c r="CD223" s="15">
        <f t="shared" si="358"/>
        <v>1900</v>
      </c>
      <c r="CE223" s="15">
        <f t="shared" si="359"/>
        <v>1900</v>
      </c>
      <c r="CF223" s="3">
        <f t="shared" si="360"/>
        <v>1900</v>
      </c>
      <c r="CG223" s="2">
        <f>'State of the System - Sumter Co'!AH223</f>
        <v>825</v>
      </c>
      <c r="CH223" s="2">
        <f>'State of the System - Sumter Co'!AI223</f>
        <v>1078</v>
      </c>
      <c r="CI223" s="11">
        <f t="shared" si="330"/>
        <v>0.56999999999999995</v>
      </c>
      <c r="CJ223" s="2" t="str">
        <f t="shared" si="361"/>
        <v>C</v>
      </c>
      <c r="CK223" s="3">
        <f t="shared" si="331"/>
        <v>40835</v>
      </c>
      <c r="CL223" s="11">
        <f t="shared" si="332"/>
        <v>0.55000000000000004</v>
      </c>
      <c r="CM223" s="11" t="str">
        <f t="shared" si="333"/>
        <v>NOT CONGESTED</v>
      </c>
      <c r="CN223" s="3">
        <f t="shared" si="334"/>
        <v>2052</v>
      </c>
      <c r="CO223" s="11">
        <f t="shared" si="335"/>
        <v>0.53</v>
      </c>
      <c r="CP223" s="156" t="str">
        <f t="shared" si="336"/>
        <v>NOT CONGESTED</v>
      </c>
      <c r="CQ223" s="2"/>
      <c r="CR223" s="42"/>
      <c r="CS223" s="11" t="str">
        <f t="shared" si="337"/>
        <v/>
      </c>
      <c r="CT223" s="11" t="str">
        <f t="shared" si="346"/>
        <v/>
      </c>
      <c r="CU223" s="11" t="str">
        <f t="shared" si="338"/>
        <v/>
      </c>
      <c r="CV223" s="11" t="str">
        <f t="shared" si="339"/>
        <v/>
      </c>
      <c r="CW223" s="3"/>
      <c r="CX223" s="1"/>
      <c r="CY223" s="145" t="str">
        <f t="shared" si="340"/>
        <v/>
      </c>
      <c r="CZ223" s="32" t="str">
        <f t="shared" si="341"/>
        <v/>
      </c>
    </row>
    <row r="224" spans="1:104" s="9" customFormat="1" ht="12.75" customHeight="1">
      <c r="A224" s="1">
        <v>35371401</v>
      </c>
      <c r="B224" s="1" t="str">
        <f t="shared" si="342"/>
        <v>2020-25</v>
      </c>
      <c r="C224" s="1">
        <v>25</v>
      </c>
      <c r="D224" s="1" t="str">
        <f>VLOOKUP(C224,'2022 counts'!$A$6:$B$304,2,FALSE)</f>
        <v>2020-25</v>
      </c>
      <c r="E224" s="1"/>
      <c r="F224" s="2" t="s">
        <v>6</v>
      </c>
      <c r="G224" s="156">
        <v>45</v>
      </c>
      <c r="H224" s="11">
        <v>0.24565574537500001</v>
      </c>
      <c r="I224" s="10" t="s">
        <v>716</v>
      </c>
      <c r="J224" s="10" t="s">
        <v>51</v>
      </c>
      <c r="K224" s="10" t="s">
        <v>53</v>
      </c>
      <c r="L224" s="157">
        <v>4</v>
      </c>
      <c r="M224" s="1">
        <f>'State of the System - Sumter Co'!K224</f>
        <v>4</v>
      </c>
      <c r="N224" s="1" t="str">
        <f>IF('State of the System - Sumter Co'!L224="URBAN","U","R")</f>
        <v>U</v>
      </c>
      <c r="O224" s="1" t="str">
        <f>IF('State of the System - Sumter Co'!M224="UNDIVIDED","U",IF('State of the System - Sumter Co'!M224="DIVIDED","D","F"))</f>
        <v>D</v>
      </c>
      <c r="P224" s="1" t="str">
        <f>'State of the System - Sumter Co'!N224</f>
        <v>INTERRUPTED</v>
      </c>
      <c r="Q224" s="1" t="str">
        <f t="shared" si="300"/>
        <v/>
      </c>
      <c r="R224" s="1" t="str">
        <f>'State of the System - Sumter Co'!O224</f>
        <v/>
      </c>
      <c r="S224" s="1" t="str">
        <f t="shared" si="363"/>
        <v>-1</v>
      </c>
      <c r="T224" s="1" t="str">
        <f t="shared" si="301"/>
        <v>U-4D-1</v>
      </c>
      <c r="U224" s="1" t="str">
        <f t="shared" si="352"/>
        <v>U-4D-1</v>
      </c>
      <c r="V224" s="1" t="s">
        <v>10</v>
      </c>
      <c r="W224" s="1" t="s">
        <v>11</v>
      </c>
      <c r="X224" s="1" t="s">
        <v>50</v>
      </c>
      <c r="Y224" s="1" t="str">
        <f>'State of the System - Sumter Co'!R224</f>
        <v>D</v>
      </c>
      <c r="Z224" s="157" t="str">
        <f t="shared" si="302"/>
        <v>Other CMP Network Roadways</v>
      </c>
      <c r="AA224" s="15">
        <f>VLOOKUP($T224,'2020_CapacityTable'!$B$49:$F$71,2)</f>
        <v>0</v>
      </c>
      <c r="AB224" s="15">
        <f>VLOOKUP($T224,'2020_CapacityTable'!$B$49:$F$71,3)</f>
        <v>37900</v>
      </c>
      <c r="AC224" s="15">
        <f>VLOOKUP($T224,'2020_CapacityTable'!$B$49:$F$71,4)</f>
        <v>39800</v>
      </c>
      <c r="AD224" s="15">
        <f>VLOOKUP($T224,'2020_CapacityTable'!$B$49:$F$71,5)</f>
        <v>39800</v>
      </c>
      <c r="AE224" s="35">
        <f t="shared" si="364"/>
        <v>-0.1</v>
      </c>
      <c r="AF224" s="36" t="str">
        <f t="shared" si="303"/>
        <v/>
      </c>
      <c r="AG224" s="35" t="str">
        <f t="shared" si="362"/>
        <v/>
      </c>
      <c r="AH224" s="35" t="str">
        <f>IF(O224="U",IF(#REF!&gt;2,"LOOK",""),"")</f>
        <v/>
      </c>
      <c r="AI224" s="35"/>
      <c r="AJ224" s="36"/>
      <c r="AK224" s="15">
        <f t="shared" si="304"/>
        <v>0</v>
      </c>
      <c r="AL224" s="15">
        <f t="shared" si="305"/>
        <v>34110</v>
      </c>
      <c r="AM224" s="15">
        <f t="shared" si="306"/>
        <v>35820</v>
      </c>
      <c r="AN224" s="15">
        <f t="shared" si="307"/>
        <v>35820</v>
      </c>
      <c r="AO224" s="3">
        <f t="shared" si="343"/>
        <v>35820</v>
      </c>
      <c r="AP224" s="138">
        <f>VLOOKUP($B224,'2022 counts'!$B$6:$R$304,17,FALSE)</f>
        <v>20116.159999999916</v>
      </c>
      <c r="AQ224" s="11">
        <f t="shared" si="308"/>
        <v>0.56000000000000005</v>
      </c>
      <c r="AR224" s="2" t="str">
        <f t="shared" si="309"/>
        <v>C</v>
      </c>
      <c r="AS224" s="26">
        <f t="shared" si="310"/>
        <v>1.8</v>
      </c>
      <c r="AT224" s="15">
        <f>VLOOKUP($T224,'2020_CapacityTable'!$B$23:$F$45,2)</f>
        <v>0</v>
      </c>
      <c r="AU224" s="15">
        <f>VLOOKUP($T224,'2020_CapacityTable'!$B$23:$F$45,3)</f>
        <v>1910</v>
      </c>
      <c r="AV224" s="15">
        <f>VLOOKUP($T224,'2020_CapacityTable'!$B$23:$F$45,4)</f>
        <v>2000</v>
      </c>
      <c r="AW224" s="15">
        <f>VLOOKUP($T224,'2020_CapacityTable'!$B$23:$F$45,5)</f>
        <v>2000</v>
      </c>
      <c r="AX224" s="15">
        <f t="shared" si="311"/>
        <v>0</v>
      </c>
      <c r="AY224" s="15">
        <f t="shared" si="312"/>
        <v>1719</v>
      </c>
      <c r="AZ224" s="15">
        <f t="shared" si="313"/>
        <v>1800</v>
      </c>
      <c r="BA224" s="15">
        <f t="shared" si="314"/>
        <v>1800</v>
      </c>
      <c r="BB224" s="3">
        <f t="shared" si="344"/>
        <v>1800</v>
      </c>
      <c r="BC224" s="138">
        <f>VLOOKUP($B224,'2022 counts'!$B$6:$AD$304,28,FALSE)</f>
        <v>848</v>
      </c>
      <c r="BD224" s="138">
        <f>VLOOKUP($B224,'2022 counts'!$B$6:$AD$304,29,FALSE)</f>
        <v>1000</v>
      </c>
      <c r="BE224" s="11">
        <f t="shared" si="315"/>
        <v>0.56000000000000005</v>
      </c>
      <c r="BF224" s="2" t="str">
        <f t="shared" si="316"/>
        <v>C</v>
      </c>
      <c r="BG224" s="135">
        <v>0</v>
      </c>
      <c r="BH224" s="135">
        <f>IF($AQ224="","",VLOOKUP($B224, '2022 counts'!$B$6:$T$304,19,FALSE))</f>
        <v>0</v>
      </c>
      <c r="BI224" s="38">
        <f t="shared" si="317"/>
        <v>0.01</v>
      </c>
      <c r="BJ224" s="39" t="str">
        <f t="shared" si="318"/>
        <v>minimum</v>
      </c>
      <c r="BK224" s="15">
        <f>VLOOKUP($U224,'2020_CapacityTable'!$B$49:$F$71,2)</f>
        <v>0</v>
      </c>
      <c r="BL224" s="15">
        <f>VLOOKUP($U224,'2020_CapacityTable'!$B$49:$F$71,3)</f>
        <v>37900</v>
      </c>
      <c r="BM224" s="15">
        <f>VLOOKUP($T224,'2020_CapacityTable'!$B$49:$F$71,4)</f>
        <v>39800</v>
      </c>
      <c r="BN224" s="15">
        <f>VLOOKUP($T224,'2020_CapacityTable'!$B$49:$F$71,5)</f>
        <v>39800</v>
      </c>
      <c r="BO224" s="15">
        <f t="shared" si="353"/>
        <v>0</v>
      </c>
      <c r="BP224" s="15">
        <f t="shared" si="349"/>
        <v>34110</v>
      </c>
      <c r="BQ224" s="15">
        <f t="shared" si="350"/>
        <v>35820</v>
      </c>
      <c r="BR224" s="15">
        <f t="shared" si="351"/>
        <v>35820</v>
      </c>
      <c r="BS224" s="3">
        <f t="shared" si="345"/>
        <v>35820</v>
      </c>
      <c r="BT224" s="40">
        <f>'State of the System - Sumter Co'!AD224</f>
        <v>21142</v>
      </c>
      <c r="BU224" s="41">
        <f t="shared" si="354"/>
        <v>0.59</v>
      </c>
      <c r="BV224" s="2" t="str">
        <f t="shared" si="355"/>
        <v>C</v>
      </c>
      <c r="BW224" s="2">
        <f t="shared" si="325"/>
        <v>1.9</v>
      </c>
      <c r="BX224" s="15">
        <f>VLOOKUP($U224,'2020_CapacityTable'!$B$23:$F$45,2)</f>
        <v>0</v>
      </c>
      <c r="BY224" s="15">
        <f>VLOOKUP($U224,'2020_CapacityTable'!$B$23:$F$45,3)</f>
        <v>1910</v>
      </c>
      <c r="BZ224" s="15">
        <f>VLOOKUP($U224,'2020_CapacityTable'!$B$23:$F$45,4)</f>
        <v>2000</v>
      </c>
      <c r="CA224" s="15">
        <f>VLOOKUP($U224,'2020_CapacityTable'!$B$23:$F$45,5)</f>
        <v>2000</v>
      </c>
      <c r="CB224" s="15">
        <f t="shared" si="356"/>
        <v>0</v>
      </c>
      <c r="CC224" s="15">
        <f t="shared" si="357"/>
        <v>1719</v>
      </c>
      <c r="CD224" s="15">
        <f t="shared" si="358"/>
        <v>1800</v>
      </c>
      <c r="CE224" s="15">
        <f t="shared" si="359"/>
        <v>1800</v>
      </c>
      <c r="CF224" s="3">
        <f t="shared" si="360"/>
        <v>1800</v>
      </c>
      <c r="CG224" s="2">
        <f>'State of the System - Sumter Co'!AH224</f>
        <v>891</v>
      </c>
      <c r="CH224" s="2">
        <f>'State of the System - Sumter Co'!AI224</f>
        <v>1051</v>
      </c>
      <c r="CI224" s="11">
        <f t="shared" si="330"/>
        <v>0.57999999999999996</v>
      </c>
      <c r="CJ224" s="2" t="str">
        <f t="shared" si="361"/>
        <v>C</v>
      </c>
      <c r="CK224" s="3">
        <f t="shared" si="331"/>
        <v>38686</v>
      </c>
      <c r="CL224" s="11">
        <f t="shared" si="332"/>
        <v>0.55000000000000004</v>
      </c>
      <c r="CM224" s="11" t="str">
        <f t="shared" si="333"/>
        <v>NOT CONGESTED</v>
      </c>
      <c r="CN224" s="3">
        <f t="shared" si="334"/>
        <v>1944</v>
      </c>
      <c r="CO224" s="11">
        <f t="shared" si="335"/>
        <v>0.54</v>
      </c>
      <c r="CP224" s="156" t="str">
        <f t="shared" si="336"/>
        <v>NOT CONGESTED</v>
      </c>
      <c r="CQ224" s="3"/>
      <c r="CR224" s="3"/>
      <c r="CS224" s="11" t="str">
        <f t="shared" si="337"/>
        <v/>
      </c>
      <c r="CT224" s="11" t="str">
        <f t="shared" si="346"/>
        <v/>
      </c>
      <c r="CU224" s="11" t="str">
        <f t="shared" si="338"/>
        <v/>
      </c>
      <c r="CV224" s="11" t="str">
        <f t="shared" si="339"/>
        <v/>
      </c>
      <c r="CW224" s="3" t="s">
        <v>586</v>
      </c>
      <c r="CX224" s="1"/>
      <c r="CY224" s="145" t="str">
        <f t="shared" si="340"/>
        <v/>
      </c>
      <c r="CZ224" s="32" t="str">
        <f t="shared" si="341"/>
        <v/>
      </c>
    </row>
    <row r="225" spans="1:104" s="9" customFormat="1" ht="12.75" customHeight="1">
      <c r="A225" s="1">
        <v>35380001</v>
      </c>
      <c r="B225" s="1">
        <f t="shared" si="342"/>
        <v>58</v>
      </c>
      <c r="C225" s="1">
        <v>90</v>
      </c>
      <c r="D225" s="1">
        <f>VLOOKUP(C225,'2022 counts'!$A$6:$B$304,2,FALSE)</f>
        <v>58</v>
      </c>
      <c r="E225" s="1"/>
      <c r="F225" s="3" t="s">
        <v>6</v>
      </c>
      <c r="G225" s="156">
        <v>45</v>
      </c>
      <c r="H225" s="11">
        <v>1.5492675899999999</v>
      </c>
      <c r="I225" s="10" t="s">
        <v>738</v>
      </c>
      <c r="J225" s="10" t="s">
        <v>88</v>
      </c>
      <c r="K225" s="10" t="s">
        <v>741</v>
      </c>
      <c r="L225" s="157">
        <v>2</v>
      </c>
      <c r="M225" s="1">
        <f>'State of the System - Sumter Co'!K225</f>
        <v>2</v>
      </c>
      <c r="N225" s="1" t="str">
        <f>IF('State of the System - Sumter Co'!L225="URBAN","U","R")</f>
        <v>U</v>
      </c>
      <c r="O225" s="1" t="str">
        <f>IF('State of the System - Sumter Co'!M225="UNDIVIDED","U",IF('State of the System - Sumter Co'!M225="DIVIDED","D","F"))</f>
        <v>U</v>
      </c>
      <c r="P225" s="1" t="str">
        <f>'State of the System - Sumter Co'!N225</f>
        <v>UNINTERRUPTED</v>
      </c>
      <c r="Q225" s="1" t="str">
        <f t="shared" si="300"/>
        <v/>
      </c>
      <c r="R225" s="1" t="str">
        <f>'State of the System - Sumter Co'!O225</f>
        <v/>
      </c>
      <c r="S225" s="1" t="str">
        <f t="shared" si="363"/>
        <v>-x</v>
      </c>
      <c r="T225" s="1" t="str">
        <f t="shared" si="301"/>
        <v>U-2U-x</v>
      </c>
      <c r="U225" s="1" t="str">
        <f t="shared" si="352"/>
        <v>U-2U-x</v>
      </c>
      <c r="V225" s="1" t="s">
        <v>10</v>
      </c>
      <c r="W225" s="1" t="s">
        <v>11</v>
      </c>
      <c r="X225" s="1" t="s">
        <v>21</v>
      </c>
      <c r="Y225" s="1" t="str">
        <f>'State of the System - Sumter Co'!R225</f>
        <v>C</v>
      </c>
      <c r="Z225" s="157" t="str">
        <f t="shared" si="302"/>
        <v>Other CMP Network Roadways</v>
      </c>
      <c r="AA225" s="15">
        <f>VLOOKUP($T225,'2020_CapacityTable'!$B$49:$F$71,2)</f>
        <v>11700</v>
      </c>
      <c r="AB225" s="15">
        <f>VLOOKUP($T225,'2020_CapacityTable'!$B$49:$F$71,3)</f>
        <v>18000</v>
      </c>
      <c r="AC225" s="15">
        <f>VLOOKUP($T225,'2020_CapacityTable'!$B$49:$F$71,4)</f>
        <v>24200</v>
      </c>
      <c r="AD225" s="15">
        <f>VLOOKUP($T225,'2020_CapacityTable'!$B$49:$F$71,5)</f>
        <v>32600</v>
      </c>
      <c r="AE225" s="35"/>
      <c r="AF225" s="36" t="str">
        <f t="shared" si="303"/>
        <v/>
      </c>
      <c r="AG225" s="35" t="str">
        <f t="shared" si="362"/>
        <v/>
      </c>
      <c r="AH225" s="35" t="str">
        <f t="shared" ref="AH225:AH232" si="365">IF(O225="U",IF(L225&gt;2,"LOOK",""),"")</f>
        <v/>
      </c>
      <c r="AI225" s="35"/>
      <c r="AJ225" s="36"/>
      <c r="AK225" s="15">
        <f t="shared" si="304"/>
        <v>11700</v>
      </c>
      <c r="AL225" s="15">
        <f t="shared" si="305"/>
        <v>18000</v>
      </c>
      <c r="AM225" s="15">
        <f t="shared" si="306"/>
        <v>24200</v>
      </c>
      <c r="AN225" s="15">
        <f t="shared" si="307"/>
        <v>32600</v>
      </c>
      <c r="AO225" s="3">
        <f t="shared" si="343"/>
        <v>18000</v>
      </c>
      <c r="AP225" s="138">
        <f>VLOOKUP($B225,'2022 counts'!$B$6:$R$304,17,FALSE)</f>
        <v>2299</v>
      </c>
      <c r="AQ225" s="11">
        <f t="shared" si="308"/>
        <v>0.13</v>
      </c>
      <c r="AR225" s="2" t="str">
        <f t="shared" si="309"/>
        <v>B</v>
      </c>
      <c r="AS225" s="26">
        <f t="shared" si="310"/>
        <v>1.3</v>
      </c>
      <c r="AT225" s="15">
        <f>VLOOKUP($T225,'2020_CapacityTable'!$B$23:$F$45,2)</f>
        <v>580</v>
      </c>
      <c r="AU225" s="15">
        <f>VLOOKUP($T225,'2020_CapacityTable'!$B$23:$F$45,3)</f>
        <v>890</v>
      </c>
      <c r="AV225" s="15">
        <f>VLOOKUP($T225,'2020_CapacityTable'!$B$23:$F$45,4)</f>
        <v>1200</v>
      </c>
      <c r="AW225" s="15">
        <f>VLOOKUP($T225,'2020_CapacityTable'!$B$23:$F$45,5)</f>
        <v>1610</v>
      </c>
      <c r="AX225" s="15">
        <f t="shared" si="311"/>
        <v>580</v>
      </c>
      <c r="AY225" s="15">
        <f t="shared" si="312"/>
        <v>890</v>
      </c>
      <c r="AZ225" s="15">
        <f t="shared" si="313"/>
        <v>1200</v>
      </c>
      <c r="BA225" s="15">
        <f t="shared" si="314"/>
        <v>1610</v>
      </c>
      <c r="BB225" s="3">
        <f t="shared" si="344"/>
        <v>890</v>
      </c>
      <c r="BC225" s="138">
        <f>VLOOKUP($B225,'2022 counts'!$B$6:$AD$304,28,FALSE)</f>
        <v>141</v>
      </c>
      <c r="BD225" s="138">
        <f>VLOOKUP($B225,'2022 counts'!$B$6:$AD$304,29,FALSE)</f>
        <v>70</v>
      </c>
      <c r="BE225" s="11">
        <f t="shared" si="315"/>
        <v>0.16</v>
      </c>
      <c r="BF225" s="2" t="str">
        <f t="shared" si="316"/>
        <v>B</v>
      </c>
      <c r="BG225" s="135">
        <v>0.01</v>
      </c>
      <c r="BH225" s="135">
        <f>IF($AQ225="","",VLOOKUP($B225, '2022 counts'!$B$6:$T$304,19,FALSE))</f>
        <v>0.01</v>
      </c>
      <c r="BI225" s="38">
        <f t="shared" si="317"/>
        <v>0.01</v>
      </c>
      <c r="BJ225" s="39" t="str">
        <f t="shared" si="318"/>
        <v/>
      </c>
      <c r="BK225" s="15">
        <f>VLOOKUP($U225,'2020_CapacityTable'!$B$49:$F$71,2)</f>
        <v>11700</v>
      </c>
      <c r="BL225" s="15">
        <f>VLOOKUP($U225,'2020_CapacityTable'!$B$49:$F$71,3)</f>
        <v>18000</v>
      </c>
      <c r="BM225" s="15">
        <f>VLOOKUP($T225,'2020_CapacityTable'!$B$49:$F$71,4)</f>
        <v>24200</v>
      </c>
      <c r="BN225" s="15">
        <f>VLOOKUP($T225,'2020_CapacityTable'!$B$49:$F$71,5)</f>
        <v>32600</v>
      </c>
      <c r="BO225" s="15">
        <f t="shared" si="353"/>
        <v>11700</v>
      </c>
      <c r="BP225" s="15">
        <f t="shared" si="349"/>
        <v>18000</v>
      </c>
      <c r="BQ225" s="15">
        <f t="shared" si="350"/>
        <v>24200</v>
      </c>
      <c r="BR225" s="15">
        <f t="shared" si="351"/>
        <v>32600</v>
      </c>
      <c r="BS225" s="3">
        <f t="shared" si="345"/>
        <v>18000</v>
      </c>
      <c r="BT225" s="40">
        <f>'State of the System - Sumter Co'!AD225</f>
        <v>2416</v>
      </c>
      <c r="BU225" s="41">
        <f t="shared" si="354"/>
        <v>0.13</v>
      </c>
      <c r="BV225" s="2" t="str">
        <f t="shared" si="355"/>
        <v>B</v>
      </c>
      <c r="BW225" s="2">
        <f t="shared" si="325"/>
        <v>1.37</v>
      </c>
      <c r="BX225" s="15">
        <f>VLOOKUP($U225,'2020_CapacityTable'!$B$23:$F$45,2)</f>
        <v>580</v>
      </c>
      <c r="BY225" s="15">
        <f>VLOOKUP($U225,'2020_CapacityTable'!$B$23:$F$45,3)</f>
        <v>890</v>
      </c>
      <c r="BZ225" s="15">
        <f>VLOOKUP($U225,'2020_CapacityTable'!$B$23:$F$45,4)</f>
        <v>1200</v>
      </c>
      <c r="CA225" s="15">
        <f>VLOOKUP($U225,'2020_CapacityTable'!$B$23:$F$45,5)</f>
        <v>1610</v>
      </c>
      <c r="CB225" s="15">
        <f t="shared" si="356"/>
        <v>580</v>
      </c>
      <c r="CC225" s="15">
        <f t="shared" si="357"/>
        <v>890</v>
      </c>
      <c r="CD225" s="15">
        <f t="shared" si="358"/>
        <v>1200</v>
      </c>
      <c r="CE225" s="15">
        <f t="shared" si="359"/>
        <v>1610</v>
      </c>
      <c r="CF225" s="3">
        <f t="shared" si="360"/>
        <v>890</v>
      </c>
      <c r="CG225" s="2">
        <f>'State of the System - Sumter Co'!AH225</f>
        <v>148</v>
      </c>
      <c r="CH225" s="2">
        <f>'State of the System - Sumter Co'!AI225</f>
        <v>74</v>
      </c>
      <c r="CI225" s="11">
        <f t="shared" si="330"/>
        <v>0.17</v>
      </c>
      <c r="CJ225" s="2" t="str">
        <f t="shared" si="361"/>
        <v>B</v>
      </c>
      <c r="CK225" s="3">
        <f t="shared" si="331"/>
        <v>35208</v>
      </c>
      <c r="CL225" s="11">
        <f t="shared" si="332"/>
        <v>7.0000000000000007E-2</v>
      </c>
      <c r="CM225" s="11" t="str">
        <f t="shared" si="333"/>
        <v>NOT CONGESTED</v>
      </c>
      <c r="CN225" s="3">
        <f t="shared" si="334"/>
        <v>1739</v>
      </c>
      <c r="CO225" s="11">
        <f t="shared" si="335"/>
        <v>0.09</v>
      </c>
      <c r="CP225" s="156" t="str">
        <f t="shared" si="336"/>
        <v>NOT CONGESTED</v>
      </c>
      <c r="CQ225" s="2"/>
      <c r="CR225" s="42"/>
      <c r="CS225" s="11" t="str">
        <f t="shared" si="337"/>
        <v/>
      </c>
      <c r="CT225" s="11" t="str">
        <f t="shared" si="346"/>
        <v/>
      </c>
      <c r="CU225" s="11" t="str">
        <f t="shared" si="338"/>
        <v/>
      </c>
      <c r="CV225" s="11" t="str">
        <f t="shared" si="339"/>
        <v/>
      </c>
      <c r="CW225" s="3"/>
      <c r="CX225" s="1"/>
      <c r="CY225" s="145" t="str">
        <f t="shared" si="340"/>
        <v/>
      </c>
      <c r="CZ225" s="32" t="str">
        <f t="shared" si="341"/>
        <v/>
      </c>
    </row>
    <row r="226" spans="1:104" s="9" customFormat="1" ht="12.75" customHeight="1">
      <c r="A226" s="1">
        <v>35411002</v>
      </c>
      <c r="B226" s="1">
        <f t="shared" si="342"/>
        <v>187003</v>
      </c>
      <c r="C226" s="1">
        <v>16</v>
      </c>
      <c r="D226" s="1" t="str">
        <f>VLOOKUP(C226,'2022 counts'!$A$6:$B$304,2,FALSE)</f>
        <v>STATE</v>
      </c>
      <c r="E226" s="1">
        <v>187003</v>
      </c>
      <c r="F226" s="2" t="s">
        <v>136</v>
      </c>
      <c r="G226" s="156">
        <v>45</v>
      </c>
      <c r="H226" s="11">
        <v>1.14346663754</v>
      </c>
      <c r="I226" s="10" t="s">
        <v>714</v>
      </c>
      <c r="J226" s="10" t="s">
        <v>48</v>
      </c>
      <c r="K226" s="10" t="s">
        <v>49</v>
      </c>
      <c r="L226" s="157">
        <v>2</v>
      </c>
      <c r="M226" s="1">
        <f>'State of the System - Sumter Co'!K226</f>
        <v>2</v>
      </c>
      <c r="N226" s="1" t="str">
        <f>IF('State of the System - Sumter Co'!L226="URBAN","U","R")</f>
        <v>U</v>
      </c>
      <c r="O226" s="1" t="str">
        <f>IF('State of the System - Sumter Co'!M226="UNDIVIDED","U",IF('State of the System - Sumter Co'!M226="DIVIDED","D","F"))</f>
        <v>U</v>
      </c>
      <c r="P226" s="1" t="str">
        <f>'State of the System - Sumter Co'!N226</f>
        <v>UNINTERRUPTED</v>
      </c>
      <c r="Q226" s="1" t="str">
        <f t="shared" si="300"/>
        <v/>
      </c>
      <c r="R226" s="1" t="str">
        <f>'State of the System - Sumter Co'!O226</f>
        <v/>
      </c>
      <c r="S226" s="1" t="str">
        <f t="shared" si="363"/>
        <v>-x</v>
      </c>
      <c r="T226" s="1" t="str">
        <f t="shared" si="301"/>
        <v>U-2U-x</v>
      </c>
      <c r="U226" s="1" t="str">
        <f t="shared" si="352"/>
        <v>U-2U-x</v>
      </c>
      <c r="V226" s="1" t="s">
        <v>10</v>
      </c>
      <c r="W226" s="1" t="s">
        <v>11</v>
      </c>
      <c r="X226" s="1" t="s">
        <v>21</v>
      </c>
      <c r="Y226" s="1" t="str">
        <f>'State of the System - Sumter Co'!R226</f>
        <v>F</v>
      </c>
      <c r="Z226" s="157" t="str">
        <f t="shared" si="302"/>
        <v>Other CMP Network Roadways</v>
      </c>
      <c r="AA226" s="15">
        <f>VLOOKUP($T226,'2020_CapacityTable'!$B$49:$F$71,2)</f>
        <v>11700</v>
      </c>
      <c r="AB226" s="15">
        <f>VLOOKUP($T226,'2020_CapacityTable'!$B$49:$F$71,3)</f>
        <v>18000</v>
      </c>
      <c r="AC226" s="15">
        <f>VLOOKUP($T226,'2020_CapacityTable'!$B$49:$F$71,4)</f>
        <v>24200</v>
      </c>
      <c r="AD226" s="15">
        <f>VLOOKUP($T226,'2020_CapacityTable'!$B$49:$F$71,5)</f>
        <v>32600</v>
      </c>
      <c r="AE226" s="35"/>
      <c r="AF226" s="36" t="str">
        <f t="shared" si="303"/>
        <v/>
      </c>
      <c r="AG226" s="35"/>
      <c r="AH226" s="35" t="str">
        <f t="shared" si="365"/>
        <v/>
      </c>
      <c r="AI226" s="35"/>
      <c r="AJ226" s="36"/>
      <c r="AK226" s="15">
        <f t="shared" si="304"/>
        <v>11700</v>
      </c>
      <c r="AL226" s="15">
        <f t="shared" si="305"/>
        <v>18000</v>
      </c>
      <c r="AM226" s="15">
        <f t="shared" si="306"/>
        <v>24200</v>
      </c>
      <c r="AN226" s="15">
        <f t="shared" si="307"/>
        <v>32600</v>
      </c>
      <c r="AO226" s="248">
        <v>1000000</v>
      </c>
      <c r="AP226" s="138">
        <f>VLOOKUP($B226,'2022 counts'!$B$6:$R$304,17,FALSE)</f>
        <v>11070</v>
      </c>
      <c r="AQ226" s="11">
        <f t="shared" si="308"/>
        <v>0.01</v>
      </c>
      <c r="AR226" s="2" t="str">
        <f t="shared" si="309"/>
        <v>B</v>
      </c>
      <c r="AS226" s="26">
        <f t="shared" si="310"/>
        <v>4.62</v>
      </c>
      <c r="AT226" s="15">
        <f>VLOOKUP($T226,'2020_CapacityTable'!$B$23:$F$45,2)</f>
        <v>580</v>
      </c>
      <c r="AU226" s="15">
        <f>VLOOKUP($T226,'2020_CapacityTable'!$B$23:$F$45,3)</f>
        <v>890</v>
      </c>
      <c r="AV226" s="15">
        <f>VLOOKUP($T226,'2020_CapacityTable'!$B$23:$F$45,4)</f>
        <v>1200</v>
      </c>
      <c r="AW226" s="15">
        <f>VLOOKUP($T226,'2020_CapacityTable'!$B$23:$F$45,5)</f>
        <v>1610</v>
      </c>
      <c r="AX226" s="15">
        <f t="shared" si="311"/>
        <v>580</v>
      </c>
      <c r="AY226" s="15">
        <f t="shared" si="312"/>
        <v>890</v>
      </c>
      <c r="AZ226" s="15">
        <f t="shared" si="313"/>
        <v>1200</v>
      </c>
      <c r="BA226" s="15">
        <f t="shared" si="314"/>
        <v>1610</v>
      </c>
      <c r="BB226" s="248">
        <v>1000000</v>
      </c>
      <c r="BC226" s="138">
        <f>VLOOKUP($B226,'2022 counts'!$B$6:$AD$304,28,FALSE)</f>
        <v>528</v>
      </c>
      <c r="BD226" s="138">
        <f>VLOOKUP($B226,'2022 counts'!$B$6:$AD$304,29,FALSE)</f>
        <v>468</v>
      </c>
      <c r="BE226" s="11">
        <f t="shared" si="315"/>
        <v>0</v>
      </c>
      <c r="BF226" s="2" t="str">
        <f t="shared" si="316"/>
        <v>B</v>
      </c>
      <c r="BG226" s="135">
        <v>5.7500000000000002E-2</v>
      </c>
      <c r="BH226" s="135">
        <f>IF($AQ226="","",VLOOKUP($B226, '2022 counts'!$B$6:$T$304,19,FALSE))</f>
        <v>5.7500000000000002E-2</v>
      </c>
      <c r="BI226" s="38">
        <f t="shared" si="317"/>
        <v>5.7500000000000002E-2</v>
      </c>
      <c r="BJ226" s="39" t="str">
        <f t="shared" si="318"/>
        <v/>
      </c>
      <c r="BK226" s="15">
        <f>VLOOKUP($U226,'2020_CapacityTable'!$B$49:$F$71,2)</f>
        <v>11700</v>
      </c>
      <c r="BL226" s="15">
        <f>VLOOKUP($U226,'2020_CapacityTable'!$B$49:$F$71,3)</f>
        <v>18000</v>
      </c>
      <c r="BM226" s="15">
        <f>VLOOKUP($T226,'2020_CapacityTable'!$B$49:$F$71,4)</f>
        <v>24200</v>
      </c>
      <c r="BN226" s="15">
        <f>VLOOKUP($T226,'2020_CapacityTable'!$B$49:$F$71,5)</f>
        <v>32600</v>
      </c>
      <c r="BO226" s="15">
        <f t="shared" si="353"/>
        <v>11700</v>
      </c>
      <c r="BP226" s="15">
        <f t="shared" si="349"/>
        <v>18000</v>
      </c>
      <c r="BQ226" s="15">
        <f t="shared" si="350"/>
        <v>24200</v>
      </c>
      <c r="BR226" s="15">
        <f t="shared" si="351"/>
        <v>32600</v>
      </c>
      <c r="BS226" s="248">
        <v>1000000</v>
      </c>
      <c r="BT226" s="40">
        <f>'State of the System - Sumter Co'!AD226</f>
        <v>14640</v>
      </c>
      <c r="BU226" s="41">
        <f t="shared" si="354"/>
        <v>0.01</v>
      </c>
      <c r="BV226" s="2" t="str">
        <f t="shared" si="355"/>
        <v>C</v>
      </c>
      <c r="BW226" s="2">
        <f t="shared" si="325"/>
        <v>6.11</v>
      </c>
      <c r="BX226" s="15">
        <f>VLOOKUP($U226,'2020_CapacityTable'!$B$23:$F$45,2)</f>
        <v>580</v>
      </c>
      <c r="BY226" s="15">
        <f>VLOOKUP($U226,'2020_CapacityTable'!$B$23:$F$45,3)</f>
        <v>890</v>
      </c>
      <c r="BZ226" s="15">
        <f>VLOOKUP($U226,'2020_CapacityTable'!$B$23:$F$45,4)</f>
        <v>1200</v>
      </c>
      <c r="CA226" s="15">
        <f>VLOOKUP($U226,'2020_CapacityTable'!$B$23:$F$45,5)</f>
        <v>1610</v>
      </c>
      <c r="CB226" s="15">
        <f t="shared" si="356"/>
        <v>580</v>
      </c>
      <c r="CC226" s="15">
        <f t="shared" si="357"/>
        <v>890</v>
      </c>
      <c r="CD226" s="15">
        <f t="shared" si="358"/>
        <v>1200</v>
      </c>
      <c r="CE226" s="15">
        <f t="shared" si="359"/>
        <v>1610</v>
      </c>
      <c r="CF226" s="248">
        <v>1000000</v>
      </c>
      <c r="CG226" s="2">
        <f>'State of the System - Sumter Co'!AH226</f>
        <v>698</v>
      </c>
      <c r="CH226" s="2">
        <f>'State of the System - Sumter Co'!AI226</f>
        <v>619</v>
      </c>
      <c r="CI226" s="11">
        <f t="shared" si="330"/>
        <v>0</v>
      </c>
      <c r="CJ226" s="2" t="str">
        <f>IF(OR(CI226="",CI226="-"),"",IF(MAX(CG226,CH226)&lt;=$AX226,"B",IF(MAX(CG226,CH226)&lt;=$AY226,"C",IF(MAX(CG226,CH226)&lt;=$AZ226,"D",IF(MAX(CG226,CH226)&lt;=$BA226,"E","F")))))</f>
        <v>C</v>
      </c>
      <c r="CK226" s="3">
        <f t="shared" si="331"/>
        <v>35208</v>
      </c>
      <c r="CL226" s="11">
        <f t="shared" si="332"/>
        <v>0.42</v>
      </c>
      <c r="CM226" s="11" t="str">
        <f t="shared" si="333"/>
        <v>NOT CONGESTED</v>
      </c>
      <c r="CN226" s="3">
        <f t="shared" si="334"/>
        <v>1739</v>
      </c>
      <c r="CO226" s="11">
        <f t="shared" si="335"/>
        <v>0.4</v>
      </c>
      <c r="CP226" s="156" t="s">
        <v>681</v>
      </c>
      <c r="CQ226" s="2"/>
      <c r="CR226" s="42"/>
      <c r="CS226" s="11" t="str">
        <f t="shared" si="337"/>
        <v/>
      </c>
      <c r="CT226" s="11">
        <v>0</v>
      </c>
      <c r="CU226" s="11" t="str">
        <f t="shared" si="338"/>
        <v/>
      </c>
      <c r="CV226" s="11" t="str">
        <f t="shared" si="339"/>
        <v/>
      </c>
      <c r="CW226" s="3"/>
      <c r="CX226" s="1"/>
      <c r="CY226" s="145" t="str">
        <f t="shared" si="340"/>
        <v/>
      </c>
      <c r="CZ226" s="32" t="str">
        <f t="shared" si="341"/>
        <v/>
      </c>
    </row>
    <row r="227" spans="1:104" s="9" customFormat="1" ht="12.75" customHeight="1">
      <c r="A227" s="1">
        <v>35411003</v>
      </c>
      <c r="B227" s="1">
        <f t="shared" si="342"/>
        <v>20</v>
      </c>
      <c r="C227" s="1">
        <v>17</v>
      </c>
      <c r="D227" s="1">
        <f>VLOOKUP(C227,'2022 counts'!$A$6:$B$304,2,FALSE)</f>
        <v>20</v>
      </c>
      <c r="E227" s="1"/>
      <c r="F227" s="2" t="s">
        <v>6</v>
      </c>
      <c r="G227" s="156">
        <v>45</v>
      </c>
      <c r="H227" s="11">
        <v>0.50082700000000002</v>
      </c>
      <c r="I227" s="10" t="s">
        <v>714</v>
      </c>
      <c r="J227" s="10" t="s">
        <v>49</v>
      </c>
      <c r="K227" s="10" t="s">
        <v>727</v>
      </c>
      <c r="L227" s="157">
        <v>2</v>
      </c>
      <c r="M227" s="1">
        <f>'State of the System - Sumter Co'!K227</f>
        <v>2</v>
      </c>
      <c r="N227" s="1" t="str">
        <f>IF('State of the System - Sumter Co'!L227="URBAN","U","R")</f>
        <v>U</v>
      </c>
      <c r="O227" s="1" t="str">
        <f>IF('State of the System - Sumter Co'!M227="UNDIVIDED","U",IF('State of the System - Sumter Co'!M227="DIVIDED","D","F"))</f>
        <v>U</v>
      </c>
      <c r="P227" s="1" t="str">
        <f>'State of the System - Sumter Co'!N227</f>
        <v>UNINTERRUPTED</v>
      </c>
      <c r="Q227" s="1" t="str">
        <f t="shared" si="300"/>
        <v/>
      </c>
      <c r="R227" s="1" t="str">
        <f>'State of the System - Sumter Co'!O227</f>
        <v/>
      </c>
      <c r="S227" s="1" t="str">
        <f t="shared" si="363"/>
        <v>-x</v>
      </c>
      <c r="T227" s="1" t="str">
        <f t="shared" si="301"/>
        <v>U-2U-x</v>
      </c>
      <c r="U227" s="1" t="str">
        <f t="shared" si="352"/>
        <v>U-2U-x</v>
      </c>
      <c r="V227" s="1" t="s">
        <v>10</v>
      </c>
      <c r="W227" s="1" t="s">
        <v>25</v>
      </c>
      <c r="X227" s="1" t="s">
        <v>21</v>
      </c>
      <c r="Y227" s="1" t="str">
        <f>'State of the System - Sumter Co'!R227</f>
        <v>F</v>
      </c>
      <c r="Z227" s="157" t="str">
        <f t="shared" si="302"/>
        <v>Other CMP Network Roadways</v>
      </c>
      <c r="AA227" s="15">
        <f>VLOOKUP($T227,'2020_CapacityTable'!$B$49:$F$71,2)</f>
        <v>11700</v>
      </c>
      <c r="AB227" s="15">
        <f>VLOOKUP($T227,'2020_CapacityTable'!$B$49:$F$71,3)</f>
        <v>18000</v>
      </c>
      <c r="AC227" s="15">
        <f>VLOOKUP($T227,'2020_CapacityTable'!$B$49:$F$71,4)</f>
        <v>24200</v>
      </c>
      <c r="AD227" s="15">
        <f>VLOOKUP($T227,'2020_CapacityTable'!$B$49:$F$71,5)</f>
        <v>32600</v>
      </c>
      <c r="AE227" s="35"/>
      <c r="AF227" s="36" t="str">
        <f t="shared" si="303"/>
        <v/>
      </c>
      <c r="AG227" s="35"/>
      <c r="AH227" s="35" t="str">
        <f t="shared" si="365"/>
        <v/>
      </c>
      <c r="AI227" s="35"/>
      <c r="AJ227" s="36"/>
      <c r="AK227" s="15">
        <f t="shared" si="304"/>
        <v>11700</v>
      </c>
      <c r="AL227" s="15">
        <f t="shared" si="305"/>
        <v>18000</v>
      </c>
      <c r="AM227" s="15">
        <f t="shared" si="306"/>
        <v>24200</v>
      </c>
      <c r="AN227" s="15">
        <f t="shared" si="307"/>
        <v>32600</v>
      </c>
      <c r="AO227" s="248">
        <v>1000000</v>
      </c>
      <c r="AP227" s="138">
        <f>VLOOKUP($B227,'2022 counts'!$B$6:$R$304,17,FALSE)</f>
        <v>13377</v>
      </c>
      <c r="AQ227" s="11">
        <f t="shared" si="308"/>
        <v>0.01</v>
      </c>
      <c r="AR227" s="2" t="str">
        <f t="shared" si="309"/>
        <v>C</v>
      </c>
      <c r="AS227" s="26">
        <f t="shared" si="310"/>
        <v>2.4500000000000002</v>
      </c>
      <c r="AT227" s="15">
        <f>VLOOKUP($T227,'2020_CapacityTable'!$B$23:$F$45,2)</f>
        <v>580</v>
      </c>
      <c r="AU227" s="15">
        <f>VLOOKUP($T227,'2020_CapacityTable'!$B$23:$F$45,3)</f>
        <v>890</v>
      </c>
      <c r="AV227" s="15">
        <f>VLOOKUP($T227,'2020_CapacityTable'!$B$23:$F$45,4)</f>
        <v>1200</v>
      </c>
      <c r="AW227" s="15">
        <f>VLOOKUP($T227,'2020_CapacityTable'!$B$23:$F$45,5)</f>
        <v>1610</v>
      </c>
      <c r="AX227" s="15">
        <f t="shared" si="311"/>
        <v>580</v>
      </c>
      <c r="AY227" s="15">
        <f t="shared" si="312"/>
        <v>890</v>
      </c>
      <c r="AZ227" s="15">
        <f t="shared" si="313"/>
        <v>1200</v>
      </c>
      <c r="BA227" s="15">
        <f t="shared" si="314"/>
        <v>1610</v>
      </c>
      <c r="BB227" s="248">
        <v>1000000</v>
      </c>
      <c r="BC227" s="138">
        <f>VLOOKUP($B227,'2022 counts'!$B$6:$AD$304,28,FALSE)</f>
        <v>733</v>
      </c>
      <c r="BD227" s="138">
        <f>VLOOKUP($B227,'2022 counts'!$B$6:$AD$304,29,FALSE)</f>
        <v>433</v>
      </c>
      <c r="BE227" s="11">
        <f t="shared" si="315"/>
        <v>0</v>
      </c>
      <c r="BF227" s="2" t="str">
        <f t="shared" si="316"/>
        <v>C</v>
      </c>
      <c r="BG227" s="135">
        <v>4.4999999999999998E-2</v>
      </c>
      <c r="BH227" s="135">
        <f>IF($AQ227="","",VLOOKUP($B227, '2022 counts'!$B$6:$T$304,19,FALSE))</f>
        <v>4.4999999999999998E-2</v>
      </c>
      <c r="BI227" s="38">
        <f t="shared" si="317"/>
        <v>4.4999999999999998E-2</v>
      </c>
      <c r="BJ227" s="39" t="str">
        <f t="shared" si="318"/>
        <v/>
      </c>
      <c r="BK227" s="15">
        <f>VLOOKUP($U227,'2020_CapacityTable'!$B$49:$F$71,2)</f>
        <v>11700</v>
      </c>
      <c r="BL227" s="15">
        <f>VLOOKUP($U227,'2020_CapacityTable'!$B$49:$F$71,3)</f>
        <v>18000</v>
      </c>
      <c r="BM227" s="15">
        <f>VLOOKUP($T227,'2020_CapacityTable'!$B$49:$F$71,4)</f>
        <v>24200</v>
      </c>
      <c r="BN227" s="15">
        <f>VLOOKUP($T227,'2020_CapacityTable'!$B$49:$F$71,5)</f>
        <v>32600</v>
      </c>
      <c r="BO227" s="15">
        <f t="shared" si="353"/>
        <v>11700</v>
      </c>
      <c r="BP227" s="15">
        <f t="shared" si="349"/>
        <v>18000</v>
      </c>
      <c r="BQ227" s="15">
        <f t="shared" si="350"/>
        <v>24200</v>
      </c>
      <c r="BR227" s="15">
        <f t="shared" si="351"/>
        <v>32600</v>
      </c>
      <c r="BS227" s="248">
        <v>1000000</v>
      </c>
      <c r="BT227" s="40">
        <f>'State of the System - Sumter Co'!AD227</f>
        <v>16670</v>
      </c>
      <c r="BU227" s="41">
        <f t="shared" si="354"/>
        <v>0.02</v>
      </c>
      <c r="BV227" s="2" t="str">
        <f t="shared" si="355"/>
        <v>C</v>
      </c>
      <c r="BW227" s="2">
        <f t="shared" si="325"/>
        <v>3.05</v>
      </c>
      <c r="BX227" s="15">
        <f>VLOOKUP($U227,'2020_CapacityTable'!$B$23:$F$45,2)</f>
        <v>580</v>
      </c>
      <c r="BY227" s="15">
        <f>VLOOKUP($U227,'2020_CapacityTable'!$B$23:$F$45,3)</f>
        <v>890</v>
      </c>
      <c r="BZ227" s="15">
        <f>VLOOKUP($U227,'2020_CapacityTable'!$B$23:$F$45,4)</f>
        <v>1200</v>
      </c>
      <c r="CA227" s="15">
        <f>VLOOKUP($U227,'2020_CapacityTable'!$B$23:$F$45,5)</f>
        <v>1610</v>
      </c>
      <c r="CB227" s="15">
        <f t="shared" si="356"/>
        <v>580</v>
      </c>
      <c r="CC227" s="15">
        <f t="shared" si="357"/>
        <v>890</v>
      </c>
      <c r="CD227" s="15">
        <f t="shared" si="358"/>
        <v>1200</v>
      </c>
      <c r="CE227" s="15">
        <f t="shared" si="359"/>
        <v>1610</v>
      </c>
      <c r="CF227" s="248">
        <v>1000000</v>
      </c>
      <c r="CG227" s="2">
        <f>'State of the System - Sumter Co'!AH227</f>
        <v>913</v>
      </c>
      <c r="CH227" s="2">
        <f>'State of the System - Sumter Co'!AI227</f>
        <v>540</v>
      </c>
      <c r="CI227" s="11">
        <f t="shared" si="330"/>
        <v>0</v>
      </c>
      <c r="CJ227" s="2" t="str">
        <f>IF(OR(CI227="",CI227="-"),"",IF(MAX(CG227,CH227)&lt;=$AX227,"B",IF(MAX(CG227,CH227)&lt;=$AY227,"C",IF(MAX(CG227,CH227)&lt;=$AZ227,"D",IF(MAX(CG227,CH227)&lt;=$BA227,"E","F")))))</f>
        <v>D</v>
      </c>
      <c r="CK227" s="3">
        <f t="shared" si="331"/>
        <v>35208</v>
      </c>
      <c r="CL227" s="11">
        <f t="shared" si="332"/>
        <v>0.47</v>
      </c>
      <c r="CM227" s="11" t="str">
        <f t="shared" si="333"/>
        <v>NOT CONGESTED</v>
      </c>
      <c r="CN227" s="3">
        <f t="shared" si="334"/>
        <v>1739</v>
      </c>
      <c r="CO227" s="11">
        <f t="shared" si="335"/>
        <v>0.53</v>
      </c>
      <c r="CP227" s="156" t="s">
        <v>681</v>
      </c>
      <c r="CQ227" s="2"/>
      <c r="CR227" s="42"/>
      <c r="CS227" s="11" t="str">
        <f t="shared" si="337"/>
        <v/>
      </c>
      <c r="CT227" s="11">
        <v>0</v>
      </c>
      <c r="CU227" s="11" t="str">
        <f t="shared" si="338"/>
        <v/>
      </c>
      <c r="CV227" s="11" t="str">
        <f t="shared" si="339"/>
        <v/>
      </c>
      <c r="CW227" s="3"/>
      <c r="CX227" s="1"/>
      <c r="CY227" s="145" t="str">
        <f t="shared" si="340"/>
        <v/>
      </c>
      <c r="CZ227" s="32" t="str">
        <f t="shared" si="341"/>
        <v/>
      </c>
    </row>
    <row r="228" spans="1:104" s="9" customFormat="1" ht="12.75" customHeight="1">
      <c r="A228" s="1">
        <v>35411101</v>
      </c>
      <c r="B228" s="1" t="str">
        <f t="shared" si="342"/>
        <v>2020-12</v>
      </c>
      <c r="C228" s="1">
        <v>12</v>
      </c>
      <c r="D228" s="1" t="str">
        <f>VLOOKUP(C228,'2022 counts'!$A$6:$B$304,2,FALSE)</f>
        <v>2020-12</v>
      </c>
      <c r="E228" s="5" t="s">
        <v>243</v>
      </c>
      <c r="F228" s="2" t="s">
        <v>6</v>
      </c>
      <c r="G228" s="156">
        <v>35</v>
      </c>
      <c r="H228" s="11">
        <v>0.84645841837799995</v>
      </c>
      <c r="I228" s="10" t="s">
        <v>714</v>
      </c>
      <c r="J228" s="10" t="s">
        <v>47</v>
      </c>
      <c r="K228" s="10" t="s">
        <v>48</v>
      </c>
      <c r="L228" s="157">
        <v>2</v>
      </c>
      <c r="M228" s="1">
        <f>'State of the System - Sumter Co'!K228</f>
        <v>2</v>
      </c>
      <c r="N228" s="1" t="str">
        <f>IF('State of the System - Sumter Co'!L228="URBAN","U","R")</f>
        <v>U</v>
      </c>
      <c r="O228" s="1" t="str">
        <f>IF('State of the System - Sumter Co'!M228="UNDIVIDED","U",IF('State of the System - Sumter Co'!M228="DIVIDED","D","F"))</f>
        <v>U</v>
      </c>
      <c r="P228" s="1" t="str">
        <f>'State of the System - Sumter Co'!N228</f>
        <v>UNINTERRUPTED</v>
      </c>
      <c r="Q228" s="1" t="str">
        <f t="shared" si="300"/>
        <v/>
      </c>
      <c r="R228" s="1" t="str">
        <f>'State of the System - Sumter Co'!O228</f>
        <v/>
      </c>
      <c r="S228" s="1" t="str">
        <f t="shared" si="363"/>
        <v>-x</v>
      </c>
      <c r="T228" s="1" t="str">
        <f t="shared" si="301"/>
        <v>U-2U-x</v>
      </c>
      <c r="U228" s="1" t="str">
        <f t="shared" si="352"/>
        <v>U-2U-x</v>
      </c>
      <c r="V228" s="1" t="s">
        <v>10</v>
      </c>
      <c r="W228" s="1" t="s">
        <v>25</v>
      </c>
      <c r="X228" s="1" t="s">
        <v>21</v>
      </c>
      <c r="Y228" s="1" t="str">
        <f>'State of the System - Sumter Co'!R228</f>
        <v>F</v>
      </c>
      <c r="Z228" s="157" t="str">
        <f t="shared" si="302"/>
        <v>Other CMP Network Roadways</v>
      </c>
      <c r="AA228" s="15">
        <f>VLOOKUP($T228,'2020_CapacityTable'!$B$49:$F$71,2)</f>
        <v>11700</v>
      </c>
      <c r="AB228" s="15">
        <f>VLOOKUP($T228,'2020_CapacityTable'!$B$49:$F$71,3)</f>
        <v>18000</v>
      </c>
      <c r="AC228" s="15">
        <f>VLOOKUP($T228,'2020_CapacityTable'!$B$49:$F$71,4)</f>
        <v>24200</v>
      </c>
      <c r="AD228" s="15">
        <f>VLOOKUP($T228,'2020_CapacityTable'!$B$49:$F$71,5)</f>
        <v>32600</v>
      </c>
      <c r="AE228" s="35"/>
      <c r="AF228" s="36" t="str">
        <f t="shared" si="303"/>
        <v/>
      </c>
      <c r="AG228" s="35"/>
      <c r="AH228" s="35" t="str">
        <f t="shared" si="365"/>
        <v/>
      </c>
      <c r="AI228" s="35"/>
      <c r="AJ228" s="36"/>
      <c r="AK228" s="15">
        <f t="shared" si="304"/>
        <v>11700</v>
      </c>
      <c r="AL228" s="15">
        <f t="shared" si="305"/>
        <v>18000</v>
      </c>
      <c r="AM228" s="15">
        <f t="shared" si="306"/>
        <v>24200</v>
      </c>
      <c r="AN228" s="15">
        <f t="shared" si="307"/>
        <v>32600</v>
      </c>
      <c r="AO228" s="248">
        <v>1000000</v>
      </c>
      <c r="AP228" s="138">
        <f>VLOOKUP($B228,'2022 counts'!$B$6:$R$304,17,FALSE)</f>
        <v>14229.800000000047</v>
      </c>
      <c r="AQ228" s="11">
        <f t="shared" si="308"/>
        <v>0.01</v>
      </c>
      <c r="AR228" s="2" t="str">
        <f t="shared" si="309"/>
        <v>C</v>
      </c>
      <c r="AS228" s="26">
        <f t="shared" si="310"/>
        <v>4.4000000000000004</v>
      </c>
      <c r="AT228" s="15">
        <f>VLOOKUP($T228,'2020_CapacityTable'!$B$23:$F$45,2)</f>
        <v>580</v>
      </c>
      <c r="AU228" s="15">
        <f>VLOOKUP($T228,'2020_CapacityTable'!$B$23:$F$45,3)</f>
        <v>890</v>
      </c>
      <c r="AV228" s="15">
        <f>VLOOKUP($T228,'2020_CapacityTable'!$B$23:$F$45,4)</f>
        <v>1200</v>
      </c>
      <c r="AW228" s="15">
        <f>VLOOKUP($T228,'2020_CapacityTable'!$B$23:$F$45,5)</f>
        <v>1610</v>
      </c>
      <c r="AX228" s="15">
        <f t="shared" si="311"/>
        <v>580</v>
      </c>
      <c r="AY228" s="15">
        <f t="shared" si="312"/>
        <v>890</v>
      </c>
      <c r="AZ228" s="15">
        <f t="shared" si="313"/>
        <v>1200</v>
      </c>
      <c r="BA228" s="15">
        <f t="shared" si="314"/>
        <v>1610</v>
      </c>
      <c r="BB228" s="248">
        <v>1000000</v>
      </c>
      <c r="BC228" s="138">
        <f>VLOOKUP($B228,'2022 counts'!$B$6:$AD$304,28,FALSE)</f>
        <v>2265</v>
      </c>
      <c r="BD228" s="138">
        <f>VLOOKUP($B228,'2022 counts'!$B$6:$AD$304,29,FALSE)</f>
        <v>2671</v>
      </c>
      <c r="BE228" s="11">
        <f t="shared" si="315"/>
        <v>0</v>
      </c>
      <c r="BF228" s="2" t="str">
        <f t="shared" si="316"/>
        <v>F</v>
      </c>
      <c r="BG228" s="135">
        <v>0.05</v>
      </c>
      <c r="BH228" s="135">
        <f>IF($AQ228="","",VLOOKUP($B228, '2022 counts'!$B$6:$T$304,19,FALSE))</f>
        <v>0.05</v>
      </c>
      <c r="BI228" s="38">
        <f t="shared" si="317"/>
        <v>0.05</v>
      </c>
      <c r="BJ228" s="39" t="str">
        <f t="shared" si="318"/>
        <v/>
      </c>
      <c r="BK228" s="15">
        <f>VLOOKUP($U228,'2020_CapacityTable'!$B$49:$F$71,2)</f>
        <v>11700</v>
      </c>
      <c r="BL228" s="15">
        <f>VLOOKUP($U228,'2020_CapacityTable'!$B$49:$F$71,3)</f>
        <v>18000</v>
      </c>
      <c r="BM228" s="15">
        <f>VLOOKUP($T228,'2020_CapacityTable'!$B$49:$F$71,4)</f>
        <v>24200</v>
      </c>
      <c r="BN228" s="15">
        <f>VLOOKUP($T228,'2020_CapacityTable'!$B$49:$F$71,5)</f>
        <v>32600</v>
      </c>
      <c r="BO228" s="15">
        <f t="shared" si="353"/>
        <v>11700</v>
      </c>
      <c r="BP228" s="15">
        <f t="shared" si="349"/>
        <v>18000</v>
      </c>
      <c r="BQ228" s="15">
        <f t="shared" si="350"/>
        <v>24200</v>
      </c>
      <c r="BR228" s="15">
        <f t="shared" si="351"/>
        <v>32600</v>
      </c>
      <c r="BS228" s="248">
        <v>1000000</v>
      </c>
      <c r="BT228" s="40">
        <f>'State of the System - Sumter Co'!AD228</f>
        <v>18161</v>
      </c>
      <c r="BU228" s="41">
        <f t="shared" si="354"/>
        <v>0.02</v>
      </c>
      <c r="BV228" s="2" t="str">
        <f t="shared" si="355"/>
        <v>D</v>
      </c>
      <c r="BW228" s="2">
        <f t="shared" si="325"/>
        <v>5.61</v>
      </c>
      <c r="BX228" s="15">
        <f>VLOOKUP($U228,'2020_CapacityTable'!$B$23:$F$45,2)</f>
        <v>580</v>
      </c>
      <c r="BY228" s="15">
        <f>VLOOKUP($U228,'2020_CapacityTable'!$B$23:$F$45,3)</f>
        <v>890</v>
      </c>
      <c r="BZ228" s="15">
        <f>VLOOKUP($U228,'2020_CapacityTable'!$B$23:$F$45,4)</f>
        <v>1200</v>
      </c>
      <c r="CA228" s="15">
        <f>VLOOKUP($U228,'2020_CapacityTable'!$B$23:$F$45,5)</f>
        <v>1610</v>
      </c>
      <c r="CB228" s="15">
        <f t="shared" si="356"/>
        <v>580</v>
      </c>
      <c r="CC228" s="15">
        <f t="shared" si="357"/>
        <v>890</v>
      </c>
      <c r="CD228" s="15">
        <f t="shared" si="358"/>
        <v>1200</v>
      </c>
      <c r="CE228" s="15">
        <f t="shared" si="359"/>
        <v>1610</v>
      </c>
      <c r="CF228" s="248">
        <v>1000000</v>
      </c>
      <c r="CG228" s="2">
        <f>'State of the System - Sumter Co'!AH228</f>
        <v>2891</v>
      </c>
      <c r="CH228" s="2">
        <f>'State of the System - Sumter Co'!AI228</f>
        <v>3409</v>
      </c>
      <c r="CI228" s="11">
        <f t="shared" si="330"/>
        <v>0</v>
      </c>
      <c r="CJ228" s="2" t="str">
        <f>IF(OR(CI228="",CI228="-"),"",IF(MAX(CG228,CH228)&lt;=$AX228,"B",IF(MAX(CG228,CH228)&lt;=$AY228,"C",IF(MAX(CG228,CH228)&lt;=$AZ228,"D",IF(MAX(CG228,CH228)&lt;=$BA228,"E","F")))))</f>
        <v>F</v>
      </c>
      <c r="CK228" s="3">
        <f t="shared" si="331"/>
        <v>35208</v>
      </c>
      <c r="CL228" s="11">
        <f t="shared" si="332"/>
        <v>0.52</v>
      </c>
      <c r="CM228" s="11" t="str">
        <f t="shared" si="333"/>
        <v>NOT CONGESTED</v>
      </c>
      <c r="CN228" s="3">
        <f t="shared" si="334"/>
        <v>1739</v>
      </c>
      <c r="CO228" s="11">
        <f t="shared" si="335"/>
        <v>1.96</v>
      </c>
      <c r="CP228" s="156" t="s">
        <v>681</v>
      </c>
      <c r="CQ228" s="2" t="s">
        <v>561</v>
      </c>
      <c r="CR228" s="43">
        <v>1</v>
      </c>
      <c r="CS228" s="11" t="str">
        <f t="shared" si="337"/>
        <v/>
      </c>
      <c r="CT228" s="11">
        <v>0</v>
      </c>
      <c r="CU228" s="11" t="str">
        <f t="shared" si="338"/>
        <v/>
      </c>
      <c r="CV228" s="11" t="str">
        <f t="shared" si="339"/>
        <v/>
      </c>
      <c r="CW228" s="3"/>
      <c r="CX228" s="1"/>
      <c r="CY228" s="145" t="str">
        <f t="shared" si="340"/>
        <v/>
      </c>
      <c r="CZ228" s="32" t="str">
        <f t="shared" si="341"/>
        <v/>
      </c>
    </row>
    <row r="229" spans="1:104" s="9" customFormat="1" ht="12.75" customHeight="1">
      <c r="A229" s="1">
        <v>35431101</v>
      </c>
      <c r="B229" s="1" t="str">
        <f t="shared" si="342"/>
        <v>2020-800</v>
      </c>
      <c r="C229" s="1">
        <v>800</v>
      </c>
      <c r="D229" s="1" t="str">
        <f>VLOOKUP(C229,'2022 counts'!$A$6:$B$304,2,FALSE)</f>
        <v>2020-800</v>
      </c>
      <c r="E229" s="1"/>
      <c r="F229" s="2" t="s">
        <v>25</v>
      </c>
      <c r="G229" s="156">
        <v>35</v>
      </c>
      <c r="H229" s="11">
        <v>0.92936948578599998</v>
      </c>
      <c r="I229" s="10" t="s">
        <v>726</v>
      </c>
      <c r="J229" s="10" t="s">
        <v>73</v>
      </c>
      <c r="K229" s="10" t="s">
        <v>702</v>
      </c>
      <c r="L229" s="157">
        <v>2</v>
      </c>
      <c r="M229" s="1">
        <f>'State of the System - Sumter Co'!K229</f>
        <v>2</v>
      </c>
      <c r="N229" s="1" t="str">
        <f>IF('State of the System - Sumter Co'!L229="URBAN","U","R")</f>
        <v>U</v>
      </c>
      <c r="O229" s="1" t="str">
        <f>IF('State of the System - Sumter Co'!M229="UNDIVIDED","U",IF('State of the System - Sumter Co'!M229="DIVIDED","D","F"))</f>
        <v>U</v>
      </c>
      <c r="P229" s="1" t="str">
        <f>'State of the System - Sumter Co'!N229</f>
        <v>INTERRUPTED</v>
      </c>
      <c r="Q229" s="1" t="str">
        <f t="shared" si="300"/>
        <v/>
      </c>
      <c r="R229" s="1" t="str">
        <f>'State of the System - Sumter Co'!O229</f>
        <v/>
      </c>
      <c r="S229" s="1" t="str">
        <f t="shared" si="363"/>
        <v>-2</v>
      </c>
      <c r="T229" s="1" t="str">
        <f t="shared" si="301"/>
        <v>U-2U-2</v>
      </c>
      <c r="U229" s="1" t="str">
        <f t="shared" si="352"/>
        <v>U-2U-2</v>
      </c>
      <c r="V229" s="1" t="s">
        <v>10</v>
      </c>
      <c r="W229" s="1" t="s">
        <v>11</v>
      </c>
      <c r="X229" s="1" t="s">
        <v>21</v>
      </c>
      <c r="Y229" s="1" t="str">
        <f>'State of the System - Sumter Co'!R229</f>
        <v>D</v>
      </c>
      <c r="Z229" s="157" t="str">
        <f t="shared" si="302"/>
        <v>Other CMP Network Roadways</v>
      </c>
      <c r="AA229" s="15">
        <f>VLOOKUP($T229,'2020_CapacityTable'!$B$49:$F$71,2)</f>
        <v>0</v>
      </c>
      <c r="AB229" s="15">
        <f>VLOOKUP($T229,'2020_CapacityTable'!$B$49:$F$71,3)</f>
        <v>7300</v>
      </c>
      <c r="AC229" s="15">
        <f>VLOOKUP($T229,'2020_CapacityTable'!$B$49:$F$71,4)</f>
        <v>14800</v>
      </c>
      <c r="AD229" s="15">
        <f>VLOOKUP($T229,'2020_CapacityTable'!$B$49:$F$71,5)</f>
        <v>15600</v>
      </c>
      <c r="AE229" s="35">
        <f>IF(V229&lt;&gt;"STATE",-10%,"")</f>
        <v>-0.1</v>
      </c>
      <c r="AF229" s="36" t="str">
        <f t="shared" si="303"/>
        <v/>
      </c>
      <c r="AG229" s="35"/>
      <c r="AH229" s="35" t="str">
        <f t="shared" si="365"/>
        <v/>
      </c>
      <c r="AI229" s="35"/>
      <c r="AJ229" s="36">
        <v>0.05</v>
      </c>
      <c r="AK229" s="15">
        <f t="shared" si="304"/>
        <v>0</v>
      </c>
      <c r="AL229" s="15">
        <f t="shared" si="305"/>
        <v>6935</v>
      </c>
      <c r="AM229" s="15">
        <f t="shared" si="306"/>
        <v>14060</v>
      </c>
      <c r="AN229" s="15">
        <f t="shared" si="307"/>
        <v>14820</v>
      </c>
      <c r="AO229" s="3">
        <f t="shared" ref="AO229:AO260" si="366">IF(Y229="","",IF(Y229="B",AK229,IF(Y229="C",AL229,IF(Y229="D",AM229,AN229))))</f>
        <v>14060</v>
      </c>
      <c r="AP229" s="138">
        <f>VLOOKUP($B229,'2022 counts'!$B$6:$R$304,17,FALSE)</f>
        <v>7717.7199999999721</v>
      </c>
      <c r="AQ229" s="11">
        <f t="shared" si="308"/>
        <v>0.55000000000000004</v>
      </c>
      <c r="AR229" s="2" t="str">
        <f t="shared" si="309"/>
        <v>D</v>
      </c>
      <c r="AS229" s="26">
        <f t="shared" si="310"/>
        <v>2.62</v>
      </c>
      <c r="AT229" s="15">
        <f>VLOOKUP($T229,'2020_CapacityTable'!$B$23:$F$45,2)</f>
        <v>0</v>
      </c>
      <c r="AU229" s="15">
        <f>VLOOKUP($T229,'2020_CapacityTable'!$B$23:$F$45,3)</f>
        <v>370</v>
      </c>
      <c r="AV229" s="15">
        <f>VLOOKUP($T229,'2020_CapacityTable'!$B$23:$F$45,4)</f>
        <v>750</v>
      </c>
      <c r="AW229" s="15">
        <f>VLOOKUP($T229,'2020_CapacityTable'!$B$23:$F$45,5)</f>
        <v>800</v>
      </c>
      <c r="AX229" s="15">
        <f t="shared" si="311"/>
        <v>0</v>
      </c>
      <c r="AY229" s="15">
        <f t="shared" si="312"/>
        <v>352</v>
      </c>
      <c r="AZ229" s="15">
        <f t="shared" si="313"/>
        <v>713</v>
      </c>
      <c r="BA229" s="15">
        <f t="shared" si="314"/>
        <v>760</v>
      </c>
      <c r="BB229" s="3">
        <f t="shared" ref="BB229:BB260" si="367">IF(Y229="","",IF(Y229="B",AX229,IF(Y229="C",AY229,IF(Y229="D",AZ229,BA229))))</f>
        <v>713</v>
      </c>
      <c r="BC229" s="138">
        <f>VLOOKUP($B229,'2022 counts'!$B$6:$AD$304,28,FALSE)</f>
        <v>271</v>
      </c>
      <c r="BD229" s="138">
        <f>VLOOKUP($B229,'2022 counts'!$B$6:$AD$304,29,FALSE)</f>
        <v>372</v>
      </c>
      <c r="BE229" s="11">
        <f t="shared" si="315"/>
        <v>0.52</v>
      </c>
      <c r="BF229" s="2" t="str">
        <f t="shared" si="316"/>
        <v>D</v>
      </c>
      <c r="BG229" s="135">
        <v>4.7500000000000001E-2</v>
      </c>
      <c r="BH229" s="135">
        <f>IF($AQ229="","",VLOOKUP($B229, '2022 counts'!$B$6:$T$304,19,FALSE))</f>
        <v>4.7500000000000001E-2</v>
      </c>
      <c r="BI229" s="38">
        <f t="shared" si="317"/>
        <v>4.7500000000000001E-2</v>
      </c>
      <c r="BJ229" s="39" t="str">
        <f t="shared" si="318"/>
        <v/>
      </c>
      <c r="BK229" s="15">
        <f>VLOOKUP($U229,'2020_CapacityTable'!$B$49:$F$71,2)</f>
        <v>0</v>
      </c>
      <c r="BL229" s="15">
        <f>VLOOKUP($U229,'2020_CapacityTable'!$B$49:$F$71,3)</f>
        <v>7300</v>
      </c>
      <c r="BM229" s="15">
        <f>VLOOKUP($T229,'2020_CapacityTable'!$B$49:$F$71,4)</f>
        <v>14800</v>
      </c>
      <c r="BN229" s="15">
        <f>VLOOKUP($T229,'2020_CapacityTable'!$B$49:$F$71,5)</f>
        <v>15600</v>
      </c>
      <c r="BO229" s="15">
        <f t="shared" si="353"/>
        <v>0</v>
      </c>
      <c r="BP229" s="15">
        <f t="shared" si="349"/>
        <v>6935</v>
      </c>
      <c r="BQ229" s="15">
        <f t="shared" si="350"/>
        <v>14060</v>
      </c>
      <c r="BR229" s="15">
        <f t="shared" si="351"/>
        <v>14820</v>
      </c>
      <c r="BS229" s="3">
        <f t="shared" ref="BS229:BS260" si="368">IF($Y229="","",IF($Y229="B",BO229,IF($Y229="C",BP229,IF($Y229="D",BQ229,BR229))))</f>
        <v>14060</v>
      </c>
      <c r="BT229" s="40">
        <f>'State of the System - Sumter Co'!AD229</f>
        <v>9733</v>
      </c>
      <c r="BU229" s="41">
        <f t="shared" si="354"/>
        <v>0.69</v>
      </c>
      <c r="BV229" s="2" t="str">
        <f t="shared" si="355"/>
        <v>D</v>
      </c>
      <c r="BW229" s="2">
        <f t="shared" si="325"/>
        <v>3.3</v>
      </c>
      <c r="BX229" s="15">
        <f>VLOOKUP($U229,'2020_CapacityTable'!$B$23:$F$45,2)</f>
        <v>0</v>
      </c>
      <c r="BY229" s="15">
        <f>VLOOKUP($U229,'2020_CapacityTable'!$B$23:$F$45,3)</f>
        <v>370</v>
      </c>
      <c r="BZ229" s="15">
        <f>VLOOKUP($U229,'2020_CapacityTable'!$B$23:$F$45,4)</f>
        <v>750</v>
      </c>
      <c r="CA229" s="15">
        <f>VLOOKUP($U229,'2020_CapacityTable'!$B$23:$F$45,5)</f>
        <v>800</v>
      </c>
      <c r="CB229" s="15">
        <f t="shared" si="356"/>
        <v>0</v>
      </c>
      <c r="CC229" s="15">
        <f t="shared" si="357"/>
        <v>352</v>
      </c>
      <c r="CD229" s="15">
        <f t="shared" si="358"/>
        <v>713</v>
      </c>
      <c r="CE229" s="15">
        <f t="shared" si="359"/>
        <v>760</v>
      </c>
      <c r="CF229" s="3">
        <f t="shared" ref="CF229:CF260" si="369">IF($Y229="","",IF($Y229="B",CB229,IF($Y229="C",CC229,IF($Y229="D",CD229,CE229))))</f>
        <v>713</v>
      </c>
      <c r="CG229" s="2">
        <f>'State of the System - Sumter Co'!AH229</f>
        <v>342</v>
      </c>
      <c r="CH229" s="2">
        <f>'State of the System - Sumter Co'!AI229</f>
        <v>469</v>
      </c>
      <c r="CI229" s="11">
        <f t="shared" si="330"/>
        <v>0.66</v>
      </c>
      <c r="CJ229" s="2" t="str">
        <f t="shared" ref="CJ229:CJ260" si="370">IF(OR(CI229="",CI229="-",CI229=0),"",IF(MAX(CG229,CH229)&lt;=$AX229,"B",IF(MAX(CG229,CH229)&lt;=$AY229,"C",IF(MAX(CG229,CH229)&lt;=$AZ229,"D",IF(MAX(CG229,CH229)&lt;=$BA229,"E","F")))))</f>
        <v>D</v>
      </c>
      <c r="CK229" s="3">
        <f t="shared" si="331"/>
        <v>16006</v>
      </c>
      <c r="CL229" s="11">
        <f t="shared" si="332"/>
        <v>0.61</v>
      </c>
      <c r="CM229" s="11" t="str">
        <f t="shared" si="333"/>
        <v>NOT CONGESTED</v>
      </c>
      <c r="CN229" s="3">
        <f t="shared" si="334"/>
        <v>821</v>
      </c>
      <c r="CO229" s="11">
        <f t="shared" si="335"/>
        <v>0.56999999999999995</v>
      </c>
      <c r="CP229" s="156" t="str">
        <f t="shared" ref="CP229:CP260" si="371">IF(OR(CO229="",CO229=0),"",IF(OR(BC229&gt;CN229,BD229&gt;CN229),"EXTREMELY (2020)",IF(CO229&gt;1,"EXTREMELY (2025)",IF(BE229&gt;1,"CONGESTED (2020)",IF(CI229&gt;1,"CONGESTED (2025)",IF(OR(BE229&gt;=0.9,CI229&gt;=0.9),"APPROACHING CONGESTION","NOT CONGESTED"))))))</f>
        <v>NOT CONGESTED</v>
      </c>
      <c r="CQ229" s="2"/>
      <c r="CR229" s="42"/>
      <c r="CS229" s="11" t="str">
        <f t="shared" si="337"/>
        <v/>
      </c>
      <c r="CT229" s="11" t="str">
        <f t="shared" ref="CT229:CT260" si="372">IF(OR(BT229="",BV229="",BU229&lt;1),"",ROUND(H229,2))</f>
        <v/>
      </c>
      <c r="CU229" s="11" t="str">
        <f t="shared" si="338"/>
        <v/>
      </c>
      <c r="CV229" s="11" t="str">
        <f t="shared" si="339"/>
        <v/>
      </c>
      <c r="CW229" s="3"/>
      <c r="CX229" s="1"/>
      <c r="CY229" s="145" t="str">
        <f t="shared" si="340"/>
        <v/>
      </c>
      <c r="CZ229" s="32" t="str">
        <f t="shared" si="341"/>
        <v/>
      </c>
    </row>
    <row r="230" spans="1:104" s="7" customFormat="1" ht="12.75" customHeight="1">
      <c r="A230" s="1">
        <v>35431102</v>
      </c>
      <c r="B230" s="1">
        <f t="shared" si="342"/>
        <v>47</v>
      </c>
      <c r="C230" s="1">
        <v>67</v>
      </c>
      <c r="D230" s="1">
        <f>VLOOKUP(C230,'2022 counts'!$A$6:$B$304,2,FALSE)</f>
        <v>47</v>
      </c>
      <c r="E230" s="1"/>
      <c r="F230" s="2" t="s">
        <v>6</v>
      </c>
      <c r="G230" s="156">
        <v>35</v>
      </c>
      <c r="H230" s="11">
        <v>0.82389015791599995</v>
      </c>
      <c r="I230" s="10" t="s">
        <v>726</v>
      </c>
      <c r="J230" s="10" t="s">
        <v>702</v>
      </c>
      <c r="K230" s="10" t="s">
        <v>18</v>
      </c>
      <c r="L230" s="157">
        <v>2</v>
      </c>
      <c r="M230" s="1">
        <f>'State of the System - Sumter Co'!K230</f>
        <v>2</v>
      </c>
      <c r="N230" s="1" t="str">
        <f>IF('State of the System - Sumter Co'!L230="URBAN","U","R")</f>
        <v>U</v>
      </c>
      <c r="O230" s="1" t="str">
        <f>IF('State of the System - Sumter Co'!M230="UNDIVIDED","U",IF('State of the System - Sumter Co'!M230="DIVIDED","D","F"))</f>
        <v>U</v>
      </c>
      <c r="P230" s="1" t="str">
        <f>'State of the System - Sumter Co'!N230</f>
        <v>INTERRUPTED</v>
      </c>
      <c r="Q230" s="1" t="str">
        <f t="shared" si="300"/>
        <v/>
      </c>
      <c r="R230" s="1" t="str">
        <f>'State of the System - Sumter Co'!O230</f>
        <v/>
      </c>
      <c r="S230" s="1" t="str">
        <f t="shared" si="363"/>
        <v>-2</v>
      </c>
      <c r="T230" s="1" t="str">
        <f t="shared" si="301"/>
        <v>U-2U-2</v>
      </c>
      <c r="U230" s="1" t="str">
        <f t="shared" si="352"/>
        <v>U-2U-2</v>
      </c>
      <c r="V230" s="1" t="s">
        <v>10</v>
      </c>
      <c r="W230" s="1" t="s">
        <v>11</v>
      </c>
      <c r="X230" s="1" t="s">
        <v>21</v>
      </c>
      <c r="Y230" s="1" t="str">
        <f>'State of the System - Sumter Co'!R230</f>
        <v>D</v>
      </c>
      <c r="Z230" s="157" t="str">
        <f t="shared" si="302"/>
        <v>Other CMP Network Roadways</v>
      </c>
      <c r="AA230" s="15">
        <f>VLOOKUP($T230,'2020_CapacityTable'!$B$49:$F$71,2)</f>
        <v>0</v>
      </c>
      <c r="AB230" s="15">
        <f>VLOOKUP($T230,'2020_CapacityTable'!$B$49:$F$71,3)</f>
        <v>7300</v>
      </c>
      <c r="AC230" s="15">
        <f>VLOOKUP($T230,'2020_CapacityTable'!$B$49:$F$71,4)</f>
        <v>14800</v>
      </c>
      <c r="AD230" s="15">
        <f>VLOOKUP($T230,'2020_CapacityTable'!$B$49:$F$71,5)</f>
        <v>15600</v>
      </c>
      <c r="AE230" s="35">
        <f>IF(V230&lt;&gt;"STATE",-10%,"")</f>
        <v>-0.1</v>
      </c>
      <c r="AF230" s="36" t="str">
        <f t="shared" si="303"/>
        <v/>
      </c>
      <c r="AG230" s="35"/>
      <c r="AH230" s="35" t="str">
        <f t="shared" si="365"/>
        <v/>
      </c>
      <c r="AI230" s="35"/>
      <c r="AJ230" s="36"/>
      <c r="AK230" s="15">
        <f t="shared" si="304"/>
        <v>0</v>
      </c>
      <c r="AL230" s="15">
        <f t="shared" si="305"/>
        <v>6570</v>
      </c>
      <c r="AM230" s="15">
        <f t="shared" si="306"/>
        <v>13320</v>
      </c>
      <c r="AN230" s="15">
        <f t="shared" si="307"/>
        <v>14040</v>
      </c>
      <c r="AO230" s="3">
        <f t="shared" si="366"/>
        <v>13320</v>
      </c>
      <c r="AP230" s="138">
        <f>VLOOKUP($B230,'2022 counts'!$B$6:$R$304,17,FALSE)</f>
        <v>7136</v>
      </c>
      <c r="AQ230" s="11">
        <f t="shared" si="308"/>
        <v>0.54</v>
      </c>
      <c r="AR230" s="2" t="str">
        <f t="shared" si="309"/>
        <v>D</v>
      </c>
      <c r="AS230" s="26">
        <f t="shared" si="310"/>
        <v>2.15</v>
      </c>
      <c r="AT230" s="15">
        <f>VLOOKUP($T230,'2020_CapacityTable'!$B$23:$F$45,2)</f>
        <v>0</v>
      </c>
      <c r="AU230" s="15">
        <f>VLOOKUP($T230,'2020_CapacityTable'!$B$23:$F$45,3)</f>
        <v>370</v>
      </c>
      <c r="AV230" s="15">
        <f>VLOOKUP($T230,'2020_CapacityTable'!$B$23:$F$45,4)</f>
        <v>750</v>
      </c>
      <c r="AW230" s="15">
        <f>VLOOKUP($T230,'2020_CapacityTable'!$B$23:$F$45,5)</f>
        <v>800</v>
      </c>
      <c r="AX230" s="15">
        <f t="shared" si="311"/>
        <v>0</v>
      </c>
      <c r="AY230" s="15">
        <f t="shared" si="312"/>
        <v>333</v>
      </c>
      <c r="AZ230" s="15">
        <f t="shared" si="313"/>
        <v>675</v>
      </c>
      <c r="BA230" s="15">
        <f t="shared" si="314"/>
        <v>720</v>
      </c>
      <c r="BB230" s="3">
        <f t="shared" si="367"/>
        <v>675</v>
      </c>
      <c r="BC230" s="138">
        <f>VLOOKUP($B230,'2022 counts'!$B$6:$AD$304,28,FALSE)</f>
        <v>278</v>
      </c>
      <c r="BD230" s="138">
        <f>VLOOKUP($B230,'2022 counts'!$B$6:$AD$304,29,FALSE)</f>
        <v>365</v>
      </c>
      <c r="BE230" s="11">
        <f t="shared" si="315"/>
        <v>0.54</v>
      </c>
      <c r="BF230" s="2" t="str">
        <f t="shared" si="316"/>
        <v>D</v>
      </c>
      <c r="BG230" s="135">
        <v>2.75E-2</v>
      </c>
      <c r="BH230" s="135">
        <f>IF($AQ230="","",VLOOKUP($B230, '2022 counts'!$B$6:$T$304,19,FALSE))</f>
        <v>2.75E-2</v>
      </c>
      <c r="BI230" s="38">
        <f t="shared" si="317"/>
        <v>2.75E-2</v>
      </c>
      <c r="BJ230" s="39" t="str">
        <f t="shared" si="318"/>
        <v/>
      </c>
      <c r="BK230" s="15">
        <f>VLOOKUP($U230,'2020_CapacityTable'!$B$49:$F$71,2)</f>
        <v>0</v>
      </c>
      <c r="BL230" s="15">
        <f>VLOOKUP($U230,'2020_CapacityTable'!$B$49:$F$71,3)</f>
        <v>7300</v>
      </c>
      <c r="BM230" s="15">
        <f>VLOOKUP($T230,'2020_CapacityTable'!$B$49:$F$71,4)</f>
        <v>14800</v>
      </c>
      <c r="BN230" s="15">
        <f>VLOOKUP($T230,'2020_CapacityTable'!$B$49:$F$71,5)</f>
        <v>15600</v>
      </c>
      <c r="BO230" s="15">
        <f t="shared" si="353"/>
        <v>0</v>
      </c>
      <c r="BP230" s="15">
        <f t="shared" si="349"/>
        <v>6570</v>
      </c>
      <c r="BQ230" s="15">
        <f t="shared" si="350"/>
        <v>13320</v>
      </c>
      <c r="BR230" s="15">
        <f t="shared" si="351"/>
        <v>14040</v>
      </c>
      <c r="BS230" s="3">
        <f t="shared" si="368"/>
        <v>13320</v>
      </c>
      <c r="BT230" s="40">
        <f>'State of the System - Sumter Co'!AD230</f>
        <v>8173</v>
      </c>
      <c r="BU230" s="41">
        <f t="shared" si="354"/>
        <v>0.61</v>
      </c>
      <c r="BV230" s="2" t="str">
        <f t="shared" si="355"/>
        <v>D</v>
      </c>
      <c r="BW230" s="2">
        <f t="shared" si="325"/>
        <v>2.46</v>
      </c>
      <c r="BX230" s="15">
        <f>VLOOKUP($U230,'2020_CapacityTable'!$B$23:$F$45,2)</f>
        <v>0</v>
      </c>
      <c r="BY230" s="15">
        <f>VLOOKUP($U230,'2020_CapacityTable'!$B$23:$F$45,3)</f>
        <v>370</v>
      </c>
      <c r="BZ230" s="15">
        <f>VLOOKUP($U230,'2020_CapacityTable'!$B$23:$F$45,4)</f>
        <v>750</v>
      </c>
      <c r="CA230" s="15">
        <f>VLOOKUP($U230,'2020_CapacityTable'!$B$23:$F$45,5)</f>
        <v>800</v>
      </c>
      <c r="CB230" s="15">
        <f t="shared" si="356"/>
        <v>0</v>
      </c>
      <c r="CC230" s="15">
        <f t="shared" si="357"/>
        <v>333</v>
      </c>
      <c r="CD230" s="15">
        <f t="shared" si="358"/>
        <v>675</v>
      </c>
      <c r="CE230" s="15">
        <f t="shared" si="359"/>
        <v>720</v>
      </c>
      <c r="CF230" s="3">
        <f t="shared" si="369"/>
        <v>675</v>
      </c>
      <c r="CG230" s="2">
        <f>'State of the System - Sumter Co'!AH230</f>
        <v>318</v>
      </c>
      <c r="CH230" s="2">
        <f>'State of the System - Sumter Co'!AI230</f>
        <v>418</v>
      </c>
      <c r="CI230" s="11">
        <f t="shared" si="330"/>
        <v>0.62</v>
      </c>
      <c r="CJ230" s="2" t="str">
        <f t="shared" si="370"/>
        <v>D</v>
      </c>
      <c r="CK230" s="3">
        <f t="shared" si="331"/>
        <v>15163</v>
      </c>
      <c r="CL230" s="11">
        <f t="shared" si="332"/>
        <v>0.54</v>
      </c>
      <c r="CM230" s="11" t="str">
        <f t="shared" si="333"/>
        <v>NOT CONGESTED</v>
      </c>
      <c r="CN230" s="3">
        <f t="shared" si="334"/>
        <v>778</v>
      </c>
      <c r="CO230" s="11">
        <f t="shared" si="335"/>
        <v>0.54</v>
      </c>
      <c r="CP230" s="156" t="str">
        <f t="shared" si="371"/>
        <v>NOT CONGESTED</v>
      </c>
      <c r="CQ230" s="2"/>
      <c r="CR230" s="42"/>
      <c r="CS230" s="11" t="str">
        <f t="shared" si="337"/>
        <v/>
      </c>
      <c r="CT230" s="11" t="str">
        <f t="shared" si="372"/>
        <v/>
      </c>
      <c r="CU230" s="11" t="str">
        <f t="shared" si="338"/>
        <v/>
      </c>
      <c r="CV230" s="11" t="str">
        <f t="shared" si="339"/>
        <v/>
      </c>
      <c r="CW230" s="3"/>
      <c r="CX230" s="1"/>
      <c r="CY230" s="145" t="str">
        <f t="shared" si="340"/>
        <v/>
      </c>
      <c r="CZ230" s="32" t="str">
        <f t="shared" si="341"/>
        <v/>
      </c>
    </row>
    <row r="231" spans="1:104">
      <c r="A231" s="1">
        <v>35480001</v>
      </c>
      <c r="B231" s="1">
        <f t="shared" si="342"/>
        <v>180197</v>
      </c>
      <c r="C231" s="1">
        <v>180197</v>
      </c>
      <c r="D231" s="1">
        <f>VLOOKUP(C231,'2022 counts'!$A$6:$B$304,2,FALSE)</f>
        <v>180197</v>
      </c>
      <c r="E231" s="1">
        <v>180197</v>
      </c>
      <c r="F231" s="2" t="s">
        <v>136</v>
      </c>
      <c r="G231" s="156">
        <v>60</v>
      </c>
      <c r="H231" s="11">
        <v>16.7296825068</v>
      </c>
      <c r="I231" s="10" t="s">
        <v>81</v>
      </c>
      <c r="J231" s="10" t="s">
        <v>142</v>
      </c>
      <c r="K231" s="10" t="s">
        <v>62</v>
      </c>
      <c r="L231" s="157">
        <v>2</v>
      </c>
      <c r="M231" s="1">
        <f>'State of the System - Sumter Co'!K231</f>
        <v>2</v>
      </c>
      <c r="N231" s="1" t="str">
        <f>IF('State of the System - Sumter Co'!L231="URBAN","U","R")</f>
        <v>R</v>
      </c>
      <c r="O231" s="1" t="str">
        <f>IF('State of the System - Sumter Co'!M231="UNDIVIDED","U",IF('State of the System - Sumter Co'!M231="DIVIDED","D","F"))</f>
        <v>U</v>
      </c>
      <c r="P231" s="1" t="str">
        <f>'State of the System - Sumter Co'!N231</f>
        <v>UNINTERRUPTED</v>
      </c>
      <c r="Q231" s="1" t="str">
        <f t="shared" si="300"/>
        <v>z</v>
      </c>
      <c r="R231" s="1" t="str">
        <f>'State of the System - Sumter Co'!O231</f>
        <v>UNDEVELOPED</v>
      </c>
      <c r="S231" s="1" t="str">
        <f t="shared" si="363"/>
        <v/>
      </c>
      <c r="T231" s="1" t="str">
        <f t="shared" si="301"/>
        <v>R-2Uz</v>
      </c>
      <c r="U231" s="1" t="str">
        <f t="shared" si="352"/>
        <v>R-2Uz</v>
      </c>
      <c r="V231" s="1" t="s">
        <v>137</v>
      </c>
      <c r="W231" s="1" t="s">
        <v>11</v>
      </c>
      <c r="X231" s="1" t="s">
        <v>138</v>
      </c>
      <c r="Y231" s="1" t="str">
        <f>'State of the System - Sumter Co'!R231</f>
        <v>C</v>
      </c>
      <c r="Z231" s="157" t="str">
        <f t="shared" si="302"/>
        <v>NHS Non-Interstate</v>
      </c>
      <c r="AA231" s="15">
        <f>VLOOKUP($T231,'2020_CapacityTable'!$B$49:$F$71,2)</f>
        <v>4600</v>
      </c>
      <c r="AB231" s="15">
        <f>VLOOKUP($T231,'2020_CapacityTable'!$B$49:$F$71,3)</f>
        <v>8600</v>
      </c>
      <c r="AC231" s="15">
        <f>VLOOKUP($T231,'2020_CapacityTable'!$B$49:$F$71,4)</f>
        <v>14000</v>
      </c>
      <c r="AD231" s="15">
        <f>VLOOKUP($T231,'2020_CapacityTable'!$B$49:$F$71,5)</f>
        <v>28500</v>
      </c>
      <c r="AE231" s="35" t="str">
        <f>IF(V231&lt;&gt;"STATE",-10%,"")</f>
        <v/>
      </c>
      <c r="AF231" s="36" t="str">
        <f t="shared" si="303"/>
        <v/>
      </c>
      <c r="AG231" s="35"/>
      <c r="AH231" s="35" t="str">
        <f t="shared" si="365"/>
        <v/>
      </c>
      <c r="AI231" s="35"/>
      <c r="AJ231" s="36"/>
      <c r="AK231" s="15">
        <f t="shared" si="304"/>
        <v>4600</v>
      </c>
      <c r="AL231" s="15">
        <f t="shared" si="305"/>
        <v>8600</v>
      </c>
      <c r="AM231" s="15">
        <f t="shared" si="306"/>
        <v>14000</v>
      </c>
      <c r="AN231" s="15">
        <f t="shared" si="307"/>
        <v>28500</v>
      </c>
      <c r="AO231" s="3">
        <f t="shared" si="366"/>
        <v>8600</v>
      </c>
      <c r="AP231" s="138">
        <f>VLOOKUP($B231,'2022 counts'!$B$6:$R$304,17,FALSE)</f>
        <v>4080</v>
      </c>
      <c r="AQ231" s="11">
        <f t="shared" si="308"/>
        <v>0.47</v>
      </c>
      <c r="AR231" s="2" t="str">
        <f t="shared" si="309"/>
        <v>B</v>
      </c>
      <c r="AS231" s="26">
        <f t="shared" si="310"/>
        <v>24.91</v>
      </c>
      <c r="AT231" s="15">
        <f>VLOOKUP($T231,'2020_CapacityTable'!$B$23:$F$45,2)</f>
        <v>240</v>
      </c>
      <c r="AU231" s="15">
        <f>VLOOKUP($T231,'2020_CapacityTable'!$B$23:$F$45,3)</f>
        <v>450</v>
      </c>
      <c r="AV231" s="15">
        <f>VLOOKUP($T231,'2020_CapacityTable'!$B$23:$F$45,4)</f>
        <v>730</v>
      </c>
      <c r="AW231" s="15">
        <f>VLOOKUP($T231,'2020_CapacityTable'!$B$23:$F$45,5)</f>
        <v>1490</v>
      </c>
      <c r="AX231" s="15">
        <f t="shared" si="311"/>
        <v>240</v>
      </c>
      <c r="AY231" s="15">
        <f t="shared" si="312"/>
        <v>450</v>
      </c>
      <c r="AZ231" s="15">
        <f t="shared" si="313"/>
        <v>730</v>
      </c>
      <c r="BA231" s="15">
        <f t="shared" si="314"/>
        <v>1490</v>
      </c>
      <c r="BB231" s="3">
        <f t="shared" si="367"/>
        <v>450</v>
      </c>
      <c r="BC231" s="138">
        <f>VLOOKUP($B231,'2022 counts'!$B$6:$AD$304,28,FALSE)</f>
        <v>156</v>
      </c>
      <c r="BD231" s="138">
        <f>VLOOKUP($B231,'2022 counts'!$B$6:$AD$304,29,FALSE)</f>
        <v>170</v>
      </c>
      <c r="BE231" s="11">
        <f t="shared" si="315"/>
        <v>0.38</v>
      </c>
      <c r="BF231" s="2" t="str">
        <f t="shared" si="316"/>
        <v>B</v>
      </c>
      <c r="BG231" s="135">
        <v>4.2500000000000003E-2</v>
      </c>
      <c r="BH231" s="135">
        <f>IF($AQ231="","",VLOOKUP($B231, '2022 counts'!$B$6:$T$304,19,FALSE))</f>
        <v>4.2500000000000003E-2</v>
      </c>
      <c r="BI231" s="38">
        <f t="shared" si="317"/>
        <v>4.2500000000000003E-2</v>
      </c>
      <c r="BJ231" s="39" t="str">
        <f t="shared" si="318"/>
        <v/>
      </c>
      <c r="BK231" s="15">
        <f>VLOOKUP($U231,'2020_CapacityTable'!$B$49:$F$71,2)</f>
        <v>4600</v>
      </c>
      <c r="BL231" s="15">
        <f>VLOOKUP($U231,'2020_CapacityTable'!$B$49:$F$71,3)</f>
        <v>8600</v>
      </c>
      <c r="BM231" s="15">
        <f>VLOOKUP($T231,'2020_CapacityTable'!$B$49:$F$71,4)</f>
        <v>14000</v>
      </c>
      <c r="BN231" s="15">
        <f>VLOOKUP($T231,'2020_CapacityTable'!$B$49:$F$71,5)</f>
        <v>28500</v>
      </c>
      <c r="BO231" s="15">
        <f t="shared" si="353"/>
        <v>4600</v>
      </c>
      <c r="BP231" s="15">
        <f t="shared" si="349"/>
        <v>8600</v>
      </c>
      <c r="BQ231" s="15">
        <f t="shared" si="350"/>
        <v>14000</v>
      </c>
      <c r="BR231" s="15">
        <f t="shared" si="351"/>
        <v>28500</v>
      </c>
      <c r="BS231" s="3">
        <f t="shared" si="368"/>
        <v>8600</v>
      </c>
      <c r="BT231" s="40">
        <f>'State of the System - Sumter Co'!AD231</f>
        <v>5024</v>
      </c>
      <c r="BU231" s="41">
        <f t="shared" si="354"/>
        <v>0.57999999999999996</v>
      </c>
      <c r="BV231" s="2" t="str">
        <f t="shared" si="355"/>
        <v>C</v>
      </c>
      <c r="BW231" s="2">
        <f t="shared" si="325"/>
        <v>30.68</v>
      </c>
      <c r="BX231" s="15">
        <f>VLOOKUP($U231,'2020_CapacityTable'!$B$23:$F$45,2)</f>
        <v>240</v>
      </c>
      <c r="BY231" s="15">
        <f>VLOOKUP($U231,'2020_CapacityTable'!$B$23:$F$45,3)</f>
        <v>450</v>
      </c>
      <c r="BZ231" s="15">
        <f>VLOOKUP($U231,'2020_CapacityTable'!$B$23:$F$45,4)</f>
        <v>730</v>
      </c>
      <c r="CA231" s="15">
        <f>VLOOKUP($U231,'2020_CapacityTable'!$B$23:$F$45,5)</f>
        <v>1490</v>
      </c>
      <c r="CB231" s="15">
        <f t="shared" si="356"/>
        <v>240</v>
      </c>
      <c r="CC231" s="15">
        <f t="shared" si="357"/>
        <v>450</v>
      </c>
      <c r="CD231" s="15">
        <f t="shared" si="358"/>
        <v>730</v>
      </c>
      <c r="CE231" s="15">
        <f t="shared" si="359"/>
        <v>1490</v>
      </c>
      <c r="CF231" s="3">
        <f t="shared" si="369"/>
        <v>450</v>
      </c>
      <c r="CG231" s="2">
        <f>'State of the System - Sumter Co'!AH231</f>
        <v>192</v>
      </c>
      <c r="CH231" s="2">
        <f>'State of the System - Sumter Co'!AI231</f>
        <v>209</v>
      </c>
      <c r="CI231" s="11">
        <f t="shared" si="330"/>
        <v>0.46</v>
      </c>
      <c r="CJ231" s="2" t="str">
        <f t="shared" si="370"/>
        <v>B</v>
      </c>
      <c r="CK231" s="3">
        <f t="shared" si="331"/>
        <v>30780</v>
      </c>
      <c r="CL231" s="11">
        <f t="shared" si="332"/>
        <v>0.16</v>
      </c>
      <c r="CM231" s="11" t="str">
        <f t="shared" si="333"/>
        <v>NOT CONGESTED</v>
      </c>
      <c r="CN231" s="3">
        <f t="shared" si="334"/>
        <v>1609</v>
      </c>
      <c r="CO231" s="11">
        <f t="shared" si="335"/>
        <v>0.13</v>
      </c>
      <c r="CP231" s="156" t="str">
        <f t="shared" si="371"/>
        <v>NOT CONGESTED</v>
      </c>
      <c r="CQ231" s="2"/>
      <c r="CR231" s="42"/>
      <c r="CS231" s="11" t="str">
        <f t="shared" si="337"/>
        <v/>
      </c>
      <c r="CT231" s="11" t="str">
        <f t="shared" si="372"/>
        <v/>
      </c>
      <c r="CU231" s="11" t="str">
        <f t="shared" si="338"/>
        <v/>
      </c>
      <c r="CV231" s="11" t="str">
        <f t="shared" si="339"/>
        <v/>
      </c>
      <c r="CW231" s="3"/>
      <c r="CX231" s="1"/>
      <c r="CY231" s="145" t="str">
        <f t="shared" si="340"/>
        <v/>
      </c>
      <c r="CZ231" s="32" t="str">
        <f t="shared" si="341"/>
        <v/>
      </c>
    </row>
    <row r="232" spans="1:104">
      <c r="A232" s="1">
        <v>35501001</v>
      </c>
      <c r="B232" s="1">
        <f t="shared" si="342"/>
        <v>42</v>
      </c>
      <c r="C232" s="1">
        <v>60</v>
      </c>
      <c r="D232" s="1">
        <f>VLOOKUP(C232,'2022 counts'!$A$6:$B$304,2,FALSE)</f>
        <v>42</v>
      </c>
      <c r="E232" s="1"/>
      <c r="F232" s="2" t="s">
        <v>6</v>
      </c>
      <c r="G232" s="156">
        <v>35</v>
      </c>
      <c r="H232" s="11">
        <v>1.78376535404</v>
      </c>
      <c r="I232" s="10" t="s">
        <v>733</v>
      </c>
      <c r="J232" s="10" t="s">
        <v>71</v>
      </c>
      <c r="K232" s="10" t="s">
        <v>66</v>
      </c>
      <c r="L232" s="157">
        <v>2</v>
      </c>
      <c r="M232" s="1">
        <f>'State of the System - Sumter Co'!K232</f>
        <v>2</v>
      </c>
      <c r="N232" s="1" t="str">
        <f>IF('State of the System - Sumter Co'!L232="URBAN","U","R")</f>
        <v>U</v>
      </c>
      <c r="O232" s="1" t="str">
        <f>IF('State of the System - Sumter Co'!M232="UNDIVIDED","U",IF('State of the System - Sumter Co'!M232="DIVIDED","D","F"))</f>
        <v>U</v>
      </c>
      <c r="P232" s="1" t="str">
        <f>'State of the System - Sumter Co'!N232</f>
        <v>UNINTERRUPTED</v>
      </c>
      <c r="Q232" s="1" t="str">
        <f t="shared" si="300"/>
        <v/>
      </c>
      <c r="R232" s="1" t="str">
        <f>'State of the System - Sumter Co'!O232</f>
        <v/>
      </c>
      <c r="S232" s="1" t="str">
        <f t="shared" si="363"/>
        <v>-x</v>
      </c>
      <c r="T232" s="1" t="str">
        <f t="shared" si="301"/>
        <v>U-2U-x</v>
      </c>
      <c r="U232" s="1" t="str">
        <f t="shared" si="352"/>
        <v>U-2U-x</v>
      </c>
      <c r="V232" s="1" t="s">
        <v>10</v>
      </c>
      <c r="W232" s="1" t="s">
        <v>11</v>
      </c>
      <c r="X232" s="1" t="s">
        <v>69</v>
      </c>
      <c r="Y232" s="1" t="str">
        <f>'State of the System - Sumter Co'!R232</f>
        <v>D</v>
      </c>
      <c r="Z232" s="157" t="str">
        <f t="shared" si="302"/>
        <v>Other CMP Network Roadways</v>
      </c>
      <c r="AA232" s="15">
        <f>VLOOKUP($T232,'2020_CapacityTable'!$B$49:$F$71,2)</f>
        <v>11700</v>
      </c>
      <c r="AB232" s="15">
        <f>VLOOKUP($T232,'2020_CapacityTable'!$B$49:$F$71,3)</f>
        <v>18000</v>
      </c>
      <c r="AC232" s="15">
        <f>VLOOKUP($T232,'2020_CapacityTable'!$B$49:$F$71,4)</f>
        <v>24200</v>
      </c>
      <c r="AD232" s="15">
        <f>VLOOKUP($T232,'2020_CapacityTable'!$B$49:$F$71,5)</f>
        <v>32600</v>
      </c>
      <c r="AE232" s="35"/>
      <c r="AF232" s="36" t="str">
        <f t="shared" si="303"/>
        <v/>
      </c>
      <c r="AG232" s="35" t="str">
        <f t="shared" ref="AG232:AG238" si="373">IF(AND($L232=2,$P232="interrupted",$O232="U"),"LOOK","")</f>
        <v/>
      </c>
      <c r="AH232" s="35" t="str">
        <f t="shared" si="365"/>
        <v/>
      </c>
      <c r="AI232" s="35"/>
      <c r="AJ232" s="36"/>
      <c r="AK232" s="15">
        <f t="shared" si="304"/>
        <v>11700</v>
      </c>
      <c r="AL232" s="15">
        <f t="shared" si="305"/>
        <v>18000</v>
      </c>
      <c r="AM232" s="15">
        <f t="shared" si="306"/>
        <v>24200</v>
      </c>
      <c r="AN232" s="15">
        <f t="shared" si="307"/>
        <v>32600</v>
      </c>
      <c r="AO232" s="3">
        <f t="shared" si="366"/>
        <v>24200</v>
      </c>
      <c r="AP232" s="138">
        <f>VLOOKUP($B232,'2022 counts'!$B$6:$R$304,17,FALSE)</f>
        <v>8454</v>
      </c>
      <c r="AQ232" s="11">
        <f t="shared" si="308"/>
        <v>0.35</v>
      </c>
      <c r="AR232" s="2" t="str">
        <f t="shared" si="309"/>
        <v>B</v>
      </c>
      <c r="AS232" s="26">
        <f t="shared" si="310"/>
        <v>5.5</v>
      </c>
      <c r="AT232" s="15">
        <f>VLOOKUP($T232,'2020_CapacityTable'!$B$23:$F$45,2)</f>
        <v>580</v>
      </c>
      <c r="AU232" s="15">
        <f>VLOOKUP($T232,'2020_CapacityTable'!$B$23:$F$45,3)</f>
        <v>890</v>
      </c>
      <c r="AV232" s="15">
        <f>VLOOKUP($T232,'2020_CapacityTable'!$B$23:$F$45,4)</f>
        <v>1200</v>
      </c>
      <c r="AW232" s="15">
        <f>VLOOKUP($T232,'2020_CapacityTable'!$B$23:$F$45,5)</f>
        <v>1610</v>
      </c>
      <c r="AX232" s="15">
        <f t="shared" si="311"/>
        <v>580</v>
      </c>
      <c r="AY232" s="15">
        <f t="shared" si="312"/>
        <v>890</v>
      </c>
      <c r="AZ232" s="15">
        <f t="shared" si="313"/>
        <v>1200</v>
      </c>
      <c r="BA232" s="15">
        <f t="shared" si="314"/>
        <v>1610</v>
      </c>
      <c r="BB232" s="3">
        <f t="shared" si="367"/>
        <v>1200</v>
      </c>
      <c r="BC232" s="138">
        <f>VLOOKUP($B232,'2022 counts'!$B$6:$AD$304,28,FALSE)</f>
        <v>494</v>
      </c>
      <c r="BD232" s="138">
        <f>VLOOKUP($B232,'2022 counts'!$B$6:$AD$304,29,FALSE)</f>
        <v>249</v>
      </c>
      <c r="BE232" s="11">
        <f t="shared" si="315"/>
        <v>0.41</v>
      </c>
      <c r="BF232" s="2" t="str">
        <f t="shared" si="316"/>
        <v>B</v>
      </c>
      <c r="BG232" s="135">
        <v>0</v>
      </c>
      <c r="BH232" s="135">
        <f>IF($AQ232="","",VLOOKUP($B232, '2022 counts'!$B$6:$T$304,19,FALSE))</f>
        <v>0</v>
      </c>
      <c r="BI232" s="38">
        <f t="shared" si="317"/>
        <v>0.01</v>
      </c>
      <c r="BJ232" s="39" t="str">
        <f t="shared" si="318"/>
        <v>minimum</v>
      </c>
      <c r="BK232" s="15">
        <f>VLOOKUP($U232,'2020_CapacityTable'!$B$49:$F$71,2)</f>
        <v>11700</v>
      </c>
      <c r="BL232" s="15">
        <f>VLOOKUP($U232,'2020_CapacityTable'!$B$49:$F$71,3)</f>
        <v>18000</v>
      </c>
      <c r="BM232" s="15">
        <f>VLOOKUP($T232,'2020_CapacityTable'!$B$49:$F$71,4)</f>
        <v>24200</v>
      </c>
      <c r="BN232" s="15">
        <f>VLOOKUP($T232,'2020_CapacityTable'!$B$49:$F$71,5)</f>
        <v>32600</v>
      </c>
      <c r="BO232" s="15">
        <f t="shared" si="353"/>
        <v>11700</v>
      </c>
      <c r="BP232" s="15">
        <f t="shared" si="349"/>
        <v>18000</v>
      </c>
      <c r="BQ232" s="15">
        <f t="shared" si="350"/>
        <v>24200</v>
      </c>
      <c r="BR232" s="15">
        <f t="shared" si="351"/>
        <v>32600</v>
      </c>
      <c r="BS232" s="3">
        <f t="shared" si="368"/>
        <v>24200</v>
      </c>
      <c r="BT232" s="40">
        <f>'State of the System - Sumter Co'!AD232</f>
        <v>8885</v>
      </c>
      <c r="BU232" s="41">
        <f t="shared" si="354"/>
        <v>0.37</v>
      </c>
      <c r="BV232" s="2" t="str">
        <f t="shared" si="355"/>
        <v>B</v>
      </c>
      <c r="BW232" s="2">
        <f t="shared" si="325"/>
        <v>5.78</v>
      </c>
      <c r="BX232" s="15">
        <f>VLOOKUP($U232,'2020_CapacityTable'!$B$23:$F$45,2)</f>
        <v>580</v>
      </c>
      <c r="BY232" s="15">
        <f>VLOOKUP($U232,'2020_CapacityTable'!$B$23:$F$45,3)</f>
        <v>890</v>
      </c>
      <c r="BZ232" s="15">
        <f>VLOOKUP($U232,'2020_CapacityTable'!$B$23:$F$45,4)</f>
        <v>1200</v>
      </c>
      <c r="CA232" s="15">
        <f>VLOOKUP($U232,'2020_CapacityTable'!$B$23:$F$45,5)</f>
        <v>1610</v>
      </c>
      <c r="CB232" s="15">
        <f t="shared" si="356"/>
        <v>580</v>
      </c>
      <c r="CC232" s="15">
        <f t="shared" si="357"/>
        <v>890</v>
      </c>
      <c r="CD232" s="15">
        <f t="shared" si="358"/>
        <v>1200</v>
      </c>
      <c r="CE232" s="15">
        <f t="shared" si="359"/>
        <v>1610</v>
      </c>
      <c r="CF232" s="3">
        <f t="shared" si="369"/>
        <v>1200</v>
      </c>
      <c r="CG232" s="2">
        <f>'State of the System - Sumter Co'!AH232</f>
        <v>519</v>
      </c>
      <c r="CH232" s="2">
        <f>'State of the System - Sumter Co'!AI232</f>
        <v>262</v>
      </c>
      <c r="CI232" s="11">
        <f t="shared" si="330"/>
        <v>0.43</v>
      </c>
      <c r="CJ232" s="2" t="str">
        <f t="shared" si="370"/>
        <v>B</v>
      </c>
      <c r="CK232" s="3">
        <f t="shared" si="331"/>
        <v>35208</v>
      </c>
      <c r="CL232" s="11">
        <f t="shared" si="332"/>
        <v>0.25</v>
      </c>
      <c r="CM232" s="11" t="str">
        <f t="shared" si="333"/>
        <v>NOT CONGESTED</v>
      </c>
      <c r="CN232" s="3">
        <f t="shared" si="334"/>
        <v>1739</v>
      </c>
      <c r="CO232" s="11">
        <f t="shared" si="335"/>
        <v>0.3</v>
      </c>
      <c r="CP232" s="156" t="str">
        <f t="shared" si="371"/>
        <v>NOT CONGESTED</v>
      </c>
      <c r="CQ232" s="2"/>
      <c r="CR232" s="42"/>
      <c r="CS232" s="11" t="str">
        <f t="shared" si="337"/>
        <v/>
      </c>
      <c r="CT232" s="11" t="str">
        <f t="shared" si="372"/>
        <v/>
      </c>
      <c r="CU232" s="11" t="str">
        <f t="shared" si="338"/>
        <v/>
      </c>
      <c r="CV232" s="11" t="str">
        <f t="shared" si="339"/>
        <v/>
      </c>
      <c r="CW232" s="3"/>
      <c r="CX232" s="1"/>
      <c r="CY232" s="145" t="str">
        <f t="shared" si="340"/>
        <v/>
      </c>
      <c r="CZ232" s="32" t="str">
        <f t="shared" si="341"/>
        <v/>
      </c>
    </row>
    <row r="233" spans="1:104">
      <c r="A233" s="1">
        <v>35511201</v>
      </c>
      <c r="B233" s="1">
        <f t="shared" si="342"/>
        <v>180201</v>
      </c>
      <c r="C233" s="1">
        <v>398</v>
      </c>
      <c r="D233" s="1" t="str">
        <f>VLOOKUP(C233,'2022 counts'!$A$6:$B$304,2,FALSE)</f>
        <v>STATE</v>
      </c>
      <c r="E233" s="1">
        <v>180201</v>
      </c>
      <c r="F233" s="2" t="s">
        <v>136</v>
      </c>
      <c r="G233" s="156">
        <v>45</v>
      </c>
      <c r="H233" s="11">
        <v>0.63247763983299998</v>
      </c>
      <c r="I233" s="10" t="s">
        <v>23</v>
      </c>
      <c r="J233" s="10" t="s">
        <v>41</v>
      </c>
      <c r="K233" s="10" t="s">
        <v>18</v>
      </c>
      <c r="L233" s="157">
        <v>4</v>
      </c>
      <c r="M233" s="1">
        <f>'State of the System - Sumter Co'!K233</f>
        <v>4</v>
      </c>
      <c r="N233" s="1" t="str">
        <f>IF('State of the System - Sumter Co'!L233="URBAN","U","R")</f>
        <v>U</v>
      </c>
      <c r="O233" s="1" t="str">
        <f>IF('State of the System - Sumter Co'!M233="UNDIVIDED","U",IF('State of the System - Sumter Co'!M233="DIVIDED","D","F"))</f>
        <v>D</v>
      </c>
      <c r="P233" s="1" t="str">
        <f>'State of the System - Sumter Co'!N233</f>
        <v>INTERRUPTED</v>
      </c>
      <c r="Q233" s="1" t="str">
        <f t="shared" si="300"/>
        <v/>
      </c>
      <c r="R233" s="1" t="str">
        <f>'State of the System - Sumter Co'!O233</f>
        <v/>
      </c>
      <c r="S233" s="1" t="str">
        <f t="shared" si="363"/>
        <v>-1</v>
      </c>
      <c r="T233" s="1" t="str">
        <f t="shared" si="301"/>
        <v>U-4D-1</v>
      </c>
      <c r="U233" s="1" t="str">
        <f t="shared" si="352"/>
        <v>U-4D-1</v>
      </c>
      <c r="V233" s="1" t="s">
        <v>137</v>
      </c>
      <c r="W233" s="1" t="s">
        <v>25</v>
      </c>
      <c r="X233" s="1" t="s">
        <v>138</v>
      </c>
      <c r="Y233" s="1" t="str">
        <f>'State of the System - Sumter Co'!R233</f>
        <v>D</v>
      </c>
      <c r="Z233" s="157" t="str">
        <f t="shared" si="302"/>
        <v>NHS Non-Interstate</v>
      </c>
      <c r="AA233" s="15">
        <f>VLOOKUP($T233,'2020_CapacityTable'!$B$49:$F$71,2)</f>
        <v>0</v>
      </c>
      <c r="AB233" s="15">
        <f>VLOOKUP($T233,'2020_CapacityTable'!$B$49:$F$71,3)</f>
        <v>37900</v>
      </c>
      <c r="AC233" s="15">
        <f>VLOOKUP($T233,'2020_CapacityTable'!$B$49:$F$71,4)</f>
        <v>39800</v>
      </c>
      <c r="AD233" s="15">
        <f>VLOOKUP($T233,'2020_CapacityTable'!$B$49:$F$71,5)</f>
        <v>39800</v>
      </c>
      <c r="AE233" s="35" t="str">
        <f t="shared" ref="AE233:AE238" si="374">IF(V233&lt;&gt;"STATE",-10%,"")</f>
        <v/>
      </c>
      <c r="AF233" s="36" t="str">
        <f t="shared" si="303"/>
        <v/>
      </c>
      <c r="AG233" s="35" t="str">
        <f t="shared" si="373"/>
        <v/>
      </c>
      <c r="AH233" s="35" t="str">
        <f>IF(O233="U",IF(#REF!&gt;2,"LOOK",""),"")</f>
        <v/>
      </c>
      <c r="AI233" s="35"/>
      <c r="AJ233" s="36">
        <v>0.05</v>
      </c>
      <c r="AK233" s="15">
        <f t="shared" si="304"/>
        <v>0</v>
      </c>
      <c r="AL233" s="15">
        <f t="shared" si="305"/>
        <v>39795</v>
      </c>
      <c r="AM233" s="15">
        <f t="shared" si="306"/>
        <v>41790</v>
      </c>
      <c r="AN233" s="15">
        <f t="shared" si="307"/>
        <v>41790</v>
      </c>
      <c r="AO233" s="3">
        <f t="shared" si="366"/>
        <v>41790</v>
      </c>
      <c r="AP233" s="138">
        <f>VLOOKUP($B233,'2022 counts'!$B$6:$R$304,17,FALSE)</f>
        <v>17810</v>
      </c>
      <c r="AQ233" s="11">
        <f t="shared" si="308"/>
        <v>0.43</v>
      </c>
      <c r="AR233" s="2" t="str">
        <f t="shared" si="309"/>
        <v>C</v>
      </c>
      <c r="AS233" s="26">
        <f t="shared" si="310"/>
        <v>4.1100000000000003</v>
      </c>
      <c r="AT233" s="15">
        <f>VLOOKUP($T233,'2020_CapacityTable'!$B$23:$F$45,2)</f>
        <v>0</v>
      </c>
      <c r="AU233" s="15">
        <f>VLOOKUP($T233,'2020_CapacityTable'!$B$23:$F$45,3)</f>
        <v>1910</v>
      </c>
      <c r="AV233" s="15">
        <f>VLOOKUP($T233,'2020_CapacityTable'!$B$23:$F$45,4)</f>
        <v>2000</v>
      </c>
      <c r="AW233" s="15">
        <f>VLOOKUP($T233,'2020_CapacityTable'!$B$23:$F$45,5)</f>
        <v>2000</v>
      </c>
      <c r="AX233" s="15">
        <f t="shared" si="311"/>
        <v>0</v>
      </c>
      <c r="AY233" s="15">
        <f t="shared" si="312"/>
        <v>2006</v>
      </c>
      <c r="AZ233" s="15">
        <f t="shared" si="313"/>
        <v>2100</v>
      </c>
      <c r="BA233" s="15">
        <f t="shared" si="314"/>
        <v>2100</v>
      </c>
      <c r="BB233" s="3">
        <f t="shared" si="367"/>
        <v>2100</v>
      </c>
      <c r="BC233" s="138">
        <f>VLOOKUP($B233,'2022 counts'!$B$6:$AD$304,28,FALSE)</f>
        <v>692</v>
      </c>
      <c r="BD233" s="138">
        <f>VLOOKUP($B233,'2022 counts'!$B$6:$AD$304,29,FALSE)</f>
        <v>941</v>
      </c>
      <c r="BE233" s="11">
        <f t="shared" si="315"/>
        <v>0.45</v>
      </c>
      <c r="BF233" s="2" t="str">
        <f t="shared" si="316"/>
        <v>C</v>
      </c>
      <c r="BG233" s="135">
        <v>5.0000000000000001E-3</v>
      </c>
      <c r="BH233" s="135">
        <f>IF($AQ233="","",VLOOKUP($B233, '2022 counts'!$B$6:$T$304,19,FALSE))</f>
        <v>5.0000000000000001E-3</v>
      </c>
      <c r="BI233" s="38">
        <f t="shared" si="317"/>
        <v>0.01</v>
      </c>
      <c r="BJ233" s="39" t="str">
        <f t="shared" si="318"/>
        <v>minimum</v>
      </c>
      <c r="BK233" s="15">
        <f>VLOOKUP($U233,'2020_CapacityTable'!$B$49:$F$71,2)</f>
        <v>0</v>
      </c>
      <c r="BL233" s="15">
        <f>VLOOKUP($U233,'2020_CapacityTable'!$B$49:$F$71,3)</f>
        <v>37900</v>
      </c>
      <c r="BM233" s="15">
        <f>VLOOKUP($T233,'2020_CapacityTable'!$B$49:$F$71,4)</f>
        <v>39800</v>
      </c>
      <c r="BN233" s="15">
        <f>VLOOKUP($T233,'2020_CapacityTable'!$B$49:$F$71,5)</f>
        <v>39800</v>
      </c>
      <c r="BO233" s="15">
        <f t="shared" si="353"/>
        <v>0</v>
      </c>
      <c r="BP233" s="15">
        <f t="shared" si="349"/>
        <v>39795</v>
      </c>
      <c r="BQ233" s="15">
        <f t="shared" si="350"/>
        <v>41790</v>
      </c>
      <c r="BR233" s="15">
        <f t="shared" si="351"/>
        <v>41790</v>
      </c>
      <c r="BS233" s="3">
        <f t="shared" si="368"/>
        <v>41790</v>
      </c>
      <c r="BT233" s="40">
        <f>'State of the System - Sumter Co'!AD233</f>
        <v>18718</v>
      </c>
      <c r="BU233" s="41">
        <f t="shared" si="354"/>
        <v>0.45</v>
      </c>
      <c r="BV233" s="2" t="str">
        <f t="shared" si="355"/>
        <v>C</v>
      </c>
      <c r="BW233" s="2">
        <f t="shared" si="325"/>
        <v>4.32</v>
      </c>
      <c r="BX233" s="15">
        <f>VLOOKUP($U233,'2020_CapacityTable'!$B$23:$F$45,2)</f>
        <v>0</v>
      </c>
      <c r="BY233" s="15">
        <f>VLOOKUP($U233,'2020_CapacityTable'!$B$23:$F$45,3)</f>
        <v>1910</v>
      </c>
      <c r="BZ233" s="15">
        <f>VLOOKUP($U233,'2020_CapacityTable'!$B$23:$F$45,4)</f>
        <v>2000</v>
      </c>
      <c r="CA233" s="15">
        <f>VLOOKUP($U233,'2020_CapacityTable'!$B$23:$F$45,5)</f>
        <v>2000</v>
      </c>
      <c r="CB233" s="15">
        <f t="shared" si="356"/>
        <v>0</v>
      </c>
      <c r="CC233" s="15">
        <f t="shared" si="357"/>
        <v>2006</v>
      </c>
      <c r="CD233" s="15">
        <f t="shared" si="358"/>
        <v>2100</v>
      </c>
      <c r="CE233" s="15">
        <f t="shared" si="359"/>
        <v>2100</v>
      </c>
      <c r="CF233" s="3">
        <f t="shared" si="369"/>
        <v>2100</v>
      </c>
      <c r="CG233" s="2">
        <f>'State of the System - Sumter Co'!AH233</f>
        <v>727</v>
      </c>
      <c r="CH233" s="2">
        <f>'State of the System - Sumter Co'!AI233</f>
        <v>989</v>
      </c>
      <c r="CI233" s="11">
        <f t="shared" si="330"/>
        <v>0.47</v>
      </c>
      <c r="CJ233" s="2" t="str">
        <f t="shared" si="370"/>
        <v>C</v>
      </c>
      <c r="CK233" s="3">
        <f t="shared" si="331"/>
        <v>45133</v>
      </c>
      <c r="CL233" s="11">
        <f t="shared" si="332"/>
        <v>0.41</v>
      </c>
      <c r="CM233" s="11" t="str">
        <f t="shared" si="333"/>
        <v>NOT CONGESTED</v>
      </c>
      <c r="CN233" s="3">
        <f t="shared" si="334"/>
        <v>2268</v>
      </c>
      <c r="CO233" s="11">
        <f t="shared" si="335"/>
        <v>0.44</v>
      </c>
      <c r="CP233" s="156" t="str">
        <f t="shared" si="371"/>
        <v>NOT CONGESTED</v>
      </c>
      <c r="CQ233" s="2"/>
      <c r="CR233" s="42"/>
      <c r="CS233" s="11" t="str">
        <f t="shared" si="337"/>
        <v/>
      </c>
      <c r="CT233" s="11" t="str">
        <f t="shared" si="372"/>
        <v/>
      </c>
      <c r="CU233" s="11" t="str">
        <f t="shared" si="338"/>
        <v/>
      </c>
      <c r="CV233" s="11" t="str">
        <f t="shared" si="339"/>
        <v/>
      </c>
      <c r="CW233" s="3"/>
      <c r="CX233" s="1"/>
      <c r="CY233" s="145" t="str">
        <f t="shared" si="340"/>
        <v/>
      </c>
      <c r="CZ233" s="32" t="str">
        <f t="shared" si="341"/>
        <v/>
      </c>
    </row>
    <row r="234" spans="1:104">
      <c r="A234" s="1">
        <v>35511202</v>
      </c>
      <c r="B234" s="1">
        <f t="shared" si="342"/>
        <v>180005</v>
      </c>
      <c r="C234" s="1">
        <v>456</v>
      </c>
      <c r="D234" s="1" t="str">
        <f>VLOOKUP(C234,'2022 counts'!$A$6:$B$304,2,FALSE)</f>
        <v>STATE</v>
      </c>
      <c r="E234" s="1">
        <v>180005</v>
      </c>
      <c r="F234" s="2" t="s">
        <v>136</v>
      </c>
      <c r="G234" s="156">
        <v>55</v>
      </c>
      <c r="H234" s="11">
        <v>2.9444321859399998</v>
      </c>
      <c r="I234" s="10" t="s">
        <v>23</v>
      </c>
      <c r="J234" s="10" t="s">
        <v>18</v>
      </c>
      <c r="K234" s="10" t="s">
        <v>721</v>
      </c>
      <c r="L234" s="157">
        <v>4</v>
      </c>
      <c r="M234" s="1">
        <f>'State of the System - Sumter Co'!K234</f>
        <v>4</v>
      </c>
      <c r="N234" s="1" t="str">
        <f>IF('State of the System - Sumter Co'!L234="URBAN","U","R")</f>
        <v>U</v>
      </c>
      <c r="O234" s="1" t="str">
        <f>IF('State of the System - Sumter Co'!M234="UNDIVIDED","U",IF('State of the System - Sumter Co'!M234="DIVIDED","D","F"))</f>
        <v>D</v>
      </c>
      <c r="P234" s="1" t="str">
        <f>'State of the System - Sumter Co'!N234</f>
        <v>INTERRUPTED</v>
      </c>
      <c r="Q234" s="1" t="str">
        <f t="shared" si="300"/>
        <v/>
      </c>
      <c r="R234" s="1" t="str">
        <f>'State of the System - Sumter Co'!O234</f>
        <v/>
      </c>
      <c r="S234" s="1" t="str">
        <f t="shared" si="363"/>
        <v>-1</v>
      </c>
      <c r="T234" s="1" t="str">
        <f t="shared" si="301"/>
        <v>U-4D-1</v>
      </c>
      <c r="U234" s="1" t="str">
        <f t="shared" si="352"/>
        <v>U-4D-1</v>
      </c>
      <c r="V234" s="1" t="s">
        <v>137</v>
      </c>
      <c r="W234" s="1" t="s">
        <v>11</v>
      </c>
      <c r="X234" s="1" t="s">
        <v>138</v>
      </c>
      <c r="Y234" s="1" t="str">
        <f>'State of the System - Sumter Co'!R234</f>
        <v>D</v>
      </c>
      <c r="Z234" s="157" t="str">
        <f t="shared" si="302"/>
        <v>NHS Non-Interstate</v>
      </c>
      <c r="AA234" s="15">
        <f>VLOOKUP($T234,'2020_CapacityTable'!$B$49:$F$71,2)</f>
        <v>0</v>
      </c>
      <c r="AB234" s="15">
        <f>VLOOKUP($T234,'2020_CapacityTable'!$B$49:$F$71,3)</f>
        <v>37900</v>
      </c>
      <c r="AC234" s="15">
        <f>VLOOKUP($T234,'2020_CapacityTable'!$B$49:$F$71,4)</f>
        <v>39800</v>
      </c>
      <c r="AD234" s="15">
        <f>VLOOKUP($T234,'2020_CapacityTable'!$B$49:$F$71,5)</f>
        <v>39800</v>
      </c>
      <c r="AE234" s="35" t="str">
        <f t="shared" si="374"/>
        <v/>
      </c>
      <c r="AF234" s="36" t="str">
        <f t="shared" si="303"/>
        <v/>
      </c>
      <c r="AG234" s="35" t="str">
        <f t="shared" si="373"/>
        <v/>
      </c>
      <c r="AH234" s="35" t="str">
        <f>IF(O234="U",IF(#REF!&gt;2,"LOOK",""),"")</f>
        <v/>
      </c>
      <c r="AI234" s="35"/>
      <c r="AJ234" s="36">
        <v>0.05</v>
      </c>
      <c r="AK234" s="15">
        <f t="shared" si="304"/>
        <v>0</v>
      </c>
      <c r="AL234" s="15">
        <f t="shared" si="305"/>
        <v>39795</v>
      </c>
      <c r="AM234" s="15">
        <f t="shared" si="306"/>
        <v>41790</v>
      </c>
      <c r="AN234" s="15">
        <f t="shared" si="307"/>
        <v>41790</v>
      </c>
      <c r="AO234" s="3">
        <f t="shared" si="366"/>
        <v>41790</v>
      </c>
      <c r="AP234" s="138">
        <f>VLOOKUP($B234,'2022 counts'!$B$6:$R$304,17,FALSE)</f>
        <v>21620</v>
      </c>
      <c r="AQ234" s="11">
        <f t="shared" si="308"/>
        <v>0.52</v>
      </c>
      <c r="AR234" s="2" t="str">
        <f t="shared" si="309"/>
        <v>C</v>
      </c>
      <c r="AS234" s="26">
        <f t="shared" si="310"/>
        <v>23.24</v>
      </c>
      <c r="AT234" s="15">
        <f>VLOOKUP($T234,'2020_CapacityTable'!$B$23:$F$45,2)</f>
        <v>0</v>
      </c>
      <c r="AU234" s="15">
        <f>VLOOKUP($T234,'2020_CapacityTable'!$B$23:$F$45,3)</f>
        <v>1910</v>
      </c>
      <c r="AV234" s="15">
        <f>VLOOKUP($T234,'2020_CapacityTable'!$B$23:$F$45,4)</f>
        <v>2000</v>
      </c>
      <c r="AW234" s="15">
        <f>VLOOKUP($T234,'2020_CapacityTable'!$B$23:$F$45,5)</f>
        <v>2000</v>
      </c>
      <c r="AX234" s="15">
        <f t="shared" si="311"/>
        <v>0</v>
      </c>
      <c r="AY234" s="15">
        <f t="shared" si="312"/>
        <v>2006</v>
      </c>
      <c r="AZ234" s="15">
        <f t="shared" si="313"/>
        <v>2100</v>
      </c>
      <c r="BA234" s="15">
        <f t="shared" si="314"/>
        <v>2100</v>
      </c>
      <c r="BB234" s="3">
        <f t="shared" si="367"/>
        <v>2100</v>
      </c>
      <c r="BC234" s="138">
        <f>VLOOKUP($B234,'2022 counts'!$B$6:$AD$304,28,FALSE)</f>
        <v>1031</v>
      </c>
      <c r="BD234" s="138">
        <f>VLOOKUP($B234,'2022 counts'!$B$6:$AD$304,29,FALSE)</f>
        <v>915</v>
      </c>
      <c r="BE234" s="11">
        <f t="shared" si="315"/>
        <v>0.49</v>
      </c>
      <c r="BF234" s="2" t="str">
        <f t="shared" si="316"/>
        <v>C</v>
      </c>
      <c r="BG234" s="135">
        <v>1.4999999999999999E-2</v>
      </c>
      <c r="BH234" s="135">
        <f>IF($AQ234="","",VLOOKUP($B234, '2022 counts'!$B$6:$T$304,19,FALSE))</f>
        <v>1.4999999999999999E-2</v>
      </c>
      <c r="BI234" s="38">
        <f t="shared" si="317"/>
        <v>1.4999999999999999E-2</v>
      </c>
      <c r="BJ234" s="39" t="str">
        <f t="shared" si="318"/>
        <v/>
      </c>
      <c r="BK234" s="15">
        <f>VLOOKUP($U234,'2020_CapacityTable'!$B$49:$F$71,2)</f>
        <v>0</v>
      </c>
      <c r="BL234" s="15">
        <f>VLOOKUP($U234,'2020_CapacityTable'!$B$49:$F$71,3)</f>
        <v>37900</v>
      </c>
      <c r="BM234" s="15">
        <f>VLOOKUP($T234,'2020_CapacityTable'!$B$49:$F$71,4)</f>
        <v>39800</v>
      </c>
      <c r="BN234" s="15">
        <f>VLOOKUP($T234,'2020_CapacityTable'!$B$49:$F$71,5)</f>
        <v>39800</v>
      </c>
      <c r="BO234" s="15">
        <f t="shared" si="353"/>
        <v>0</v>
      </c>
      <c r="BP234" s="15">
        <f t="shared" si="349"/>
        <v>39795</v>
      </c>
      <c r="BQ234" s="15">
        <f t="shared" si="350"/>
        <v>41790</v>
      </c>
      <c r="BR234" s="15">
        <f t="shared" si="351"/>
        <v>41790</v>
      </c>
      <c r="BS234" s="3">
        <f t="shared" si="368"/>
        <v>41790</v>
      </c>
      <c r="BT234" s="40">
        <f>'State of the System - Sumter Co'!AD234</f>
        <v>23291</v>
      </c>
      <c r="BU234" s="41">
        <f t="shared" si="354"/>
        <v>0.56000000000000005</v>
      </c>
      <c r="BV234" s="2" t="str">
        <f t="shared" si="355"/>
        <v>C</v>
      </c>
      <c r="BW234" s="2">
        <f t="shared" si="325"/>
        <v>25.03</v>
      </c>
      <c r="BX234" s="15">
        <f>VLOOKUP($U234,'2020_CapacityTable'!$B$23:$F$45,2)</f>
        <v>0</v>
      </c>
      <c r="BY234" s="15">
        <f>VLOOKUP($U234,'2020_CapacityTable'!$B$23:$F$45,3)</f>
        <v>1910</v>
      </c>
      <c r="BZ234" s="15">
        <f>VLOOKUP($U234,'2020_CapacityTable'!$B$23:$F$45,4)</f>
        <v>2000</v>
      </c>
      <c r="CA234" s="15">
        <f>VLOOKUP($U234,'2020_CapacityTable'!$B$23:$F$45,5)</f>
        <v>2000</v>
      </c>
      <c r="CB234" s="15">
        <f t="shared" si="356"/>
        <v>0</v>
      </c>
      <c r="CC234" s="15">
        <f t="shared" si="357"/>
        <v>2006</v>
      </c>
      <c r="CD234" s="15">
        <f t="shared" si="358"/>
        <v>2100</v>
      </c>
      <c r="CE234" s="15">
        <f t="shared" si="359"/>
        <v>2100</v>
      </c>
      <c r="CF234" s="3">
        <f t="shared" si="369"/>
        <v>2100</v>
      </c>
      <c r="CG234" s="2">
        <f>'State of the System - Sumter Co'!AH234</f>
        <v>1111</v>
      </c>
      <c r="CH234" s="2">
        <f>'State of the System - Sumter Co'!AI234</f>
        <v>986</v>
      </c>
      <c r="CI234" s="11">
        <f t="shared" si="330"/>
        <v>0.53</v>
      </c>
      <c r="CJ234" s="2" t="str">
        <f t="shared" si="370"/>
        <v>C</v>
      </c>
      <c r="CK234" s="3">
        <f t="shared" si="331"/>
        <v>45133</v>
      </c>
      <c r="CL234" s="11">
        <f t="shared" si="332"/>
        <v>0.52</v>
      </c>
      <c r="CM234" s="11" t="str">
        <f t="shared" si="333"/>
        <v>NOT CONGESTED</v>
      </c>
      <c r="CN234" s="3">
        <f t="shared" si="334"/>
        <v>2268</v>
      </c>
      <c r="CO234" s="11">
        <f t="shared" si="335"/>
        <v>0.49</v>
      </c>
      <c r="CP234" s="156" t="str">
        <f t="shared" si="371"/>
        <v>NOT CONGESTED</v>
      </c>
      <c r="CQ234" s="2"/>
      <c r="CR234" s="42"/>
      <c r="CS234" s="11" t="str">
        <f t="shared" si="337"/>
        <v/>
      </c>
      <c r="CT234" s="11" t="str">
        <f t="shared" si="372"/>
        <v/>
      </c>
      <c r="CU234" s="11" t="str">
        <f t="shared" si="338"/>
        <v/>
      </c>
      <c r="CV234" s="11" t="str">
        <f t="shared" si="339"/>
        <v/>
      </c>
      <c r="CW234" s="3"/>
      <c r="CX234" s="1"/>
      <c r="CY234" s="145" t="str">
        <f t="shared" si="340"/>
        <v/>
      </c>
      <c r="CZ234" s="32" t="str">
        <f t="shared" si="341"/>
        <v/>
      </c>
    </row>
    <row r="235" spans="1:104">
      <c r="A235" s="1">
        <v>35541001</v>
      </c>
      <c r="B235" s="1">
        <f t="shared" si="342"/>
        <v>82</v>
      </c>
      <c r="C235" s="1">
        <v>108</v>
      </c>
      <c r="D235" s="1">
        <f>VLOOKUP(C235,'2022 counts'!$A$6:$B$304,2,FALSE)</f>
        <v>82</v>
      </c>
      <c r="E235" s="1"/>
      <c r="F235" s="2" t="s">
        <v>6</v>
      </c>
      <c r="G235" s="156">
        <v>45</v>
      </c>
      <c r="H235" s="11">
        <v>0.17756105726499999</v>
      </c>
      <c r="I235" s="10" t="s">
        <v>717</v>
      </c>
      <c r="J235" s="10" t="s">
        <v>98</v>
      </c>
      <c r="K235" s="10" t="s">
        <v>66</v>
      </c>
      <c r="L235" s="157">
        <v>4</v>
      </c>
      <c r="M235" s="1">
        <f>'State of the System - Sumter Co'!K235</f>
        <v>4</v>
      </c>
      <c r="N235" s="1" t="str">
        <f>IF('State of the System - Sumter Co'!L235="URBAN","U","R")</f>
        <v>U</v>
      </c>
      <c r="O235" s="1" t="str">
        <f>IF('State of the System - Sumter Co'!M235="UNDIVIDED","U",IF('State of the System - Sumter Co'!M235="DIVIDED","D","F"))</f>
        <v>D</v>
      </c>
      <c r="P235" s="1" t="str">
        <f>'State of the System - Sumter Co'!N235</f>
        <v>INTERRUPTED</v>
      </c>
      <c r="Q235" s="1" t="str">
        <f t="shared" si="300"/>
        <v/>
      </c>
      <c r="R235" s="1" t="str">
        <f>'State of the System - Sumter Co'!O235</f>
        <v/>
      </c>
      <c r="S235" s="1" t="str">
        <f t="shared" si="363"/>
        <v>-1</v>
      </c>
      <c r="T235" s="1" t="str">
        <f t="shared" si="301"/>
        <v>U-4D-1</v>
      </c>
      <c r="U235" s="1" t="str">
        <f t="shared" si="352"/>
        <v>U-4D-1</v>
      </c>
      <c r="V235" s="1" t="s">
        <v>10</v>
      </c>
      <c r="W235" s="1" t="s">
        <v>76</v>
      </c>
      <c r="X235" s="1" t="s">
        <v>12</v>
      </c>
      <c r="Y235" s="1" t="str">
        <f>'State of the System - Sumter Co'!R235</f>
        <v>D</v>
      </c>
      <c r="Z235" s="157" t="str">
        <f t="shared" si="302"/>
        <v>Other CMP Network Roadways</v>
      </c>
      <c r="AA235" s="15">
        <f>VLOOKUP($T235,'2020_CapacityTable'!$B$49:$F$71,2)</f>
        <v>0</v>
      </c>
      <c r="AB235" s="15">
        <f>VLOOKUP($T235,'2020_CapacityTable'!$B$49:$F$71,3)</f>
        <v>37900</v>
      </c>
      <c r="AC235" s="15">
        <f>VLOOKUP($T235,'2020_CapacityTable'!$B$49:$F$71,4)</f>
        <v>39800</v>
      </c>
      <c r="AD235" s="15">
        <f>VLOOKUP($T235,'2020_CapacityTable'!$B$49:$F$71,5)</f>
        <v>39800</v>
      </c>
      <c r="AE235" s="35">
        <f t="shared" si="374"/>
        <v>-0.1</v>
      </c>
      <c r="AF235" s="36" t="str">
        <f t="shared" si="303"/>
        <v/>
      </c>
      <c r="AG235" s="35" t="str">
        <f t="shared" si="373"/>
        <v/>
      </c>
      <c r="AH235" s="35" t="str">
        <f>IF(O235="U",IF(#REF!&gt;2,"LOOK",""),"")</f>
        <v/>
      </c>
      <c r="AI235" s="35"/>
      <c r="AJ235" s="36">
        <v>0.05</v>
      </c>
      <c r="AK235" s="15">
        <f t="shared" si="304"/>
        <v>0</v>
      </c>
      <c r="AL235" s="15">
        <f t="shared" si="305"/>
        <v>36005</v>
      </c>
      <c r="AM235" s="15">
        <f t="shared" si="306"/>
        <v>37810</v>
      </c>
      <c r="AN235" s="15">
        <f t="shared" si="307"/>
        <v>37810</v>
      </c>
      <c r="AO235" s="3">
        <f t="shared" si="366"/>
        <v>37810</v>
      </c>
      <c r="AP235" s="138">
        <f>VLOOKUP($B235,'2022 counts'!$B$6:$R$304,17,FALSE)</f>
        <v>18941</v>
      </c>
      <c r="AQ235" s="11">
        <f t="shared" si="308"/>
        <v>0.5</v>
      </c>
      <c r="AR235" s="2" t="str">
        <f t="shared" si="309"/>
        <v>C</v>
      </c>
      <c r="AS235" s="26">
        <f t="shared" si="310"/>
        <v>1.23</v>
      </c>
      <c r="AT235" s="15">
        <f>VLOOKUP($T235,'2020_CapacityTable'!$B$23:$F$45,2)</f>
        <v>0</v>
      </c>
      <c r="AU235" s="15">
        <f>VLOOKUP($T235,'2020_CapacityTable'!$B$23:$F$45,3)</f>
        <v>1910</v>
      </c>
      <c r="AV235" s="15">
        <f>VLOOKUP($T235,'2020_CapacityTable'!$B$23:$F$45,4)</f>
        <v>2000</v>
      </c>
      <c r="AW235" s="15">
        <f>VLOOKUP($T235,'2020_CapacityTable'!$B$23:$F$45,5)</f>
        <v>2000</v>
      </c>
      <c r="AX235" s="15">
        <f t="shared" si="311"/>
        <v>0</v>
      </c>
      <c r="AY235" s="15">
        <f t="shared" si="312"/>
        <v>1815</v>
      </c>
      <c r="AZ235" s="15">
        <f t="shared" si="313"/>
        <v>1900</v>
      </c>
      <c r="BA235" s="15">
        <f t="shared" si="314"/>
        <v>1900</v>
      </c>
      <c r="BB235" s="3">
        <f t="shared" si="367"/>
        <v>1900</v>
      </c>
      <c r="BC235" s="138">
        <f>VLOOKUP($B235,'2022 counts'!$B$6:$AD$304,28,FALSE)</f>
        <v>641</v>
      </c>
      <c r="BD235" s="138">
        <f>VLOOKUP($B235,'2022 counts'!$B$6:$AD$304,29,FALSE)</f>
        <v>628</v>
      </c>
      <c r="BE235" s="11">
        <f t="shared" si="315"/>
        <v>0.34</v>
      </c>
      <c r="BF235" s="2" t="str">
        <f t="shared" si="316"/>
        <v>C</v>
      </c>
      <c r="BG235" s="135">
        <v>6.25E-2</v>
      </c>
      <c r="BH235" s="135">
        <f>IF($AQ235="","",VLOOKUP($B235, '2022 counts'!$B$6:$T$304,19,FALSE))</f>
        <v>6.25E-2</v>
      </c>
      <c r="BI235" s="38">
        <f t="shared" si="317"/>
        <v>6.25E-2</v>
      </c>
      <c r="BJ235" s="39" t="str">
        <f t="shared" si="318"/>
        <v/>
      </c>
      <c r="BK235" s="15">
        <f>VLOOKUP($U235,'2020_CapacityTable'!$B$49:$F$71,2)</f>
        <v>0</v>
      </c>
      <c r="BL235" s="15">
        <f>VLOOKUP($U235,'2020_CapacityTable'!$B$49:$F$71,3)</f>
        <v>37900</v>
      </c>
      <c r="BM235" s="15">
        <f>VLOOKUP($T235,'2020_CapacityTable'!$B$49:$F$71,4)</f>
        <v>39800</v>
      </c>
      <c r="BN235" s="15">
        <f>VLOOKUP($T235,'2020_CapacityTable'!$B$49:$F$71,5)</f>
        <v>39800</v>
      </c>
      <c r="BO235" s="15">
        <f t="shared" si="353"/>
        <v>0</v>
      </c>
      <c r="BP235" s="15">
        <f t="shared" si="349"/>
        <v>36005</v>
      </c>
      <c r="BQ235" s="15">
        <f t="shared" si="350"/>
        <v>37810</v>
      </c>
      <c r="BR235" s="15">
        <f t="shared" si="351"/>
        <v>37810</v>
      </c>
      <c r="BS235" s="3">
        <f t="shared" si="368"/>
        <v>37810</v>
      </c>
      <c r="BT235" s="40">
        <f>'State of the System - Sumter Co'!AD235</f>
        <v>25648</v>
      </c>
      <c r="BU235" s="41">
        <f t="shared" si="354"/>
        <v>0.68</v>
      </c>
      <c r="BV235" s="2" t="str">
        <f t="shared" si="355"/>
        <v>C</v>
      </c>
      <c r="BW235" s="2">
        <f t="shared" si="325"/>
        <v>1.66</v>
      </c>
      <c r="BX235" s="15">
        <f>VLOOKUP($U235,'2020_CapacityTable'!$B$23:$F$45,2)</f>
        <v>0</v>
      </c>
      <c r="BY235" s="15">
        <f>VLOOKUP($U235,'2020_CapacityTable'!$B$23:$F$45,3)</f>
        <v>1910</v>
      </c>
      <c r="BZ235" s="15">
        <f>VLOOKUP($U235,'2020_CapacityTable'!$B$23:$F$45,4)</f>
        <v>2000</v>
      </c>
      <c r="CA235" s="15">
        <f>VLOOKUP($U235,'2020_CapacityTable'!$B$23:$F$45,5)</f>
        <v>2000</v>
      </c>
      <c r="CB235" s="15">
        <f t="shared" si="356"/>
        <v>0</v>
      </c>
      <c r="CC235" s="15">
        <f t="shared" si="357"/>
        <v>1815</v>
      </c>
      <c r="CD235" s="15">
        <f t="shared" si="358"/>
        <v>1900</v>
      </c>
      <c r="CE235" s="15">
        <f t="shared" si="359"/>
        <v>1900</v>
      </c>
      <c r="CF235" s="3">
        <f t="shared" si="369"/>
        <v>1900</v>
      </c>
      <c r="CG235" s="2">
        <f>'State of the System - Sumter Co'!AH235</f>
        <v>868</v>
      </c>
      <c r="CH235" s="2">
        <f>'State of the System - Sumter Co'!AI235</f>
        <v>850</v>
      </c>
      <c r="CI235" s="11">
        <f t="shared" si="330"/>
        <v>0.46</v>
      </c>
      <c r="CJ235" s="2" t="str">
        <f t="shared" si="370"/>
        <v>C</v>
      </c>
      <c r="CK235" s="3">
        <f t="shared" si="331"/>
        <v>40835</v>
      </c>
      <c r="CL235" s="11">
        <f t="shared" si="332"/>
        <v>0.63</v>
      </c>
      <c r="CM235" s="11" t="str">
        <f t="shared" si="333"/>
        <v>NOT CONGESTED</v>
      </c>
      <c r="CN235" s="3">
        <f t="shared" si="334"/>
        <v>2052</v>
      </c>
      <c r="CO235" s="11">
        <f t="shared" si="335"/>
        <v>0.42</v>
      </c>
      <c r="CP235" s="156" t="str">
        <f t="shared" si="371"/>
        <v>NOT CONGESTED</v>
      </c>
      <c r="CQ235" s="3"/>
      <c r="CR235" s="3"/>
      <c r="CS235" s="11" t="str">
        <f t="shared" si="337"/>
        <v/>
      </c>
      <c r="CT235" s="11" t="str">
        <f t="shared" si="372"/>
        <v/>
      </c>
      <c r="CU235" s="11" t="str">
        <f t="shared" si="338"/>
        <v/>
      </c>
      <c r="CV235" s="11" t="str">
        <f t="shared" si="339"/>
        <v/>
      </c>
      <c r="CW235" s="3"/>
      <c r="CX235" s="1"/>
      <c r="CY235" s="145" t="str">
        <f t="shared" si="340"/>
        <v/>
      </c>
      <c r="CZ235" s="32" t="str">
        <f t="shared" si="341"/>
        <v/>
      </c>
    </row>
    <row r="236" spans="1:104">
      <c r="A236" s="1">
        <v>35541002</v>
      </c>
      <c r="B236" s="1">
        <f t="shared" si="342"/>
        <v>173</v>
      </c>
      <c r="C236" s="1">
        <v>410</v>
      </c>
      <c r="D236" s="1">
        <f>VLOOKUP(C236,'2022 counts'!$A$6:$B$304,2,FALSE)</f>
        <v>173</v>
      </c>
      <c r="E236" s="1">
        <v>180016</v>
      </c>
      <c r="F236" s="2" t="s">
        <v>6</v>
      </c>
      <c r="G236" s="156">
        <v>40</v>
      </c>
      <c r="H236" s="11">
        <v>0.32213618942799999</v>
      </c>
      <c r="I236" s="10" t="s">
        <v>146</v>
      </c>
      <c r="J236" s="10" t="s">
        <v>66</v>
      </c>
      <c r="K236" s="10" t="s">
        <v>147</v>
      </c>
      <c r="L236" s="157">
        <v>4</v>
      </c>
      <c r="M236" s="1">
        <f>'State of the System - Sumter Co'!K236</f>
        <v>4</v>
      </c>
      <c r="N236" s="1" t="str">
        <f>IF('State of the System - Sumter Co'!L236="URBAN","U","R")</f>
        <v>R</v>
      </c>
      <c r="O236" s="1" t="str">
        <f>IF('State of the System - Sumter Co'!M236="UNDIVIDED","U",IF('State of the System - Sumter Co'!M236="DIVIDED","D","F"))</f>
        <v>D</v>
      </c>
      <c r="P236" s="1" t="str">
        <f>'State of the System - Sumter Co'!N236</f>
        <v>INTERRUPTED</v>
      </c>
      <c r="Q236" s="1" t="str">
        <f t="shared" si="300"/>
        <v/>
      </c>
      <c r="R236" s="1" t="str">
        <f>'State of the System - Sumter Co'!O236</f>
        <v/>
      </c>
      <c r="S236" s="1" t="str">
        <f t="shared" si="363"/>
        <v/>
      </c>
      <c r="T236" s="1" t="str">
        <f t="shared" si="301"/>
        <v>R-4D</v>
      </c>
      <c r="U236" s="1" t="str">
        <f t="shared" si="352"/>
        <v>R-4D</v>
      </c>
      <c r="V236" s="1" t="s">
        <v>137</v>
      </c>
      <c r="W236" s="1" t="s">
        <v>76</v>
      </c>
      <c r="X236" s="1" t="s">
        <v>138</v>
      </c>
      <c r="Y236" s="1" t="str">
        <f>'State of the System - Sumter Co'!R236</f>
        <v>D</v>
      </c>
      <c r="Z236" s="157" t="str">
        <f t="shared" si="302"/>
        <v>NHS Non-Interstate</v>
      </c>
      <c r="AA236" s="15">
        <f>VLOOKUP($T236,'2020_CapacityTable'!$B$49:$F$71,2)</f>
        <v>0</v>
      </c>
      <c r="AB236" s="15">
        <f>VLOOKUP($T236,'2020_CapacityTable'!$B$49:$F$71,3)</f>
        <v>29300</v>
      </c>
      <c r="AC236" s="15">
        <f>VLOOKUP($T236,'2020_CapacityTable'!$B$49:$F$71,4)</f>
        <v>30400</v>
      </c>
      <c r="AD236" s="15">
        <f>VLOOKUP($T236,'2020_CapacityTable'!$B$49:$F$71,5)</f>
        <v>30400</v>
      </c>
      <c r="AE236" s="35" t="str">
        <f t="shared" si="374"/>
        <v/>
      </c>
      <c r="AF236" s="36" t="str">
        <f t="shared" si="303"/>
        <v/>
      </c>
      <c r="AG236" s="35" t="str">
        <f t="shared" si="373"/>
        <v/>
      </c>
      <c r="AH236" s="35" t="str">
        <f>IF(O236="U",IF(#REF!&gt;2,"LOOK",""),"")</f>
        <v/>
      </c>
      <c r="AI236" s="35"/>
      <c r="AJ236" s="36">
        <v>0.05</v>
      </c>
      <c r="AK236" s="15">
        <f t="shared" si="304"/>
        <v>0</v>
      </c>
      <c r="AL236" s="15">
        <f t="shared" si="305"/>
        <v>30765</v>
      </c>
      <c r="AM236" s="15">
        <f t="shared" si="306"/>
        <v>31920</v>
      </c>
      <c r="AN236" s="15">
        <f t="shared" si="307"/>
        <v>31920</v>
      </c>
      <c r="AO236" s="3">
        <f t="shared" si="366"/>
        <v>31920</v>
      </c>
      <c r="AP236" s="138">
        <f>VLOOKUP($B236,'2022 counts'!$B$6:$R$304,17,FALSE)</f>
        <v>17514</v>
      </c>
      <c r="AQ236" s="11">
        <f t="shared" si="308"/>
        <v>0.55000000000000004</v>
      </c>
      <c r="AR236" s="2" t="str">
        <f t="shared" si="309"/>
        <v>C</v>
      </c>
      <c r="AS236" s="26">
        <f t="shared" si="310"/>
        <v>2.06</v>
      </c>
      <c r="AT236" s="15">
        <f>VLOOKUP($T236,'2020_CapacityTable'!$B$23:$F$45,2)</f>
        <v>0</v>
      </c>
      <c r="AU236" s="15">
        <f>VLOOKUP($T236,'2020_CapacityTable'!$B$23:$F$45,3)</f>
        <v>1530</v>
      </c>
      <c r="AV236" s="15">
        <f>VLOOKUP($T236,'2020_CapacityTable'!$B$23:$F$45,4)</f>
        <v>1580</v>
      </c>
      <c r="AW236" s="15">
        <f>VLOOKUP($T236,'2020_CapacityTable'!$B$23:$F$45,5)</f>
        <v>1580</v>
      </c>
      <c r="AX236" s="15">
        <f t="shared" si="311"/>
        <v>0</v>
      </c>
      <c r="AY236" s="15">
        <f t="shared" si="312"/>
        <v>1607</v>
      </c>
      <c r="AZ236" s="15">
        <f t="shared" si="313"/>
        <v>1659</v>
      </c>
      <c r="BA236" s="15">
        <f t="shared" si="314"/>
        <v>1659</v>
      </c>
      <c r="BB236" s="3">
        <f t="shared" si="367"/>
        <v>1659</v>
      </c>
      <c r="BC236" s="138">
        <f>VLOOKUP($B236,'2022 counts'!$B$6:$AD$304,28,FALSE)</f>
        <v>650</v>
      </c>
      <c r="BD236" s="138">
        <f>VLOOKUP($B236,'2022 counts'!$B$6:$AD$304,29,FALSE)</f>
        <v>696</v>
      </c>
      <c r="BE236" s="11">
        <f t="shared" si="315"/>
        <v>0.42</v>
      </c>
      <c r="BF236" s="2" t="str">
        <f t="shared" si="316"/>
        <v>C</v>
      </c>
      <c r="BG236" s="135">
        <v>3.5000000000000003E-2</v>
      </c>
      <c r="BH236" s="135">
        <f>IF($AQ236="","",VLOOKUP($B236, '2022 counts'!$B$6:$T$304,19,FALSE))</f>
        <v>3.5000000000000003E-2</v>
      </c>
      <c r="BI236" s="38">
        <f t="shared" si="317"/>
        <v>3.5000000000000003E-2</v>
      </c>
      <c r="BJ236" s="39" t="str">
        <f t="shared" si="318"/>
        <v/>
      </c>
      <c r="BK236" s="15">
        <f>VLOOKUP($U236,'2020_CapacityTable'!$B$49:$F$71,2)</f>
        <v>0</v>
      </c>
      <c r="BL236" s="15">
        <f>VLOOKUP($U236,'2020_CapacityTable'!$B$49:$F$71,3)</f>
        <v>29300</v>
      </c>
      <c r="BM236" s="15">
        <f>VLOOKUP($T236,'2020_CapacityTable'!$B$49:$F$71,4)</f>
        <v>30400</v>
      </c>
      <c r="BN236" s="15">
        <f>VLOOKUP($T236,'2020_CapacityTable'!$B$49:$F$71,5)</f>
        <v>30400</v>
      </c>
      <c r="BO236" s="15">
        <f t="shared" si="353"/>
        <v>0</v>
      </c>
      <c r="BP236" s="15">
        <f t="shared" si="349"/>
        <v>30765</v>
      </c>
      <c r="BQ236" s="15">
        <f t="shared" si="350"/>
        <v>31920</v>
      </c>
      <c r="BR236" s="15">
        <f t="shared" si="351"/>
        <v>31920</v>
      </c>
      <c r="BS236" s="3">
        <f t="shared" si="368"/>
        <v>31920</v>
      </c>
      <c r="BT236" s="40">
        <f>'State of the System - Sumter Co'!AD236</f>
        <v>20801</v>
      </c>
      <c r="BU236" s="41">
        <f t="shared" si="354"/>
        <v>0.65</v>
      </c>
      <c r="BV236" s="2" t="str">
        <f t="shared" si="355"/>
        <v>C</v>
      </c>
      <c r="BW236" s="2">
        <f t="shared" si="325"/>
        <v>2.4500000000000002</v>
      </c>
      <c r="BX236" s="15">
        <f>VLOOKUP($U236,'2020_CapacityTable'!$B$23:$F$45,2)</f>
        <v>0</v>
      </c>
      <c r="BY236" s="15">
        <f>VLOOKUP($U236,'2020_CapacityTable'!$B$23:$F$45,3)</f>
        <v>1530</v>
      </c>
      <c r="BZ236" s="15">
        <f>VLOOKUP($U236,'2020_CapacityTable'!$B$23:$F$45,4)</f>
        <v>1580</v>
      </c>
      <c r="CA236" s="15">
        <f>VLOOKUP($U236,'2020_CapacityTable'!$B$23:$F$45,5)</f>
        <v>1580</v>
      </c>
      <c r="CB236" s="15">
        <f t="shared" si="356"/>
        <v>0</v>
      </c>
      <c r="CC236" s="15">
        <f t="shared" si="357"/>
        <v>1607</v>
      </c>
      <c r="CD236" s="15">
        <f t="shared" si="358"/>
        <v>1659</v>
      </c>
      <c r="CE236" s="15">
        <f t="shared" si="359"/>
        <v>1659</v>
      </c>
      <c r="CF236" s="3">
        <f t="shared" si="369"/>
        <v>1659</v>
      </c>
      <c r="CG236" s="2">
        <f>'State of the System - Sumter Co'!AH236</f>
        <v>772</v>
      </c>
      <c r="CH236" s="2">
        <f>'State of the System - Sumter Co'!AI236</f>
        <v>827</v>
      </c>
      <c r="CI236" s="11">
        <f t="shared" si="330"/>
        <v>0.5</v>
      </c>
      <c r="CJ236" s="2" t="str">
        <f t="shared" si="370"/>
        <v>C</v>
      </c>
      <c r="CK236" s="3">
        <f t="shared" si="331"/>
        <v>34474</v>
      </c>
      <c r="CL236" s="11">
        <f t="shared" si="332"/>
        <v>0.6</v>
      </c>
      <c r="CM236" s="11" t="str">
        <f t="shared" si="333"/>
        <v>NOT CONGESTED</v>
      </c>
      <c r="CN236" s="3">
        <f t="shared" si="334"/>
        <v>1792</v>
      </c>
      <c r="CO236" s="11">
        <f t="shared" si="335"/>
        <v>0.46</v>
      </c>
      <c r="CP236" s="156" t="str">
        <f t="shared" si="371"/>
        <v>NOT CONGESTED</v>
      </c>
      <c r="CQ236" s="2"/>
      <c r="CR236" s="42"/>
      <c r="CS236" s="11" t="str">
        <f t="shared" si="337"/>
        <v/>
      </c>
      <c r="CT236" s="11" t="str">
        <f t="shared" si="372"/>
        <v/>
      </c>
      <c r="CU236" s="11" t="str">
        <f t="shared" si="338"/>
        <v/>
      </c>
      <c r="CV236" s="11" t="str">
        <f t="shared" si="339"/>
        <v/>
      </c>
      <c r="CW236" s="3"/>
      <c r="CX236" s="1"/>
      <c r="CY236" s="145" t="str">
        <f t="shared" si="340"/>
        <v/>
      </c>
      <c r="CZ236" s="32" t="str">
        <f t="shared" si="341"/>
        <v/>
      </c>
    </row>
    <row r="237" spans="1:104">
      <c r="A237" s="1">
        <v>35581601</v>
      </c>
      <c r="B237" s="1">
        <f t="shared" si="342"/>
        <v>180089</v>
      </c>
      <c r="C237" s="1">
        <v>408</v>
      </c>
      <c r="D237" s="1" t="str">
        <f>VLOOKUP(C237,'2022 counts'!$A$6:$B$304,2,FALSE)</f>
        <v>STATE</v>
      </c>
      <c r="E237" s="1">
        <v>180089</v>
      </c>
      <c r="F237" s="2" t="s">
        <v>136</v>
      </c>
      <c r="G237" s="156">
        <v>55</v>
      </c>
      <c r="H237" s="11">
        <v>6.28582292845</v>
      </c>
      <c r="I237" s="10" t="s">
        <v>81</v>
      </c>
      <c r="J237" s="10" t="s">
        <v>730</v>
      </c>
      <c r="K237" s="10" t="s">
        <v>40</v>
      </c>
      <c r="L237" s="157">
        <v>2</v>
      </c>
      <c r="M237" s="1">
        <f>'State of the System - Sumter Co'!K237</f>
        <v>2</v>
      </c>
      <c r="N237" s="1" t="str">
        <f>IF('State of the System - Sumter Co'!L237="URBAN","U","R")</f>
        <v>U</v>
      </c>
      <c r="O237" s="1" t="str">
        <f>IF('State of the System - Sumter Co'!M237="UNDIVIDED","U",IF('State of the System - Sumter Co'!M237="DIVIDED","D","F"))</f>
        <v>U</v>
      </c>
      <c r="P237" s="1" t="str">
        <f>'State of the System - Sumter Co'!N237</f>
        <v>UNINTERRUPTED</v>
      </c>
      <c r="Q237" s="1" t="str">
        <f t="shared" si="300"/>
        <v/>
      </c>
      <c r="R237" s="1" t="str">
        <f>'State of the System - Sumter Co'!O237</f>
        <v/>
      </c>
      <c r="S237" s="1" t="str">
        <f t="shared" si="363"/>
        <v>-x</v>
      </c>
      <c r="T237" s="1" t="str">
        <f t="shared" si="301"/>
        <v>U-2U-x</v>
      </c>
      <c r="U237" s="1" t="str">
        <f t="shared" si="352"/>
        <v>U-2U-x</v>
      </c>
      <c r="V237" s="1" t="s">
        <v>137</v>
      </c>
      <c r="W237" s="1" t="s">
        <v>11</v>
      </c>
      <c r="X237" s="1" t="s">
        <v>138</v>
      </c>
      <c r="Y237" s="1" t="str">
        <f>'State of the System - Sumter Co'!R237</f>
        <v>D</v>
      </c>
      <c r="Z237" s="157" t="str">
        <f t="shared" si="302"/>
        <v>NHS Non-Interstate</v>
      </c>
      <c r="AA237" s="15">
        <f>VLOOKUP($T237,'2020_CapacityTable'!$B$49:$F$71,2)</f>
        <v>11700</v>
      </c>
      <c r="AB237" s="15">
        <f>VLOOKUP($T237,'2020_CapacityTable'!$B$49:$F$71,3)</f>
        <v>18000</v>
      </c>
      <c r="AC237" s="15">
        <f>VLOOKUP($T237,'2020_CapacityTable'!$B$49:$F$71,4)</f>
        <v>24200</v>
      </c>
      <c r="AD237" s="15">
        <f>VLOOKUP($T237,'2020_CapacityTable'!$B$49:$F$71,5)</f>
        <v>32600</v>
      </c>
      <c r="AE237" s="35" t="str">
        <f t="shared" si="374"/>
        <v/>
      </c>
      <c r="AF237" s="36" t="str">
        <f t="shared" si="303"/>
        <v/>
      </c>
      <c r="AG237" s="35" t="str">
        <f t="shared" si="373"/>
        <v/>
      </c>
      <c r="AH237" s="35" t="str">
        <f>IF(O237="U",IF(L237&gt;2,"LOOK",""),"")</f>
        <v/>
      </c>
      <c r="AI237" s="35"/>
      <c r="AJ237" s="36"/>
      <c r="AK237" s="15">
        <f t="shared" si="304"/>
        <v>11700</v>
      </c>
      <c r="AL237" s="15">
        <f t="shared" si="305"/>
        <v>18000</v>
      </c>
      <c r="AM237" s="15">
        <f t="shared" si="306"/>
        <v>24200</v>
      </c>
      <c r="AN237" s="15">
        <f t="shared" si="307"/>
        <v>32600</v>
      </c>
      <c r="AO237" s="3">
        <f t="shared" si="366"/>
        <v>24200</v>
      </c>
      <c r="AP237" s="138">
        <f>VLOOKUP($B237,'2022 counts'!$B$6:$R$304,17,FALSE)</f>
        <v>5400</v>
      </c>
      <c r="AQ237" s="11">
        <f t="shared" si="308"/>
        <v>0.22</v>
      </c>
      <c r="AR237" s="2" t="str">
        <f t="shared" si="309"/>
        <v>B</v>
      </c>
      <c r="AS237" s="26">
        <f t="shared" si="310"/>
        <v>12.39</v>
      </c>
      <c r="AT237" s="15">
        <f>VLOOKUP($T237,'2020_CapacityTable'!$B$23:$F$45,2)</f>
        <v>580</v>
      </c>
      <c r="AU237" s="15">
        <f>VLOOKUP($T237,'2020_CapacityTable'!$B$23:$F$45,3)</f>
        <v>890</v>
      </c>
      <c r="AV237" s="15">
        <f>VLOOKUP($T237,'2020_CapacityTable'!$B$23:$F$45,4)</f>
        <v>1200</v>
      </c>
      <c r="AW237" s="15">
        <f>VLOOKUP($T237,'2020_CapacityTable'!$B$23:$F$45,5)</f>
        <v>1610</v>
      </c>
      <c r="AX237" s="15">
        <f t="shared" si="311"/>
        <v>580</v>
      </c>
      <c r="AY237" s="15">
        <f t="shared" si="312"/>
        <v>890</v>
      </c>
      <c r="AZ237" s="15">
        <f t="shared" si="313"/>
        <v>1200</v>
      </c>
      <c r="BA237" s="15">
        <f t="shared" si="314"/>
        <v>1610</v>
      </c>
      <c r="BB237" s="3">
        <f t="shared" si="367"/>
        <v>1200</v>
      </c>
      <c r="BC237" s="138">
        <f>VLOOKUP($B237,'2022 counts'!$B$6:$AD$304,28,FALSE)</f>
        <v>272</v>
      </c>
      <c r="BD237" s="138">
        <f>VLOOKUP($B237,'2022 counts'!$B$6:$AD$304,29,FALSE)</f>
        <v>241</v>
      </c>
      <c r="BE237" s="11">
        <f t="shared" si="315"/>
        <v>0.23</v>
      </c>
      <c r="BF237" s="2" t="str">
        <f t="shared" si="316"/>
        <v>B</v>
      </c>
      <c r="BG237" s="135">
        <v>0</v>
      </c>
      <c r="BH237" s="135">
        <f>IF($AQ237="","",VLOOKUP($B237, '2022 counts'!$B$6:$T$304,19,FALSE))</f>
        <v>0</v>
      </c>
      <c r="BI237" s="38">
        <f t="shared" si="317"/>
        <v>0.01</v>
      </c>
      <c r="BJ237" s="39" t="str">
        <f t="shared" si="318"/>
        <v>minimum</v>
      </c>
      <c r="BK237" s="15">
        <f>VLOOKUP($U237,'2020_CapacityTable'!$B$49:$F$71,2)</f>
        <v>11700</v>
      </c>
      <c r="BL237" s="15">
        <f>VLOOKUP($U237,'2020_CapacityTable'!$B$49:$F$71,3)</f>
        <v>18000</v>
      </c>
      <c r="BM237" s="15">
        <f>VLOOKUP($T237,'2020_CapacityTable'!$B$49:$F$71,4)</f>
        <v>24200</v>
      </c>
      <c r="BN237" s="15">
        <f>VLOOKUP($T237,'2020_CapacityTable'!$B$49:$F$71,5)</f>
        <v>32600</v>
      </c>
      <c r="BO237" s="15">
        <f t="shared" si="353"/>
        <v>11700</v>
      </c>
      <c r="BP237" s="15">
        <f t="shared" si="349"/>
        <v>18000</v>
      </c>
      <c r="BQ237" s="15">
        <f t="shared" si="350"/>
        <v>24200</v>
      </c>
      <c r="BR237" s="15">
        <f t="shared" si="351"/>
        <v>32600</v>
      </c>
      <c r="BS237" s="3">
        <f t="shared" si="368"/>
        <v>24200</v>
      </c>
      <c r="BT237" s="40">
        <f>'State of the System - Sumter Co'!AD237</f>
        <v>5675</v>
      </c>
      <c r="BU237" s="41">
        <f t="shared" si="354"/>
        <v>0.23</v>
      </c>
      <c r="BV237" s="2" t="str">
        <f t="shared" si="355"/>
        <v>B</v>
      </c>
      <c r="BW237" s="2">
        <f t="shared" si="325"/>
        <v>13.02</v>
      </c>
      <c r="BX237" s="15">
        <f>VLOOKUP($U237,'2020_CapacityTable'!$B$23:$F$45,2)</f>
        <v>580</v>
      </c>
      <c r="BY237" s="15">
        <f>VLOOKUP($U237,'2020_CapacityTable'!$B$23:$F$45,3)</f>
        <v>890</v>
      </c>
      <c r="BZ237" s="15">
        <f>VLOOKUP($U237,'2020_CapacityTable'!$B$23:$F$45,4)</f>
        <v>1200</v>
      </c>
      <c r="CA237" s="15">
        <f>VLOOKUP($U237,'2020_CapacityTable'!$B$23:$F$45,5)</f>
        <v>1610</v>
      </c>
      <c r="CB237" s="15">
        <f t="shared" si="356"/>
        <v>580</v>
      </c>
      <c r="CC237" s="15">
        <f t="shared" si="357"/>
        <v>890</v>
      </c>
      <c r="CD237" s="15">
        <f t="shared" si="358"/>
        <v>1200</v>
      </c>
      <c r="CE237" s="15">
        <f t="shared" si="359"/>
        <v>1610</v>
      </c>
      <c r="CF237" s="3">
        <f t="shared" si="369"/>
        <v>1200</v>
      </c>
      <c r="CG237" s="2">
        <f>'State of the System - Sumter Co'!AH237</f>
        <v>286</v>
      </c>
      <c r="CH237" s="2">
        <f>'State of the System - Sumter Co'!AI237</f>
        <v>253</v>
      </c>
      <c r="CI237" s="11">
        <f t="shared" si="330"/>
        <v>0.24</v>
      </c>
      <c r="CJ237" s="2" t="str">
        <f t="shared" si="370"/>
        <v>B</v>
      </c>
      <c r="CK237" s="3">
        <f t="shared" si="331"/>
        <v>35208</v>
      </c>
      <c r="CL237" s="11">
        <f t="shared" si="332"/>
        <v>0.16</v>
      </c>
      <c r="CM237" s="11" t="str">
        <f t="shared" si="333"/>
        <v>NOT CONGESTED</v>
      </c>
      <c r="CN237" s="3">
        <f t="shared" si="334"/>
        <v>1739</v>
      </c>
      <c r="CO237" s="11">
        <f t="shared" si="335"/>
        <v>0.16</v>
      </c>
      <c r="CP237" s="156" t="str">
        <f t="shared" si="371"/>
        <v>NOT CONGESTED</v>
      </c>
      <c r="CQ237" s="3"/>
      <c r="CR237" s="3"/>
      <c r="CS237" s="11" t="str">
        <f t="shared" si="337"/>
        <v/>
      </c>
      <c r="CT237" s="11" t="str">
        <f t="shared" si="372"/>
        <v/>
      </c>
      <c r="CU237" s="11" t="str">
        <f t="shared" si="338"/>
        <v/>
      </c>
      <c r="CV237" s="11" t="str">
        <f t="shared" si="339"/>
        <v/>
      </c>
      <c r="CW237" s="3"/>
      <c r="CX237" s="1"/>
      <c r="CY237" s="145" t="str">
        <f t="shared" si="340"/>
        <v/>
      </c>
      <c r="CZ237" s="32" t="str">
        <f t="shared" si="341"/>
        <v/>
      </c>
    </row>
    <row r="238" spans="1:104">
      <c r="A238" s="1">
        <v>40010001</v>
      </c>
      <c r="B238" s="1" t="str">
        <f t="shared" si="342"/>
        <v>2020-278</v>
      </c>
      <c r="C238" s="1">
        <v>278</v>
      </c>
      <c r="D238" s="1" t="str">
        <f>VLOOKUP(C238,'2022 counts'!$A$6:$B$304,2,FALSE)</f>
        <v>2020-278</v>
      </c>
      <c r="E238" s="1"/>
      <c r="F238" s="2" t="s">
        <v>6</v>
      </c>
      <c r="G238" s="156">
        <v>35</v>
      </c>
      <c r="H238" s="11">
        <v>0.242143498643</v>
      </c>
      <c r="I238" s="10" t="s">
        <v>53</v>
      </c>
      <c r="J238" s="10" t="s">
        <v>757</v>
      </c>
      <c r="K238" s="10" t="s">
        <v>106</v>
      </c>
      <c r="L238" s="157">
        <v>4</v>
      </c>
      <c r="M238" s="1">
        <f>'State of the System - Sumter Co'!K238</f>
        <v>4</v>
      </c>
      <c r="N238" s="1" t="str">
        <f>IF('State of the System - Sumter Co'!L238="URBAN","U","R")</f>
        <v>U</v>
      </c>
      <c r="O238" s="1" t="str">
        <f>IF('State of the System - Sumter Co'!M238="UNDIVIDED","U",IF('State of the System - Sumter Co'!M238="DIVIDED","D","F"))</f>
        <v>D</v>
      </c>
      <c r="P238" s="1" t="str">
        <f>'State of the System - Sumter Co'!N238</f>
        <v>INTERRUPTED</v>
      </c>
      <c r="Q238" s="1" t="str">
        <f t="shared" si="300"/>
        <v/>
      </c>
      <c r="R238" s="1" t="str">
        <f>'State of the System - Sumter Co'!O238</f>
        <v/>
      </c>
      <c r="S238" s="1" t="str">
        <f t="shared" si="363"/>
        <v>-2</v>
      </c>
      <c r="T238" s="1" t="str">
        <f t="shared" si="301"/>
        <v>U-4D-2</v>
      </c>
      <c r="U238" s="1" t="str">
        <f t="shared" si="352"/>
        <v>U-4D-2</v>
      </c>
      <c r="V238" s="1" t="s">
        <v>10</v>
      </c>
      <c r="W238" s="1" t="s">
        <v>25</v>
      </c>
      <c r="X238" s="1" t="s">
        <v>21</v>
      </c>
      <c r="Y238" s="1" t="str">
        <f>'State of the System - Sumter Co'!R238</f>
        <v>D</v>
      </c>
      <c r="Z238" s="157" t="str">
        <f t="shared" si="302"/>
        <v>Other CMP Network Roadways</v>
      </c>
      <c r="AA238" s="15">
        <f>VLOOKUP($T238,'2020_CapacityTable'!$B$49:$F$71,2)</f>
        <v>0</v>
      </c>
      <c r="AB238" s="15">
        <f>VLOOKUP($T238,'2020_CapacityTable'!$B$49:$F$71,3)</f>
        <v>14500</v>
      </c>
      <c r="AC238" s="15">
        <f>VLOOKUP($T238,'2020_CapacityTable'!$B$49:$F$71,4)</f>
        <v>32400</v>
      </c>
      <c r="AD238" s="15">
        <f>VLOOKUP($T238,'2020_CapacityTable'!$B$49:$F$71,5)</f>
        <v>33800</v>
      </c>
      <c r="AE238" s="35">
        <f t="shared" si="374"/>
        <v>-0.1</v>
      </c>
      <c r="AF238" s="36" t="str">
        <f t="shared" si="303"/>
        <v/>
      </c>
      <c r="AG238" s="35" t="str">
        <f t="shared" si="373"/>
        <v/>
      </c>
      <c r="AH238" s="35" t="str">
        <f>IF(O238="U",IF(#REF!&gt;2,"LOOK",""),"")</f>
        <v/>
      </c>
      <c r="AI238" s="35"/>
      <c r="AJ238" s="36">
        <v>0.05</v>
      </c>
      <c r="AK238" s="15">
        <f t="shared" si="304"/>
        <v>0</v>
      </c>
      <c r="AL238" s="15">
        <f t="shared" si="305"/>
        <v>13775</v>
      </c>
      <c r="AM238" s="15">
        <f t="shared" si="306"/>
        <v>30780</v>
      </c>
      <c r="AN238" s="15">
        <f t="shared" si="307"/>
        <v>32110</v>
      </c>
      <c r="AO238" s="3">
        <f t="shared" si="366"/>
        <v>30780</v>
      </c>
      <c r="AP238" s="138">
        <f>VLOOKUP($B238,'2022 counts'!$B$6:$R$304,17,FALSE)</f>
        <v>3484.6399999999849</v>
      </c>
      <c r="AQ238" s="11">
        <f t="shared" si="308"/>
        <v>0.11</v>
      </c>
      <c r="AR238" s="2" t="str">
        <f t="shared" si="309"/>
        <v>C</v>
      </c>
      <c r="AS238" s="26">
        <f t="shared" si="310"/>
        <v>0.31</v>
      </c>
      <c r="AT238" s="15">
        <f>VLOOKUP($T238,'2020_CapacityTable'!$B$23:$F$45,2)</f>
        <v>0</v>
      </c>
      <c r="AU238" s="15">
        <f>VLOOKUP($T238,'2020_CapacityTable'!$B$23:$F$45,3)</f>
        <v>730</v>
      </c>
      <c r="AV238" s="15">
        <f>VLOOKUP($T238,'2020_CapacityTable'!$B$23:$F$45,4)</f>
        <v>1630</v>
      </c>
      <c r="AW238" s="15">
        <f>VLOOKUP($T238,'2020_CapacityTable'!$B$23:$F$45,5)</f>
        <v>1700</v>
      </c>
      <c r="AX238" s="15">
        <f t="shared" si="311"/>
        <v>0</v>
      </c>
      <c r="AY238" s="15">
        <f t="shared" si="312"/>
        <v>694</v>
      </c>
      <c r="AZ238" s="15">
        <f t="shared" si="313"/>
        <v>1549</v>
      </c>
      <c r="BA238" s="15">
        <f t="shared" si="314"/>
        <v>1615</v>
      </c>
      <c r="BB238" s="3">
        <f t="shared" si="367"/>
        <v>1549</v>
      </c>
      <c r="BC238" s="138">
        <f>VLOOKUP($B238,'2022 counts'!$B$6:$AD$304,28,FALSE)</f>
        <v>154</v>
      </c>
      <c r="BD238" s="138">
        <f>VLOOKUP($B238,'2022 counts'!$B$6:$AD$304,29,FALSE)</f>
        <v>188</v>
      </c>
      <c r="BE238" s="11">
        <f t="shared" si="315"/>
        <v>0.12</v>
      </c>
      <c r="BF238" s="2" t="str">
        <f t="shared" si="316"/>
        <v>C</v>
      </c>
      <c r="BG238" s="135">
        <v>2.2499999999999999E-2</v>
      </c>
      <c r="BH238" s="135">
        <f>IF($AQ238="","",VLOOKUP($B238, '2022 counts'!$B$6:$T$304,19,FALSE))</f>
        <v>2.2499999999999999E-2</v>
      </c>
      <c r="BI238" s="38">
        <f t="shared" si="317"/>
        <v>2.2499999999999999E-2</v>
      </c>
      <c r="BJ238" s="39" t="str">
        <f t="shared" si="318"/>
        <v/>
      </c>
      <c r="BK238" s="15">
        <f>VLOOKUP($U238,'2020_CapacityTable'!$B$49:$F$71,2)</f>
        <v>0</v>
      </c>
      <c r="BL238" s="15">
        <f>VLOOKUP($U238,'2020_CapacityTable'!$B$49:$F$71,3)</f>
        <v>14500</v>
      </c>
      <c r="BM238" s="15">
        <f>VLOOKUP($T238,'2020_CapacityTable'!$B$49:$F$71,4)</f>
        <v>32400</v>
      </c>
      <c r="BN238" s="15">
        <f>VLOOKUP($T238,'2020_CapacityTable'!$B$49:$F$71,5)</f>
        <v>33800</v>
      </c>
      <c r="BO238" s="15">
        <f t="shared" si="353"/>
        <v>0</v>
      </c>
      <c r="BP238" s="15">
        <f t="shared" si="349"/>
        <v>13775</v>
      </c>
      <c r="BQ238" s="15">
        <f t="shared" si="350"/>
        <v>30780</v>
      </c>
      <c r="BR238" s="15">
        <f t="shared" si="351"/>
        <v>32110</v>
      </c>
      <c r="BS238" s="3">
        <f t="shared" si="368"/>
        <v>30780</v>
      </c>
      <c r="BT238" s="40">
        <f>'State of the System - Sumter Co'!AD238</f>
        <v>3895</v>
      </c>
      <c r="BU238" s="41">
        <f t="shared" si="354"/>
        <v>0.13</v>
      </c>
      <c r="BV238" s="2" t="str">
        <f t="shared" si="355"/>
        <v>C</v>
      </c>
      <c r="BW238" s="2">
        <f t="shared" si="325"/>
        <v>0.34</v>
      </c>
      <c r="BX238" s="15">
        <f>VLOOKUP($U238,'2020_CapacityTable'!$B$23:$F$45,2)</f>
        <v>0</v>
      </c>
      <c r="BY238" s="15">
        <f>VLOOKUP($U238,'2020_CapacityTable'!$B$23:$F$45,3)</f>
        <v>730</v>
      </c>
      <c r="BZ238" s="15">
        <f>VLOOKUP($U238,'2020_CapacityTable'!$B$23:$F$45,4)</f>
        <v>1630</v>
      </c>
      <c r="CA238" s="15">
        <f>VLOOKUP($U238,'2020_CapacityTable'!$B$23:$F$45,5)</f>
        <v>1700</v>
      </c>
      <c r="CB238" s="15">
        <f t="shared" si="356"/>
        <v>0</v>
      </c>
      <c r="CC238" s="15">
        <f t="shared" si="357"/>
        <v>694</v>
      </c>
      <c r="CD238" s="15">
        <f t="shared" si="358"/>
        <v>1549</v>
      </c>
      <c r="CE238" s="15">
        <f t="shared" si="359"/>
        <v>1615</v>
      </c>
      <c r="CF238" s="3">
        <f t="shared" si="369"/>
        <v>1549</v>
      </c>
      <c r="CG238" s="2">
        <f>'State of the System - Sumter Co'!AH238</f>
        <v>172</v>
      </c>
      <c r="CH238" s="2">
        <f>'State of the System - Sumter Co'!AI238</f>
        <v>210</v>
      </c>
      <c r="CI238" s="11">
        <f t="shared" si="330"/>
        <v>0.14000000000000001</v>
      </c>
      <c r="CJ238" s="2" t="str">
        <f t="shared" si="370"/>
        <v>C</v>
      </c>
      <c r="CK238" s="3">
        <f t="shared" si="331"/>
        <v>34679</v>
      </c>
      <c r="CL238" s="11">
        <f t="shared" si="332"/>
        <v>0.11</v>
      </c>
      <c r="CM238" s="11" t="str">
        <f t="shared" si="333"/>
        <v>NOT CONGESTED</v>
      </c>
      <c r="CN238" s="3">
        <f t="shared" si="334"/>
        <v>1744</v>
      </c>
      <c r="CO238" s="11">
        <f t="shared" si="335"/>
        <v>0.12</v>
      </c>
      <c r="CP238" s="156" t="str">
        <f t="shared" si="371"/>
        <v>NOT CONGESTED</v>
      </c>
      <c r="CQ238" s="2"/>
      <c r="CR238" s="42"/>
      <c r="CS238" s="11" t="str">
        <f t="shared" si="337"/>
        <v/>
      </c>
      <c r="CT238" s="11" t="str">
        <f t="shared" si="372"/>
        <v/>
      </c>
      <c r="CU238" s="11" t="str">
        <f t="shared" si="338"/>
        <v/>
      </c>
      <c r="CV238" s="11" t="str">
        <f t="shared" si="339"/>
        <v/>
      </c>
      <c r="CW238" s="3"/>
      <c r="CX238" s="1"/>
      <c r="CY238" s="145" t="str">
        <f t="shared" si="340"/>
        <v/>
      </c>
      <c r="CZ238" s="32" t="str">
        <f t="shared" si="341"/>
        <v/>
      </c>
    </row>
    <row r="239" spans="1:104">
      <c r="A239" s="1">
        <v>40090001</v>
      </c>
      <c r="B239" s="1">
        <f t="shared" si="342"/>
        <v>108</v>
      </c>
      <c r="C239" s="1">
        <v>113</v>
      </c>
      <c r="D239" s="1">
        <f>VLOOKUP(C239,'2022 counts'!$A$6:$B$304,2,FALSE)</f>
        <v>108</v>
      </c>
      <c r="E239" s="1"/>
      <c r="F239" s="2" t="s">
        <v>6</v>
      </c>
      <c r="G239" s="156">
        <v>55</v>
      </c>
      <c r="H239" s="11">
        <v>2.4300000000000002</v>
      </c>
      <c r="I239" s="10" t="s">
        <v>1170</v>
      </c>
      <c r="J239" s="10" t="s">
        <v>758</v>
      </c>
      <c r="K239" s="10" t="s">
        <v>701</v>
      </c>
      <c r="L239" s="157">
        <v>2</v>
      </c>
      <c r="M239" s="1">
        <f>'State of the System - Sumter Co'!K239</f>
        <v>2</v>
      </c>
      <c r="N239" s="1" t="str">
        <f>IF('State of the System - Sumter Co'!L239="URBAN","U","R")</f>
        <v>U</v>
      </c>
      <c r="O239" s="1" t="str">
        <f>IF('State of the System - Sumter Co'!M239="UNDIVIDED","U",IF('State of the System - Sumter Co'!M239="DIVIDED","D","F"))</f>
        <v>U</v>
      </c>
      <c r="P239" s="1" t="str">
        <f>'State of the System - Sumter Co'!N239</f>
        <v>UNINTERRUPTED</v>
      </c>
      <c r="Q239" s="1" t="str">
        <f t="shared" si="300"/>
        <v/>
      </c>
      <c r="R239" s="1" t="str">
        <f>'State of the System - Sumter Co'!O239</f>
        <v/>
      </c>
      <c r="S239" s="1" t="str">
        <f t="shared" si="363"/>
        <v>-x</v>
      </c>
      <c r="T239" s="1" t="str">
        <f t="shared" si="301"/>
        <v>U-2U-x</v>
      </c>
      <c r="U239" s="1" t="s">
        <v>553</v>
      </c>
      <c r="V239" s="1" t="s">
        <v>10</v>
      </c>
      <c r="W239" s="1" t="s">
        <v>25</v>
      </c>
      <c r="X239" s="1" t="s">
        <v>21</v>
      </c>
      <c r="Y239" s="1" t="str">
        <f>'State of the System - Sumter Co'!R239</f>
        <v>D</v>
      </c>
      <c r="Z239" s="157" t="str">
        <f t="shared" si="302"/>
        <v>Other CMP Network Roadways</v>
      </c>
      <c r="AA239" s="15">
        <f>VLOOKUP($T239,'2020_CapacityTable'!$B$49:$F$71,2)</f>
        <v>11700</v>
      </c>
      <c r="AB239" s="15">
        <f>VLOOKUP($T239,'2020_CapacityTable'!$B$49:$F$71,3)</f>
        <v>18000</v>
      </c>
      <c r="AC239" s="15">
        <f>VLOOKUP($T239,'2020_CapacityTable'!$B$49:$F$71,4)</f>
        <v>24200</v>
      </c>
      <c r="AD239" s="15">
        <f>VLOOKUP($T239,'2020_CapacityTable'!$B$49:$F$71,5)</f>
        <v>32600</v>
      </c>
      <c r="AE239" s="35"/>
      <c r="AF239" s="36" t="str">
        <f t="shared" si="303"/>
        <v/>
      </c>
      <c r="AG239" s="35"/>
      <c r="AH239" s="35" t="str">
        <f>IF(O239="U",IF(L239&gt;2,"LOOK",""),"")</f>
        <v/>
      </c>
      <c r="AI239" s="35"/>
      <c r="AJ239" s="36"/>
      <c r="AK239" s="15">
        <f t="shared" si="304"/>
        <v>11700</v>
      </c>
      <c r="AL239" s="15">
        <f t="shared" si="305"/>
        <v>18000</v>
      </c>
      <c r="AM239" s="15">
        <f t="shared" si="306"/>
        <v>24200</v>
      </c>
      <c r="AN239" s="15">
        <f t="shared" si="307"/>
        <v>32600</v>
      </c>
      <c r="AO239" s="3">
        <f t="shared" si="366"/>
        <v>24200</v>
      </c>
      <c r="AP239" s="138">
        <f>VLOOKUP($B239,'2022 counts'!$B$6:$R$304,17,FALSE)</f>
        <v>11703</v>
      </c>
      <c r="AQ239" s="11">
        <f t="shared" si="308"/>
        <v>0.48</v>
      </c>
      <c r="AR239" s="2" t="str">
        <f t="shared" si="309"/>
        <v>C</v>
      </c>
      <c r="AS239" s="26">
        <f t="shared" si="310"/>
        <v>10.38</v>
      </c>
      <c r="AT239" s="15">
        <f>VLOOKUP($T239,'2020_CapacityTable'!$B$23:$F$45,2)</f>
        <v>580</v>
      </c>
      <c r="AU239" s="15">
        <f>VLOOKUP($T239,'2020_CapacityTable'!$B$23:$F$45,3)</f>
        <v>890</v>
      </c>
      <c r="AV239" s="15">
        <f>VLOOKUP($T239,'2020_CapacityTable'!$B$23:$F$45,4)</f>
        <v>1200</v>
      </c>
      <c r="AW239" s="15">
        <f>VLOOKUP($T239,'2020_CapacityTable'!$B$23:$F$45,5)</f>
        <v>1610</v>
      </c>
      <c r="AX239" s="15">
        <f t="shared" si="311"/>
        <v>580</v>
      </c>
      <c r="AY239" s="15">
        <f t="shared" si="312"/>
        <v>890</v>
      </c>
      <c r="AZ239" s="15">
        <f t="shared" si="313"/>
        <v>1200</v>
      </c>
      <c r="BA239" s="15">
        <f t="shared" si="314"/>
        <v>1610</v>
      </c>
      <c r="BB239" s="3">
        <f t="shared" si="367"/>
        <v>1200</v>
      </c>
      <c r="BC239" s="138">
        <f>VLOOKUP($B239,'2022 counts'!$B$6:$AD$304,28,FALSE)</f>
        <v>516</v>
      </c>
      <c r="BD239" s="138">
        <f>VLOOKUP($B239,'2022 counts'!$B$6:$AD$304,29,FALSE)</f>
        <v>474</v>
      </c>
      <c r="BE239" s="11">
        <f t="shared" si="315"/>
        <v>0.43</v>
      </c>
      <c r="BF239" s="2" t="str">
        <f t="shared" si="316"/>
        <v>B</v>
      </c>
      <c r="BG239" s="135">
        <v>8.2500000000000004E-2</v>
      </c>
      <c r="BH239" s="135">
        <f>IF($AQ239="","",VLOOKUP($B239, '2022 counts'!$B$6:$T$304,19,FALSE))</f>
        <v>8.2500000000000004E-2</v>
      </c>
      <c r="BI239" s="38">
        <f t="shared" si="317"/>
        <v>8.2500000000000004E-2</v>
      </c>
      <c r="BJ239" s="39" t="str">
        <f t="shared" si="318"/>
        <v/>
      </c>
      <c r="BK239" s="15">
        <f>VLOOKUP($U239,'2020_CapacityTable'!$B$49:$F$71,2)</f>
        <v>0</v>
      </c>
      <c r="BL239" s="15">
        <f>VLOOKUP($U239,'2020_CapacityTable'!$B$49:$F$71,3)</f>
        <v>58400</v>
      </c>
      <c r="BM239" s="15">
        <f>VLOOKUP($U239,'2020_CapacityTable'!$B$49:$F$71,4)</f>
        <v>59900</v>
      </c>
      <c r="BN239" s="15">
        <f>VLOOKUP($U239,'2020_CapacityTable'!$B$49:$F$71,5)</f>
        <v>59900</v>
      </c>
      <c r="BO239" s="15">
        <f t="shared" si="353"/>
        <v>0</v>
      </c>
      <c r="BP239" s="15">
        <f t="shared" ref="BP239:BP260" si="375">ROUND(BL239*(1+SUM($AE239:$AJ239)),0)</f>
        <v>58400</v>
      </c>
      <c r="BQ239" s="15">
        <f t="shared" ref="BQ239:BQ260" si="376">ROUND(BM239*(1+SUM($AE239:$AJ239)),0)</f>
        <v>59900</v>
      </c>
      <c r="BR239" s="15">
        <f t="shared" ref="BR239:BR260" si="377">ROUND(BN239*(1+SUM($AE239:$AJ239)),0)</f>
        <v>59900</v>
      </c>
      <c r="BS239" s="3">
        <f t="shared" si="368"/>
        <v>59900</v>
      </c>
      <c r="BT239" s="40">
        <f>'State of the System - Sumter Co'!AD239</f>
        <v>17395</v>
      </c>
      <c r="BU239" s="41">
        <f t="shared" si="354"/>
        <v>0.28999999999999998</v>
      </c>
      <c r="BV239" s="2" t="str">
        <f t="shared" si="355"/>
        <v>C</v>
      </c>
      <c r="BW239" s="2">
        <f t="shared" si="325"/>
        <v>15.43</v>
      </c>
      <c r="BX239" s="15">
        <f>VLOOKUP($U239,'2020_CapacityTable'!$B$23:$F$45,2)</f>
        <v>0</v>
      </c>
      <c r="BY239" s="15">
        <f>VLOOKUP($U239,'2020_CapacityTable'!$B$23:$F$45,3)</f>
        <v>2940</v>
      </c>
      <c r="BZ239" s="15">
        <f>VLOOKUP($U239,'2020_CapacityTable'!$B$23:$F$45,4)</f>
        <v>3020</v>
      </c>
      <c r="CA239" s="15">
        <f>VLOOKUP($U239,'2020_CapacityTable'!$B$23:$F$45,5)</f>
        <v>3020</v>
      </c>
      <c r="CB239" s="15">
        <f t="shared" si="356"/>
        <v>0</v>
      </c>
      <c r="CC239" s="15">
        <f t="shared" si="357"/>
        <v>2940</v>
      </c>
      <c r="CD239" s="15">
        <f t="shared" si="358"/>
        <v>3020</v>
      </c>
      <c r="CE239" s="15">
        <f t="shared" si="359"/>
        <v>3020</v>
      </c>
      <c r="CF239" s="3">
        <f t="shared" si="369"/>
        <v>3020</v>
      </c>
      <c r="CG239" s="2">
        <f>'State of the System - Sumter Co'!AH239</f>
        <v>767</v>
      </c>
      <c r="CH239" s="2">
        <f>'State of the System - Sumter Co'!AI239</f>
        <v>705</v>
      </c>
      <c r="CI239" s="11">
        <f t="shared" si="330"/>
        <v>0.25</v>
      </c>
      <c r="CJ239" s="2" t="str">
        <f t="shared" si="370"/>
        <v>C</v>
      </c>
      <c r="CK239" s="3">
        <f t="shared" si="331"/>
        <v>35208</v>
      </c>
      <c r="CL239" s="11">
        <f t="shared" si="332"/>
        <v>0.49</v>
      </c>
      <c r="CM239" s="11" t="str">
        <f t="shared" si="333"/>
        <v>NOT CONGESTED</v>
      </c>
      <c r="CN239" s="3">
        <f t="shared" si="334"/>
        <v>1739</v>
      </c>
      <c r="CO239" s="11">
        <f t="shared" si="335"/>
        <v>0.44</v>
      </c>
      <c r="CP239" s="156" t="str">
        <f t="shared" si="371"/>
        <v>NOT CONGESTED</v>
      </c>
      <c r="CQ239" s="2"/>
      <c r="CR239" s="42"/>
      <c r="CS239" s="11" t="str">
        <f t="shared" si="337"/>
        <v/>
      </c>
      <c r="CT239" s="11" t="str">
        <f t="shared" si="372"/>
        <v/>
      </c>
      <c r="CU239" s="11" t="str">
        <f t="shared" si="338"/>
        <v/>
      </c>
      <c r="CV239" s="11" t="str">
        <f t="shared" si="339"/>
        <v/>
      </c>
      <c r="CW239" s="3"/>
      <c r="CX239" s="1"/>
      <c r="CY239" s="145" t="str">
        <f t="shared" si="340"/>
        <v/>
      </c>
      <c r="CZ239" s="32" t="str">
        <f t="shared" si="341"/>
        <v/>
      </c>
    </row>
    <row r="240" spans="1:104">
      <c r="A240" s="1">
        <v>40090002</v>
      </c>
      <c r="B240" s="1">
        <f t="shared" si="342"/>
        <v>108</v>
      </c>
      <c r="C240" s="1">
        <v>113</v>
      </c>
      <c r="D240" s="1">
        <f>VLOOKUP(C240,'2022 counts'!$A$6:$B$304,2,FALSE)</f>
        <v>108</v>
      </c>
      <c r="E240" s="1"/>
      <c r="F240" s="2" t="s">
        <v>593</v>
      </c>
      <c r="G240" s="156">
        <v>55</v>
      </c>
      <c r="H240" s="11">
        <v>0.48</v>
      </c>
      <c r="I240" s="10" t="s">
        <v>1170</v>
      </c>
      <c r="J240" s="10" t="s">
        <v>701</v>
      </c>
      <c r="K240" s="10" t="s">
        <v>744</v>
      </c>
      <c r="L240" s="157">
        <v>4</v>
      </c>
      <c r="M240" s="1">
        <f>'State of the System - Sumter Co'!K240</f>
        <v>4</v>
      </c>
      <c r="N240" s="1" t="str">
        <f>IF('State of the System - Sumter Co'!L240="URBAN","U","R")</f>
        <v>U</v>
      </c>
      <c r="O240" s="1" t="str">
        <f>IF('State of the System - Sumter Co'!M240="UNDIVIDED","U",IF('State of the System - Sumter Co'!M240="DIVIDED","D","F"))</f>
        <v>D</v>
      </c>
      <c r="P240" s="1" t="str">
        <f>'State of the System - Sumter Co'!N240</f>
        <v>INTERRUPTED</v>
      </c>
      <c r="Q240" s="1" t="str">
        <f t="shared" si="300"/>
        <v/>
      </c>
      <c r="R240" s="1" t="str">
        <f>'State of the System - Sumter Co'!O240</f>
        <v/>
      </c>
      <c r="S240" s="1" t="str">
        <f t="shared" si="363"/>
        <v>-1</v>
      </c>
      <c r="T240" s="1" t="str">
        <f t="shared" si="301"/>
        <v>U-4D-1</v>
      </c>
      <c r="U240" s="1" t="str">
        <f t="shared" si="352"/>
        <v>U-4D-1</v>
      </c>
      <c r="V240" s="1" t="s">
        <v>10</v>
      </c>
      <c r="W240" s="1" t="s">
        <v>25</v>
      </c>
      <c r="X240" s="1" t="s">
        <v>21</v>
      </c>
      <c r="Y240" s="1" t="str">
        <f>'State of the System - Sumter Co'!R240</f>
        <v>D</v>
      </c>
      <c r="Z240" s="157" t="str">
        <f t="shared" si="302"/>
        <v>Other CMP Network Roadways</v>
      </c>
      <c r="AA240" s="15">
        <f>VLOOKUP($T240,'2020_CapacityTable'!$B$49:$F$71,2)</f>
        <v>0</v>
      </c>
      <c r="AB240" s="15">
        <f>VLOOKUP($T240,'2020_CapacityTable'!$B$49:$F$71,3)</f>
        <v>37900</v>
      </c>
      <c r="AC240" s="15">
        <f>VLOOKUP($T240,'2020_CapacityTable'!$B$49:$F$71,4)</f>
        <v>39800</v>
      </c>
      <c r="AD240" s="15">
        <f>VLOOKUP($T240,'2020_CapacityTable'!$B$49:$F$71,5)</f>
        <v>39800</v>
      </c>
      <c r="AE240" s="35">
        <v>-0.1</v>
      </c>
      <c r="AF240" s="36" t="str">
        <f t="shared" si="303"/>
        <v/>
      </c>
      <c r="AG240" s="35"/>
      <c r="AH240" s="35" t="str">
        <f>IF(O240="U",IF(#REF!&gt;2,"LOOK",""),"")</f>
        <v/>
      </c>
      <c r="AI240" s="35"/>
      <c r="AJ240" s="36"/>
      <c r="AK240" s="15">
        <f t="shared" si="304"/>
        <v>0</v>
      </c>
      <c r="AL240" s="15">
        <f t="shared" si="305"/>
        <v>34110</v>
      </c>
      <c r="AM240" s="15">
        <f t="shared" si="306"/>
        <v>35820</v>
      </c>
      <c r="AN240" s="15">
        <f t="shared" si="307"/>
        <v>35820</v>
      </c>
      <c r="AO240" s="3">
        <f t="shared" si="366"/>
        <v>35820</v>
      </c>
      <c r="AP240" s="138">
        <f>VLOOKUP($B240,'2022 counts'!$B$6:$R$304,17,FALSE)</f>
        <v>11703</v>
      </c>
      <c r="AQ240" s="11">
        <f t="shared" si="308"/>
        <v>0.33</v>
      </c>
      <c r="AR240" s="2" t="str">
        <f t="shared" si="309"/>
        <v>C</v>
      </c>
      <c r="AS240" s="26">
        <f t="shared" si="310"/>
        <v>2.0499999999999998</v>
      </c>
      <c r="AT240" s="15">
        <f>VLOOKUP($T240,'2020_CapacityTable'!$B$23:$F$45,2)</f>
        <v>0</v>
      </c>
      <c r="AU240" s="15">
        <f>VLOOKUP($T240,'2020_CapacityTable'!$B$23:$F$45,3)</f>
        <v>1910</v>
      </c>
      <c r="AV240" s="15">
        <f>VLOOKUP($T240,'2020_CapacityTable'!$B$23:$F$45,4)</f>
        <v>2000</v>
      </c>
      <c r="AW240" s="15">
        <f>VLOOKUP($T240,'2020_CapacityTable'!$B$23:$F$45,5)</f>
        <v>2000</v>
      </c>
      <c r="AX240" s="15">
        <f t="shared" si="311"/>
        <v>0</v>
      </c>
      <c r="AY240" s="15">
        <f t="shared" si="312"/>
        <v>1719</v>
      </c>
      <c r="AZ240" s="15">
        <f t="shared" si="313"/>
        <v>1800</v>
      </c>
      <c r="BA240" s="15">
        <f t="shared" si="314"/>
        <v>1800</v>
      </c>
      <c r="BB240" s="3">
        <f t="shared" si="367"/>
        <v>1800</v>
      </c>
      <c r="BC240" s="138">
        <f>VLOOKUP($B240,'2022 counts'!$B$6:$AD$304,28,FALSE)</f>
        <v>516</v>
      </c>
      <c r="BD240" s="138">
        <f>VLOOKUP($B240,'2022 counts'!$B$6:$AD$304,29,FALSE)</f>
        <v>474</v>
      </c>
      <c r="BE240" s="11">
        <f t="shared" si="315"/>
        <v>0.28999999999999998</v>
      </c>
      <c r="BF240" s="2" t="str">
        <f t="shared" si="316"/>
        <v>C</v>
      </c>
      <c r="BG240" s="135">
        <v>8.2500000000000004E-2</v>
      </c>
      <c r="BH240" s="135">
        <f>IF($AQ240="","",VLOOKUP($B240, '2022 counts'!$B$6:$T$304,19,FALSE))</f>
        <v>8.2500000000000004E-2</v>
      </c>
      <c r="BI240" s="38">
        <f t="shared" si="317"/>
        <v>8.2500000000000004E-2</v>
      </c>
      <c r="BJ240" s="39" t="str">
        <f t="shared" si="318"/>
        <v/>
      </c>
      <c r="BK240" s="15">
        <f>VLOOKUP($U240,'2020_CapacityTable'!$B$49:$F$71,2)</f>
        <v>0</v>
      </c>
      <c r="BL240" s="15">
        <f>VLOOKUP($U240,'2020_CapacityTable'!$B$49:$F$71,3)</f>
        <v>37900</v>
      </c>
      <c r="BM240" s="15">
        <f>VLOOKUP($T240,'2020_CapacityTable'!$B$49:$F$71,4)</f>
        <v>39800</v>
      </c>
      <c r="BN240" s="15">
        <f>VLOOKUP($T240,'2020_CapacityTable'!$B$49:$F$71,5)</f>
        <v>39800</v>
      </c>
      <c r="BO240" s="15">
        <f t="shared" si="353"/>
        <v>0</v>
      </c>
      <c r="BP240" s="15">
        <f t="shared" si="375"/>
        <v>34110</v>
      </c>
      <c r="BQ240" s="15">
        <f t="shared" si="376"/>
        <v>35820</v>
      </c>
      <c r="BR240" s="15">
        <f t="shared" si="377"/>
        <v>35820</v>
      </c>
      <c r="BS240" s="3">
        <f t="shared" si="368"/>
        <v>35820</v>
      </c>
      <c r="BT240" s="40">
        <f>'State of the System - Sumter Co'!AD240</f>
        <v>17395</v>
      </c>
      <c r="BU240" s="41">
        <f t="shared" si="354"/>
        <v>0.49</v>
      </c>
      <c r="BV240" s="2" t="str">
        <f t="shared" si="355"/>
        <v>C</v>
      </c>
      <c r="BW240" s="2">
        <f t="shared" si="325"/>
        <v>3.05</v>
      </c>
      <c r="BX240" s="15">
        <f>VLOOKUP($U240,'2020_CapacityTable'!$B$23:$F$45,2)</f>
        <v>0</v>
      </c>
      <c r="BY240" s="15">
        <f>VLOOKUP($U240,'2020_CapacityTable'!$B$23:$F$45,3)</f>
        <v>1910</v>
      </c>
      <c r="BZ240" s="15">
        <f>VLOOKUP($U240,'2020_CapacityTable'!$B$23:$F$45,4)</f>
        <v>2000</v>
      </c>
      <c r="CA240" s="15">
        <f>VLOOKUP($U240,'2020_CapacityTable'!$B$23:$F$45,5)</f>
        <v>2000</v>
      </c>
      <c r="CB240" s="15">
        <f t="shared" si="356"/>
        <v>0</v>
      </c>
      <c r="CC240" s="15">
        <f t="shared" si="357"/>
        <v>1719</v>
      </c>
      <c r="CD240" s="15">
        <f t="shared" si="358"/>
        <v>1800</v>
      </c>
      <c r="CE240" s="15">
        <f t="shared" si="359"/>
        <v>1800</v>
      </c>
      <c r="CF240" s="3">
        <f t="shared" si="369"/>
        <v>1800</v>
      </c>
      <c r="CG240" s="2">
        <f>'State of the System - Sumter Co'!AH240</f>
        <v>767</v>
      </c>
      <c r="CH240" s="2">
        <f>'State of the System - Sumter Co'!AI240</f>
        <v>705</v>
      </c>
      <c r="CI240" s="11">
        <f t="shared" si="330"/>
        <v>0.43</v>
      </c>
      <c r="CJ240" s="2" t="str">
        <f t="shared" si="370"/>
        <v>C</v>
      </c>
      <c r="CK240" s="3">
        <f t="shared" si="331"/>
        <v>38686</v>
      </c>
      <c r="CL240" s="11">
        <f t="shared" si="332"/>
        <v>0.45</v>
      </c>
      <c r="CM240" s="11" t="str">
        <f t="shared" si="333"/>
        <v>NOT CONGESTED</v>
      </c>
      <c r="CN240" s="3">
        <f t="shared" si="334"/>
        <v>1944</v>
      </c>
      <c r="CO240" s="11">
        <f t="shared" si="335"/>
        <v>0.39</v>
      </c>
      <c r="CP240" s="156" t="str">
        <f t="shared" si="371"/>
        <v>NOT CONGESTED</v>
      </c>
      <c r="CQ240" s="2"/>
      <c r="CR240" s="42"/>
      <c r="CS240" s="11" t="str">
        <f t="shared" si="337"/>
        <v/>
      </c>
      <c r="CT240" s="11" t="str">
        <f t="shared" si="372"/>
        <v/>
      </c>
      <c r="CU240" s="11" t="str">
        <f t="shared" si="338"/>
        <v/>
      </c>
      <c r="CV240" s="11" t="str">
        <f t="shared" si="339"/>
        <v/>
      </c>
      <c r="CW240" s="2"/>
      <c r="CX240" s="1"/>
      <c r="CY240" s="145" t="str">
        <f t="shared" si="340"/>
        <v/>
      </c>
      <c r="CZ240" s="32" t="str">
        <f t="shared" si="341"/>
        <v/>
      </c>
    </row>
    <row r="241" spans="1:104">
      <c r="A241" s="1">
        <v>40090003</v>
      </c>
      <c r="B241" s="1">
        <f t="shared" si="342"/>
        <v>131</v>
      </c>
      <c r="C241" s="1"/>
      <c r="D241" s="1">
        <v>131</v>
      </c>
      <c r="E241" s="1"/>
      <c r="F241" s="2" t="s">
        <v>6</v>
      </c>
      <c r="G241" s="156">
        <v>25</v>
      </c>
      <c r="H241" s="11">
        <v>1.2</v>
      </c>
      <c r="I241" s="10" t="s">
        <v>859</v>
      </c>
      <c r="J241" s="10" t="s">
        <v>744</v>
      </c>
      <c r="K241" s="10" t="s">
        <v>860</v>
      </c>
      <c r="L241" s="157">
        <v>2</v>
      </c>
      <c r="M241" s="1">
        <v>2</v>
      </c>
      <c r="N241" s="1" t="s">
        <v>858</v>
      </c>
      <c r="O241" s="1" t="s">
        <v>5</v>
      </c>
      <c r="P241" s="1" t="s">
        <v>651</v>
      </c>
      <c r="Q241" s="1"/>
      <c r="R241" s="1"/>
      <c r="S241" s="1" t="str">
        <f t="shared" si="363"/>
        <v>-2</v>
      </c>
      <c r="T241" s="1" t="str">
        <f t="shared" ref="T241" si="378">CONCATENATE(N241,"-",L241,O241,S241,Q241)</f>
        <v>U-2D-2</v>
      </c>
      <c r="U241" s="1" t="str">
        <f t="shared" ref="U241" si="379">CONCATENATE(N241,"-",L241,O241,S241,Q241)</f>
        <v>U-2D-2</v>
      </c>
      <c r="V241" s="1" t="s">
        <v>10</v>
      </c>
      <c r="W241" s="1" t="s">
        <v>25</v>
      </c>
      <c r="X241" s="1" t="s">
        <v>21</v>
      </c>
      <c r="Y241" s="1" t="str">
        <f>'State of the System - Sumter Co'!R242</f>
        <v>D</v>
      </c>
      <c r="Z241" s="157" t="str">
        <f t="shared" ref="Z241" si="380">IF(AND(V241="STATE",X241="FREEWAY"),"NHS Interstate",IF(V241="STATE","NHS Non-Interstate","Other CMP Network Roadways"))</f>
        <v>Other CMP Network Roadways</v>
      </c>
      <c r="AA241" s="15">
        <f>VLOOKUP($T241,'2020_CapacityTable'!$B$49:$F$71,2)</f>
        <v>0</v>
      </c>
      <c r="AB241" s="15">
        <f>VLOOKUP($T241,'2020_CapacityTable'!$B$49:$F$71,3)</f>
        <v>7665</v>
      </c>
      <c r="AC241" s="15">
        <f>VLOOKUP($T241,'2020_CapacityTable'!$B$49:$F$71,4)</f>
        <v>15540</v>
      </c>
      <c r="AD241" s="15">
        <f>VLOOKUP($T241,'2020_CapacityTable'!$B$49:$F$71,5)</f>
        <v>16380</v>
      </c>
      <c r="AE241" s="35">
        <v>-0.1</v>
      </c>
      <c r="AF241" s="36">
        <v>0.05</v>
      </c>
      <c r="AG241" s="35"/>
      <c r="AH241" s="35"/>
      <c r="AI241" s="35"/>
      <c r="AJ241" s="36"/>
      <c r="AK241" s="15">
        <f t="shared" ref="AK241" si="381">ROUND(AA241*(1+SUM($AE241:$AJ241)),0)</f>
        <v>0</v>
      </c>
      <c r="AL241" s="15">
        <f t="shared" ref="AL241" si="382">ROUND(AB241*(1+SUM($AE241:$AJ241)),0)</f>
        <v>7282</v>
      </c>
      <c r="AM241" s="15">
        <f t="shared" ref="AM241" si="383">ROUND(AC241*(1+SUM($AE241:$AJ241)),0)</f>
        <v>14763</v>
      </c>
      <c r="AN241" s="15">
        <f t="shared" ref="AN241" si="384">ROUND(AD241*(1+SUM($AE241:$AJ241)),0)</f>
        <v>15561</v>
      </c>
      <c r="AO241" s="3">
        <f t="shared" ref="AO241" si="385">IF(Y241="","",IF(Y241="B",AK241,IF(Y241="C",AL241,IF(Y241="D",AM241,AN241))))</f>
        <v>14763</v>
      </c>
      <c r="AP241" s="138">
        <f>VLOOKUP($B241,'2022 counts'!$B$6:$R$304,17,FALSE)</f>
        <v>7639</v>
      </c>
      <c r="AQ241" s="11">
        <f t="shared" ref="AQ241" si="386">IF(AND(AP241="-"),"",ROUND(AP241/AO241,2))</f>
        <v>0.52</v>
      </c>
      <c r="AR241" s="2" t="str">
        <f t="shared" ref="AR241" si="387">IF(AQ241="","",IF(AP241&lt;=$AK241,"B",IF(AP241&lt;=$AL241,"C",IF(AP241&lt;=$AM241,"D",IF(AP241&lt;=$AN241,"E","F")))))</f>
        <v>D</v>
      </c>
      <c r="AS241" s="26">
        <f t="shared" ref="AS241" si="388">IF(AP241="-","",ROUND(AP241*H241*365/1000000,2))</f>
        <v>3.35</v>
      </c>
      <c r="AT241" s="15">
        <f>VLOOKUP($T241,'2020_CapacityTable'!$B$23:$F$45,2)</f>
        <v>0</v>
      </c>
      <c r="AU241" s="15">
        <f>VLOOKUP($T241,'2020_CapacityTable'!$B$23:$F$45,3)</f>
        <v>370</v>
      </c>
      <c r="AV241" s="15">
        <f>VLOOKUP($T241,'2020_CapacityTable'!$B$23:$F$45,4)</f>
        <v>750</v>
      </c>
      <c r="AW241" s="15">
        <f>VLOOKUP($T241,'2020_CapacityTable'!$B$23:$F$45,5)</f>
        <v>800</v>
      </c>
      <c r="AX241" s="15">
        <f t="shared" ref="AX241" si="389">ROUND(AT241*(1+SUM($AE241:$AJ241)),0)</f>
        <v>0</v>
      </c>
      <c r="AY241" s="15">
        <f t="shared" ref="AY241" si="390">ROUND(AU241*(1+SUM($AE241:$AJ241)),0)</f>
        <v>352</v>
      </c>
      <c r="AZ241" s="15">
        <f t="shared" ref="AZ241" si="391">ROUND(AV241*(1+SUM($AE241:$AJ241)),0)</f>
        <v>713</v>
      </c>
      <c r="BA241" s="15">
        <f t="shared" ref="BA241" si="392">ROUND(AW241*(1+SUM($AE241:$AJ241)),0)</f>
        <v>760</v>
      </c>
      <c r="BB241" s="3">
        <f t="shared" ref="BB241" si="393">IF(Y241="","",IF(Y241="B",AX241,IF(Y241="C",AY241,IF(Y241="D",AZ241,BA241))))</f>
        <v>713</v>
      </c>
      <c r="BC241" s="138">
        <f>VLOOKUP($B241,'2022 counts'!$B$6:$AD$304,28,FALSE)</f>
        <v>368</v>
      </c>
      <c r="BD241" s="138">
        <f>VLOOKUP($B241,'2022 counts'!$B$6:$AD$304,29,FALSE)</f>
        <v>433</v>
      </c>
      <c r="BE241" s="11">
        <f t="shared" si="315"/>
        <v>0.61</v>
      </c>
      <c r="BF241" s="2" t="str">
        <f t="shared" ref="BF241" si="394">IF(BE241="","",IF(MAX(BC241,BD241)&lt;=$AX241,"B",IF(MAX(BC241,BD241)&lt;=$AY241,"C",IF(MAX(BC241,BD241)&lt;=$AZ241,"D",IF(MAX(BC241,BD241)&lt;=$BA241,"E","F")))))</f>
        <v>D</v>
      </c>
      <c r="BG241" s="135">
        <v>0.185</v>
      </c>
      <c r="BH241" s="135">
        <v>0.05</v>
      </c>
      <c r="BI241" s="38">
        <f>IF(BG241=BH241,IF(BG241&gt;0.01,BG241,0.01),IF(BH241&gt;0.01,BH241,0.01))</f>
        <v>0.05</v>
      </c>
      <c r="BJ241" s="386">
        <v>-2</v>
      </c>
      <c r="BK241" s="15">
        <f>VLOOKUP($U241,'2020_CapacityTable'!$B$49:$F$71,2)</f>
        <v>0</v>
      </c>
      <c r="BL241" s="15">
        <f>VLOOKUP($U241,'2020_CapacityTable'!$B$49:$F$71,3)</f>
        <v>7665</v>
      </c>
      <c r="BM241" s="15">
        <f>VLOOKUP($T241,'2020_CapacityTable'!$B$49:$F$71,4)</f>
        <v>15540</v>
      </c>
      <c r="BN241" s="15">
        <f>VLOOKUP($T241,'2020_CapacityTable'!$B$49:$F$71,5)</f>
        <v>16380</v>
      </c>
      <c r="BO241" s="15">
        <f t="shared" ref="BO241" si="395">ROUND(BK241*(1+SUM($AE241:$AJ241)),0)</f>
        <v>0</v>
      </c>
      <c r="BP241" s="15">
        <f t="shared" ref="BP241" si="396">ROUND(BL241*(1+SUM($AE241:$AJ241)),0)</f>
        <v>7282</v>
      </c>
      <c r="BQ241" s="15">
        <f t="shared" ref="BQ241" si="397">ROUND(BM241*(1+SUM($AE241:$AJ241)),0)</f>
        <v>14763</v>
      </c>
      <c r="BR241" s="15">
        <f t="shared" ref="BR241" si="398">ROUND(BN241*(1+SUM($AE241:$AJ241)),0)</f>
        <v>15561</v>
      </c>
      <c r="BS241" s="3">
        <f t="shared" ref="BS241" si="399">IF($Y241="","",IF($Y241="B",BO241,IF($Y241="C",BP241,IF($Y241="D",BQ241,BR241))))</f>
        <v>14763</v>
      </c>
      <c r="BT241" s="40">
        <f>'State of the System - Sumter Co'!AD241</f>
        <v>9750</v>
      </c>
      <c r="BU241" s="41">
        <f t="shared" ref="BU241" si="400">IF(BT241="-","",ROUND(BT241/BS241,2))</f>
        <v>0.66</v>
      </c>
      <c r="BV241" s="2" t="str">
        <f t="shared" ref="BV241" si="401">IF(BU241="","",IF(BT241&lt;=$BO241,"B",IF(BT241&lt;=$BP241,"C",IF(BT241&lt;=$BQ241,"D",IF(BT241&lt;=$BR241,"E","F")))))</f>
        <v>D</v>
      </c>
      <c r="BW241" s="2">
        <f t="shared" ref="BW241" si="402">IF(BT241="-","",ROUND(BT241*H241*365/1000000,2))</f>
        <v>4.2699999999999996</v>
      </c>
      <c r="BX241" s="15">
        <f>VLOOKUP($U241,'2020_CapacityTable'!$B$23:$F$45,2)</f>
        <v>0</v>
      </c>
      <c r="BY241" s="15">
        <f>VLOOKUP($U241,'2020_CapacityTable'!$B$23:$F$45,3)</f>
        <v>370</v>
      </c>
      <c r="BZ241" s="15">
        <f>VLOOKUP($U241,'2020_CapacityTable'!$B$23:$F$45,4)</f>
        <v>750</v>
      </c>
      <c r="CA241" s="15">
        <f>VLOOKUP($U241,'2020_CapacityTable'!$B$23:$F$45,5)</f>
        <v>800</v>
      </c>
      <c r="CB241" s="15">
        <f t="shared" ref="CB241" si="403">ROUND(BX241*(1+SUM($AE241:$AJ241)),0)</f>
        <v>0</v>
      </c>
      <c r="CC241" s="15">
        <f t="shared" ref="CC241" si="404">ROUND(BY241*(1+SUM($AE241:$AJ241)),0)</f>
        <v>352</v>
      </c>
      <c r="CD241" s="15">
        <f t="shared" ref="CD241" si="405">ROUND(BZ241*(1+SUM($AE241:$AJ241)),0)</f>
        <v>713</v>
      </c>
      <c r="CE241" s="15">
        <f t="shared" ref="CE241" si="406">ROUND(CA241*(1+SUM($AE241:$AJ241)),0)</f>
        <v>760</v>
      </c>
      <c r="CF241" s="3">
        <f t="shared" ref="CF241" si="407">IF($Y241="","",IF($Y241="B",CB241,IF($Y241="C",CC241,IF($Y241="D",CD241,CE241))))</f>
        <v>713</v>
      </c>
      <c r="CG241" s="2">
        <f>'State of the System - Sumter Co'!AH241</f>
        <v>470</v>
      </c>
      <c r="CH241" s="2">
        <f>'State of the System - Sumter Co'!AI241</f>
        <v>553</v>
      </c>
      <c r="CI241" s="11">
        <f t="shared" si="330"/>
        <v>0.78</v>
      </c>
      <c r="CJ241" s="2" t="str">
        <f t="shared" ref="CJ241" si="408">IF(OR(CI241="",CI241="-",CI241=0),"",IF(MAX(CG241,CH241)&lt;=$AX241,"B",IF(MAX(CG241,CH241)&lt;=$AY241,"C",IF(MAX(CG241,CH241)&lt;=$AZ241,"D",IF(MAX(CG241,CH241)&lt;=$BA241,"E","F")))))</f>
        <v>D</v>
      </c>
      <c r="CK241" s="3">
        <f>ROUND(1.08*AN241,0)</f>
        <v>16806</v>
      </c>
      <c r="CL241" s="11">
        <f>IF(BT241="-","",ROUND(BT241/CK241,2))</f>
        <v>0.57999999999999996</v>
      </c>
      <c r="CM241" s="11" t="str">
        <f t="shared" ref="CM241" si="409">IF(CL241="","",IF(AP241&gt;CK241,"EXTREMELY (2020)",IF(CL241&gt;1,"EXTREMELY (2025)",IF(AQ241&gt;1,"CONGESTED (2020)",IF(BU241&gt;1,"CONGESTED (2025)",IF(OR(AQ241&gt;=0.9,BU241&gt;=0.9),"APPROACHING CONGESTION","NOT CONGESTED"))))))</f>
        <v>NOT CONGESTED</v>
      </c>
      <c r="CN241" s="3">
        <f t="shared" ref="CN241" si="410">ROUND(1.08*BA241,0)</f>
        <v>821</v>
      </c>
      <c r="CO241" s="11">
        <f t="shared" ref="CO241" si="411">IF(OR(AND(CG241="-",CH241="-"),AND(CG241="",CH241="")),"",ROUND(MAX(CG241,CH241)/CN241,2))</f>
        <v>0.67</v>
      </c>
      <c r="CP241" s="156" t="str">
        <f t="shared" ref="CP241" si="412">IF(OR(CO241="",CO241=0),"",IF(OR(BC241&gt;CN241,BD241&gt;CN241),"EXTREMELY (2020)",IF(CO241&gt;1,"EXTREMELY (2025)",IF(BE241&gt;1,"CONGESTED (2020)",IF(CI241&gt;1,"CONGESTED (2025)",IF(OR(BE241&gt;=0.9,CI241&gt;=0.9),"APPROACHING CONGESTION","NOT CONGESTED"))))))</f>
        <v>NOT CONGESTED</v>
      </c>
      <c r="CQ241" s="2"/>
      <c r="CR241" s="42"/>
      <c r="CS241" s="11" t="str">
        <f t="shared" ref="CS241" si="413">IF(OR(AP241="",AR241="",AQ241&lt;1),"",ROUND(H241,2))</f>
        <v/>
      </c>
      <c r="CT241" s="11" t="str">
        <f t="shared" ref="CT241" si="414">IF(OR(BT241="",BV241="",BU241&lt;1),"",ROUND(H241,2))</f>
        <v/>
      </c>
      <c r="CU241" s="11" t="str">
        <f t="shared" ref="CU241" si="415">IF(OR(AP241="",AR241="",AP241&lt;$CK241),"",ROUND($H241,2))</f>
        <v/>
      </c>
      <c r="CV241" s="11" t="str">
        <f t="shared" ref="CV241" si="416">IF(OR(AQ241="",AS241="",BT241&lt;$CK241),"",ROUND($H241,2))</f>
        <v/>
      </c>
      <c r="CW241" s="2"/>
      <c r="CX241" s="1"/>
      <c r="CY241" s="145" t="str">
        <f t="shared" ref="CY241" si="417">IF(OR(AP241="",AR241="",AQ241&lt;1),"",ROUND($H241*AP241*365/1000000,2))</f>
        <v/>
      </c>
      <c r="CZ241" s="32" t="str">
        <f t="shared" ref="CZ241" si="418">IF(OR(BT241="",BV241="",BU241&lt;1),"",ROUND(BT241*$H241*365/1000000,2))</f>
        <v/>
      </c>
    </row>
    <row r="242" spans="1:104">
      <c r="A242" s="1">
        <v>50000101</v>
      </c>
      <c r="B242" s="1">
        <f t="shared" si="342"/>
        <v>135</v>
      </c>
      <c r="C242" s="1">
        <v>149</v>
      </c>
      <c r="D242" s="1">
        <f>VLOOKUP(C242,'2022 counts'!$A$6:$B$304,2,FALSE)</f>
        <v>135</v>
      </c>
      <c r="E242" s="1"/>
      <c r="F242" s="2" t="s">
        <v>6</v>
      </c>
      <c r="G242" s="156">
        <v>35</v>
      </c>
      <c r="H242" s="11">
        <v>0.488186588147</v>
      </c>
      <c r="I242" s="10" t="s">
        <v>18</v>
      </c>
      <c r="J242" s="10" t="s">
        <v>716</v>
      </c>
      <c r="K242" s="10" t="s">
        <v>32</v>
      </c>
      <c r="L242" s="157">
        <v>4</v>
      </c>
      <c r="M242" s="1">
        <f>'State of the System - Sumter Co'!K242</f>
        <v>4</v>
      </c>
      <c r="N242" s="1" t="str">
        <f>IF('State of the System - Sumter Co'!L242="URBAN","U","R")</f>
        <v>U</v>
      </c>
      <c r="O242" s="1" t="str">
        <f>IF('State of the System - Sumter Co'!M242="UNDIVIDED","U",IF('State of the System - Sumter Co'!M242="DIVIDED","D","F"))</f>
        <v>D</v>
      </c>
      <c r="P242" s="1" t="str">
        <f>'State of the System - Sumter Co'!N242</f>
        <v>INTERRUPTED</v>
      </c>
      <c r="Q242" s="1" t="str">
        <f t="shared" si="300"/>
        <v/>
      </c>
      <c r="R242" s="1" t="str">
        <f>'State of the System - Sumter Co'!O242</f>
        <v/>
      </c>
      <c r="S242" s="1" t="str">
        <f t="shared" si="363"/>
        <v>-2</v>
      </c>
      <c r="T242" s="1" t="str">
        <f t="shared" si="301"/>
        <v>U-4D-2</v>
      </c>
      <c r="U242" s="1" t="str">
        <f t="shared" si="352"/>
        <v>U-4D-2</v>
      </c>
      <c r="V242" s="1" t="s">
        <v>10</v>
      </c>
      <c r="W242" s="1" t="s">
        <v>11</v>
      </c>
      <c r="X242" s="1" t="s">
        <v>12</v>
      </c>
      <c r="Y242" s="1" t="str">
        <f>'State of the System - Sumter Co'!R242</f>
        <v>D</v>
      </c>
      <c r="Z242" s="157" t="str">
        <f t="shared" si="302"/>
        <v>Other CMP Network Roadways</v>
      </c>
      <c r="AA242" s="15">
        <f>VLOOKUP($T242,'2020_CapacityTable'!$B$49:$F$71,2)</f>
        <v>0</v>
      </c>
      <c r="AB242" s="15">
        <f>VLOOKUP($T242,'2020_CapacityTable'!$B$49:$F$71,3)</f>
        <v>14500</v>
      </c>
      <c r="AC242" s="15">
        <f>VLOOKUP($T242,'2020_CapacityTable'!$B$49:$F$71,4)</f>
        <v>32400</v>
      </c>
      <c r="AD242" s="15">
        <f>VLOOKUP($T242,'2020_CapacityTable'!$B$49:$F$71,5)</f>
        <v>33800</v>
      </c>
      <c r="AE242" s="35">
        <f t="shared" ref="AE242:AE260" si="419">IF(V242&lt;&gt;"STATE",-10%,"")</f>
        <v>-0.1</v>
      </c>
      <c r="AF242" s="36" t="str">
        <f t="shared" si="303"/>
        <v/>
      </c>
      <c r="AG242" s="35" t="str">
        <f t="shared" ref="AG242:AG254" si="420">IF($L242=2,IF($P242="interrupted","LOOK",""),"")</f>
        <v/>
      </c>
      <c r="AH242" s="35" t="str">
        <f>IF(O242="U",IF(#REF!&gt;2,"LOOK",""),"")</f>
        <v/>
      </c>
      <c r="AI242" s="35"/>
      <c r="AJ242" s="36"/>
      <c r="AK242" s="15">
        <f t="shared" si="304"/>
        <v>0</v>
      </c>
      <c r="AL242" s="15">
        <f t="shared" si="305"/>
        <v>13050</v>
      </c>
      <c r="AM242" s="15">
        <f t="shared" si="306"/>
        <v>29160</v>
      </c>
      <c r="AN242" s="15">
        <f t="shared" si="307"/>
        <v>30420</v>
      </c>
      <c r="AO242" s="3">
        <f t="shared" si="366"/>
        <v>29160</v>
      </c>
      <c r="AP242" s="138">
        <f>VLOOKUP($B242,'2022 counts'!$B$6:$R$304,17,FALSE)</f>
        <v>17841</v>
      </c>
      <c r="AQ242" s="11">
        <f t="shared" si="308"/>
        <v>0.61</v>
      </c>
      <c r="AR242" s="2" t="str">
        <f t="shared" si="309"/>
        <v>D</v>
      </c>
      <c r="AS242" s="26">
        <f t="shared" si="310"/>
        <v>3.18</v>
      </c>
      <c r="AT242" s="15">
        <f>VLOOKUP($T242,'2020_CapacityTable'!$B$23:$F$45,2)</f>
        <v>0</v>
      </c>
      <c r="AU242" s="15">
        <f>VLOOKUP($T242,'2020_CapacityTable'!$B$23:$F$45,3)</f>
        <v>730</v>
      </c>
      <c r="AV242" s="15">
        <f>VLOOKUP($T242,'2020_CapacityTable'!$B$23:$F$45,4)</f>
        <v>1630</v>
      </c>
      <c r="AW242" s="15">
        <f>VLOOKUP($T242,'2020_CapacityTable'!$B$23:$F$45,5)</f>
        <v>1700</v>
      </c>
      <c r="AX242" s="15">
        <f t="shared" si="311"/>
        <v>0</v>
      </c>
      <c r="AY242" s="15">
        <f t="shared" si="312"/>
        <v>657</v>
      </c>
      <c r="AZ242" s="15">
        <f t="shared" si="313"/>
        <v>1467</v>
      </c>
      <c r="BA242" s="15">
        <f t="shared" si="314"/>
        <v>1530</v>
      </c>
      <c r="BB242" s="3">
        <f t="shared" si="367"/>
        <v>1467</v>
      </c>
      <c r="BC242" s="138">
        <f>VLOOKUP($B242,'2022 counts'!$B$6:$AD$304,28,FALSE)</f>
        <v>765</v>
      </c>
      <c r="BD242" s="138">
        <f>VLOOKUP($B242,'2022 counts'!$B$6:$AD$304,29,FALSE)</f>
        <v>810</v>
      </c>
      <c r="BE242" s="11">
        <f t="shared" si="315"/>
        <v>0.55000000000000004</v>
      </c>
      <c r="BF242" s="2" t="str">
        <f t="shared" si="316"/>
        <v>D</v>
      </c>
      <c r="BG242" s="135">
        <v>0</v>
      </c>
      <c r="BH242" s="135">
        <f>IF($AQ242="","",VLOOKUP($B242, '2022 counts'!$B$6:$T$304,19,FALSE))</f>
        <v>0</v>
      </c>
      <c r="BI242" s="38">
        <f t="shared" si="317"/>
        <v>0.01</v>
      </c>
      <c r="BJ242" s="39" t="str">
        <f t="shared" si="318"/>
        <v>minimum</v>
      </c>
      <c r="BK242" s="15">
        <f>VLOOKUP($U242,'2020_CapacityTable'!$B$49:$F$71,2)</f>
        <v>0</v>
      </c>
      <c r="BL242" s="15">
        <f>VLOOKUP($U242,'2020_CapacityTable'!$B$49:$F$71,3)</f>
        <v>14500</v>
      </c>
      <c r="BM242" s="15">
        <f>VLOOKUP($T242,'2020_CapacityTable'!$B$49:$F$71,4)</f>
        <v>32400</v>
      </c>
      <c r="BN242" s="15">
        <f>VLOOKUP($T242,'2020_CapacityTable'!$B$49:$F$71,5)</f>
        <v>33800</v>
      </c>
      <c r="BO242" s="15">
        <f t="shared" si="353"/>
        <v>0</v>
      </c>
      <c r="BP242" s="15">
        <f t="shared" si="375"/>
        <v>13050</v>
      </c>
      <c r="BQ242" s="15">
        <f t="shared" si="376"/>
        <v>29160</v>
      </c>
      <c r="BR242" s="15">
        <f t="shared" si="377"/>
        <v>30420</v>
      </c>
      <c r="BS242" s="3">
        <f t="shared" si="368"/>
        <v>29160</v>
      </c>
      <c r="BT242" s="40">
        <f>'State of the System - Sumter Co'!AD242</f>
        <v>18751</v>
      </c>
      <c r="BU242" s="41">
        <f t="shared" si="354"/>
        <v>0.64</v>
      </c>
      <c r="BV242" s="2" t="str">
        <f t="shared" si="355"/>
        <v>D</v>
      </c>
      <c r="BW242" s="2">
        <f t="shared" si="325"/>
        <v>3.34</v>
      </c>
      <c r="BX242" s="15">
        <f>VLOOKUP($U242,'2020_CapacityTable'!$B$23:$F$45,2)</f>
        <v>0</v>
      </c>
      <c r="BY242" s="15">
        <f>VLOOKUP($U242,'2020_CapacityTable'!$B$23:$F$45,3)</f>
        <v>730</v>
      </c>
      <c r="BZ242" s="15">
        <f>VLOOKUP($U242,'2020_CapacityTable'!$B$23:$F$45,4)</f>
        <v>1630</v>
      </c>
      <c r="CA242" s="15">
        <f>VLOOKUP($U242,'2020_CapacityTable'!$B$23:$F$45,5)</f>
        <v>1700</v>
      </c>
      <c r="CB242" s="15">
        <f t="shared" si="356"/>
        <v>0</v>
      </c>
      <c r="CC242" s="15">
        <f t="shared" si="357"/>
        <v>657</v>
      </c>
      <c r="CD242" s="15">
        <f t="shared" si="358"/>
        <v>1467</v>
      </c>
      <c r="CE242" s="15">
        <f t="shared" si="359"/>
        <v>1530</v>
      </c>
      <c r="CF242" s="3">
        <f t="shared" si="369"/>
        <v>1467</v>
      </c>
      <c r="CG242" s="2">
        <f>'State of the System - Sumter Co'!AH242</f>
        <v>804</v>
      </c>
      <c r="CH242" s="2">
        <f>'State of the System - Sumter Co'!AI242</f>
        <v>851</v>
      </c>
      <c r="CI242" s="11">
        <f t="shared" si="330"/>
        <v>0.57999999999999996</v>
      </c>
      <c r="CJ242" s="2" t="str">
        <f t="shared" si="370"/>
        <v>D</v>
      </c>
      <c r="CK242" s="3">
        <f t="shared" si="331"/>
        <v>32854</v>
      </c>
      <c r="CL242" s="11">
        <f t="shared" si="332"/>
        <v>0.56999999999999995</v>
      </c>
      <c r="CM242" s="11" t="str">
        <f t="shared" si="333"/>
        <v>NOT CONGESTED</v>
      </c>
      <c r="CN242" s="3">
        <f t="shared" si="334"/>
        <v>1652</v>
      </c>
      <c r="CO242" s="11">
        <f t="shared" si="335"/>
        <v>0.52</v>
      </c>
      <c r="CP242" s="156" t="str">
        <f t="shared" si="371"/>
        <v>NOT CONGESTED</v>
      </c>
      <c r="CQ242" s="3"/>
      <c r="CR242" s="3"/>
      <c r="CS242" s="11" t="str">
        <f t="shared" si="337"/>
        <v/>
      </c>
      <c r="CT242" s="11" t="str">
        <f t="shared" si="372"/>
        <v/>
      </c>
      <c r="CU242" s="11" t="str">
        <f t="shared" si="338"/>
        <v/>
      </c>
      <c r="CV242" s="11" t="str">
        <f t="shared" si="339"/>
        <v/>
      </c>
      <c r="CW242" s="2"/>
      <c r="CX242" s="1"/>
      <c r="CY242" s="145" t="str">
        <f t="shared" si="340"/>
        <v/>
      </c>
      <c r="CZ242" s="32" t="str">
        <f t="shared" si="341"/>
        <v/>
      </c>
    </row>
    <row r="243" spans="1:104">
      <c r="A243" s="1">
        <v>50000102</v>
      </c>
      <c r="B243" s="1">
        <f t="shared" si="342"/>
        <v>134</v>
      </c>
      <c r="C243" s="1">
        <v>352</v>
      </c>
      <c r="D243" s="1">
        <f>VLOOKUP(C243,'2022 counts'!$A$6:$B$304,2,FALSE)</f>
        <v>134</v>
      </c>
      <c r="E243" s="1"/>
      <c r="F243" s="2" t="s">
        <v>6</v>
      </c>
      <c r="G243" s="156">
        <v>35</v>
      </c>
      <c r="H243" s="11">
        <v>1.38651300158</v>
      </c>
      <c r="I243" s="10" t="s">
        <v>18</v>
      </c>
      <c r="J243" s="10" t="s">
        <v>32</v>
      </c>
      <c r="K243" s="10" t="s">
        <v>33</v>
      </c>
      <c r="L243" s="157">
        <v>4</v>
      </c>
      <c r="M243" s="1">
        <f>'State of the System - Sumter Co'!K243</f>
        <v>4</v>
      </c>
      <c r="N243" s="1" t="str">
        <f>IF('State of the System - Sumter Co'!L243="URBAN","U","R")</f>
        <v>U</v>
      </c>
      <c r="O243" s="1" t="str">
        <f>IF('State of the System - Sumter Co'!M243="UNDIVIDED","U",IF('State of the System - Sumter Co'!M243="DIVIDED","D","F"))</f>
        <v>D</v>
      </c>
      <c r="P243" s="1" t="str">
        <f>'State of the System - Sumter Co'!N243</f>
        <v>INTERRUPTED</v>
      </c>
      <c r="Q243" s="1" t="str">
        <f t="shared" si="300"/>
        <v/>
      </c>
      <c r="R243" s="1" t="str">
        <f>'State of the System - Sumter Co'!O243</f>
        <v/>
      </c>
      <c r="S243" s="1" t="str">
        <f t="shared" si="363"/>
        <v>-2</v>
      </c>
      <c r="T243" s="1" t="str">
        <f t="shared" si="301"/>
        <v>U-4D-2</v>
      </c>
      <c r="U243" s="1" t="str">
        <f t="shared" ref="U243:U260" si="421">CONCATENATE(N243,"-",L243,O243,S243,Q243)</f>
        <v>U-4D-2</v>
      </c>
      <c r="V243" s="1" t="s">
        <v>10</v>
      </c>
      <c r="W243" s="1" t="s">
        <v>11</v>
      </c>
      <c r="X243" s="1" t="s">
        <v>12</v>
      </c>
      <c r="Y243" s="1" t="str">
        <f>'State of the System - Sumter Co'!R243</f>
        <v>D</v>
      </c>
      <c r="Z243" s="157" t="str">
        <f t="shared" si="302"/>
        <v>Other CMP Network Roadways</v>
      </c>
      <c r="AA243" s="15">
        <f>VLOOKUP($T243,'2020_CapacityTable'!$B$49:$F$71,2)</f>
        <v>0</v>
      </c>
      <c r="AB243" s="15">
        <f>VLOOKUP($T243,'2020_CapacityTable'!$B$49:$F$71,3)</f>
        <v>14500</v>
      </c>
      <c r="AC243" s="15">
        <f>VLOOKUP($T243,'2020_CapacityTable'!$B$49:$F$71,4)</f>
        <v>32400</v>
      </c>
      <c r="AD243" s="15">
        <f>VLOOKUP($T243,'2020_CapacityTable'!$B$49:$F$71,5)</f>
        <v>33800</v>
      </c>
      <c r="AE243" s="35">
        <f t="shared" si="419"/>
        <v>-0.1</v>
      </c>
      <c r="AF243" s="36" t="str">
        <f t="shared" si="303"/>
        <v/>
      </c>
      <c r="AG243" s="35" t="str">
        <f t="shared" si="420"/>
        <v/>
      </c>
      <c r="AH243" s="35" t="str">
        <f>IF(O243="U",IF(#REF!&gt;2,"LOOK",""),"")</f>
        <v/>
      </c>
      <c r="AI243" s="35"/>
      <c r="AJ243" s="36"/>
      <c r="AK243" s="15">
        <f t="shared" si="304"/>
        <v>0</v>
      </c>
      <c r="AL243" s="15">
        <f t="shared" si="305"/>
        <v>13050</v>
      </c>
      <c r="AM243" s="15">
        <f t="shared" si="306"/>
        <v>29160</v>
      </c>
      <c r="AN243" s="15">
        <f t="shared" si="307"/>
        <v>30420</v>
      </c>
      <c r="AO243" s="3">
        <f t="shared" si="366"/>
        <v>29160</v>
      </c>
      <c r="AP243" s="138">
        <f>VLOOKUP($B243,'2022 counts'!$B$6:$R$304,17,FALSE)</f>
        <v>19234</v>
      </c>
      <c r="AQ243" s="11">
        <f t="shared" si="308"/>
        <v>0.66</v>
      </c>
      <c r="AR243" s="2" t="str">
        <f t="shared" si="309"/>
        <v>D</v>
      </c>
      <c r="AS243" s="26">
        <f t="shared" si="310"/>
        <v>9.73</v>
      </c>
      <c r="AT243" s="15">
        <f>VLOOKUP($T243,'2020_CapacityTable'!$B$23:$F$45,2)</f>
        <v>0</v>
      </c>
      <c r="AU243" s="15">
        <f>VLOOKUP($T243,'2020_CapacityTable'!$B$23:$F$45,3)</f>
        <v>730</v>
      </c>
      <c r="AV243" s="15">
        <f>VLOOKUP($T243,'2020_CapacityTable'!$B$23:$F$45,4)</f>
        <v>1630</v>
      </c>
      <c r="AW243" s="15">
        <f>VLOOKUP($T243,'2020_CapacityTable'!$B$23:$F$45,5)</f>
        <v>1700</v>
      </c>
      <c r="AX243" s="15">
        <f t="shared" si="311"/>
        <v>0</v>
      </c>
      <c r="AY243" s="15">
        <f t="shared" si="312"/>
        <v>657</v>
      </c>
      <c r="AZ243" s="15">
        <f t="shared" si="313"/>
        <v>1467</v>
      </c>
      <c r="BA243" s="15">
        <f t="shared" si="314"/>
        <v>1530</v>
      </c>
      <c r="BB243" s="3">
        <f t="shared" si="367"/>
        <v>1467</v>
      </c>
      <c r="BC243" s="138">
        <f>VLOOKUP($B243,'2022 counts'!$B$6:$AD$304,28,FALSE)</f>
        <v>855</v>
      </c>
      <c r="BD243" s="138">
        <f>VLOOKUP($B243,'2022 counts'!$B$6:$AD$304,29,FALSE)</f>
        <v>890</v>
      </c>
      <c r="BE243" s="11">
        <f t="shared" si="315"/>
        <v>0.61</v>
      </c>
      <c r="BF243" s="2" t="str">
        <f t="shared" si="316"/>
        <v>D</v>
      </c>
      <c r="BG243" s="135">
        <v>0</v>
      </c>
      <c r="BH243" s="135">
        <f>IF($AQ243="","",VLOOKUP($B243, '2022 counts'!$B$6:$T$304,19,FALSE))</f>
        <v>0</v>
      </c>
      <c r="BI243" s="38">
        <f t="shared" si="317"/>
        <v>0.01</v>
      </c>
      <c r="BJ243" s="39" t="str">
        <f t="shared" si="318"/>
        <v>minimum</v>
      </c>
      <c r="BK243" s="15">
        <f>VLOOKUP($U243,'2020_CapacityTable'!$B$49:$F$71,2)</f>
        <v>0</v>
      </c>
      <c r="BL243" s="15">
        <f>VLOOKUP($U243,'2020_CapacityTable'!$B$49:$F$71,3)</f>
        <v>14500</v>
      </c>
      <c r="BM243" s="15">
        <f>VLOOKUP($T243,'2020_CapacityTable'!$B$49:$F$71,4)</f>
        <v>32400</v>
      </c>
      <c r="BN243" s="15">
        <f>VLOOKUP($T243,'2020_CapacityTable'!$B$49:$F$71,5)</f>
        <v>33800</v>
      </c>
      <c r="BO243" s="15">
        <f t="shared" ref="BO243:BO260" si="422">ROUND(BK243*(1+SUM($AE243:$AJ243)),0)</f>
        <v>0</v>
      </c>
      <c r="BP243" s="15">
        <f t="shared" si="375"/>
        <v>13050</v>
      </c>
      <c r="BQ243" s="15">
        <f t="shared" si="376"/>
        <v>29160</v>
      </c>
      <c r="BR243" s="15">
        <f t="shared" si="377"/>
        <v>30420</v>
      </c>
      <c r="BS243" s="3">
        <f t="shared" si="368"/>
        <v>29160</v>
      </c>
      <c r="BT243" s="40">
        <f>'State of the System - Sumter Co'!AD243</f>
        <v>20215</v>
      </c>
      <c r="BU243" s="41">
        <f t="shared" ref="BU243:BU260" si="423">IF(BT243="-","",ROUND(BT243/BS243,2))</f>
        <v>0.69</v>
      </c>
      <c r="BV243" s="2" t="str">
        <f t="shared" ref="BV243:BV260" si="424">IF(BU243="","",IF(BT243&lt;=$BO243,"B",IF(BT243&lt;=$BP243,"C",IF(BT243&lt;=$BQ243,"D",IF(BT243&lt;=$BR243,"E","F")))))</f>
        <v>D</v>
      </c>
      <c r="BW243" s="2">
        <f t="shared" si="325"/>
        <v>10.23</v>
      </c>
      <c r="BX243" s="15">
        <f>VLOOKUP($U243,'2020_CapacityTable'!$B$23:$F$45,2)</f>
        <v>0</v>
      </c>
      <c r="BY243" s="15">
        <f>VLOOKUP($U243,'2020_CapacityTable'!$B$23:$F$45,3)</f>
        <v>730</v>
      </c>
      <c r="BZ243" s="15">
        <f>VLOOKUP($U243,'2020_CapacityTable'!$B$23:$F$45,4)</f>
        <v>1630</v>
      </c>
      <c r="CA243" s="15">
        <f>VLOOKUP($U243,'2020_CapacityTable'!$B$23:$F$45,5)</f>
        <v>1700</v>
      </c>
      <c r="CB243" s="15">
        <f t="shared" ref="CB243:CB260" si="425">ROUND(BX243*(1+SUM($AE243:$AJ243)),0)</f>
        <v>0</v>
      </c>
      <c r="CC243" s="15">
        <f t="shared" ref="CC243:CC260" si="426">ROUND(BY243*(1+SUM($AE243:$AJ243)),0)</f>
        <v>657</v>
      </c>
      <c r="CD243" s="15">
        <f t="shared" ref="CD243:CD260" si="427">ROUND(BZ243*(1+SUM($AE243:$AJ243)),0)</f>
        <v>1467</v>
      </c>
      <c r="CE243" s="15">
        <f t="shared" ref="CE243:CE260" si="428">ROUND(CA243*(1+SUM($AE243:$AJ243)),0)</f>
        <v>1530</v>
      </c>
      <c r="CF243" s="3">
        <f t="shared" si="369"/>
        <v>1467</v>
      </c>
      <c r="CG243" s="2">
        <f>'State of the System - Sumter Co'!AH243</f>
        <v>899</v>
      </c>
      <c r="CH243" s="2">
        <f>'State of the System - Sumter Co'!AI243</f>
        <v>935</v>
      </c>
      <c r="CI243" s="11">
        <f t="shared" si="330"/>
        <v>0.64</v>
      </c>
      <c r="CJ243" s="2" t="str">
        <f t="shared" si="370"/>
        <v>D</v>
      </c>
      <c r="CK243" s="3">
        <f t="shared" si="331"/>
        <v>32854</v>
      </c>
      <c r="CL243" s="11">
        <f t="shared" si="332"/>
        <v>0.62</v>
      </c>
      <c r="CM243" s="11" t="str">
        <f t="shared" si="333"/>
        <v>NOT CONGESTED</v>
      </c>
      <c r="CN243" s="3">
        <f t="shared" si="334"/>
        <v>1652</v>
      </c>
      <c r="CO243" s="11">
        <f t="shared" si="335"/>
        <v>0.56999999999999995</v>
      </c>
      <c r="CP243" s="156" t="str">
        <f t="shared" si="371"/>
        <v>NOT CONGESTED</v>
      </c>
      <c r="CQ243" s="3"/>
      <c r="CR243" s="3"/>
      <c r="CS243" s="11" t="str">
        <f t="shared" si="337"/>
        <v/>
      </c>
      <c r="CT243" s="11" t="str">
        <f t="shared" si="372"/>
        <v/>
      </c>
      <c r="CU243" s="11" t="str">
        <f t="shared" si="338"/>
        <v/>
      </c>
      <c r="CV243" s="11" t="str">
        <f t="shared" si="339"/>
        <v/>
      </c>
      <c r="CW243" s="2"/>
      <c r="CX243" s="1"/>
      <c r="CY243" s="145" t="str">
        <f>IF(OR(AP243="",AR243="",AQ243&lt;1),"",ROUND($H243*AP243*365/1000000,2))</f>
        <v/>
      </c>
      <c r="CZ243" s="32" t="str">
        <f t="shared" si="341"/>
        <v/>
      </c>
    </row>
    <row r="244" spans="1:104">
      <c r="A244" s="1">
        <v>59999951</v>
      </c>
      <c r="B244" s="1">
        <f t="shared" si="342"/>
        <v>171</v>
      </c>
      <c r="C244" s="1">
        <v>182</v>
      </c>
      <c r="D244" s="1">
        <f>VLOOKUP(C244,'2022 counts'!$A$6:$B$304,2,FALSE)</f>
        <v>171</v>
      </c>
      <c r="E244" s="1"/>
      <c r="F244" s="2" t="s">
        <v>6</v>
      </c>
      <c r="G244" s="156">
        <v>35</v>
      </c>
      <c r="H244" s="11">
        <v>0.50454455490799999</v>
      </c>
      <c r="I244" s="10" t="s">
        <v>22</v>
      </c>
      <c r="J244" s="10" t="s">
        <v>727</v>
      </c>
      <c r="K244" s="10" t="s">
        <v>700</v>
      </c>
      <c r="L244" s="157">
        <v>4</v>
      </c>
      <c r="M244" s="1">
        <f>'State of the System - Sumter Co'!K244</f>
        <v>4</v>
      </c>
      <c r="N244" s="1" t="str">
        <f>IF('State of the System - Sumter Co'!L244="URBAN","U","R")</f>
        <v>U</v>
      </c>
      <c r="O244" s="1" t="str">
        <f>IF('State of the System - Sumter Co'!M244="UNDIVIDED","U",IF('State of the System - Sumter Co'!M244="DIVIDED","D","F"))</f>
        <v>D</v>
      </c>
      <c r="P244" s="1" t="str">
        <f>'State of the System - Sumter Co'!N244</f>
        <v>INTERRUPTED</v>
      </c>
      <c r="Q244" s="1" t="str">
        <f t="shared" si="300"/>
        <v/>
      </c>
      <c r="R244" s="1" t="str">
        <f>'State of the System - Sumter Co'!O244</f>
        <v/>
      </c>
      <c r="S244" s="1" t="str">
        <f t="shared" si="363"/>
        <v>-2</v>
      </c>
      <c r="T244" s="1" t="str">
        <f t="shared" si="301"/>
        <v>U-4D-2</v>
      </c>
      <c r="U244" s="1" t="str">
        <f t="shared" si="421"/>
        <v>U-4D-2</v>
      </c>
      <c r="V244" s="1" t="s">
        <v>10</v>
      </c>
      <c r="W244" s="1" t="s">
        <v>11</v>
      </c>
      <c r="X244" s="1" t="s">
        <v>12</v>
      </c>
      <c r="Y244" s="1" t="str">
        <f>'State of the System - Sumter Co'!R244</f>
        <v>D</v>
      </c>
      <c r="Z244" s="157" t="str">
        <f t="shared" si="302"/>
        <v>Other CMP Network Roadways</v>
      </c>
      <c r="AA244" s="15">
        <f>VLOOKUP($T244,'2020_CapacityTable'!$B$49:$F$71,2)</f>
        <v>0</v>
      </c>
      <c r="AB244" s="15">
        <f>VLOOKUP($T244,'2020_CapacityTable'!$B$49:$F$71,3)</f>
        <v>14500</v>
      </c>
      <c r="AC244" s="15">
        <f>VLOOKUP($T244,'2020_CapacityTable'!$B$49:$F$71,4)</f>
        <v>32400</v>
      </c>
      <c r="AD244" s="15">
        <f>VLOOKUP($T244,'2020_CapacityTable'!$B$49:$F$71,5)</f>
        <v>33800</v>
      </c>
      <c r="AE244" s="35">
        <f t="shared" si="419"/>
        <v>-0.1</v>
      </c>
      <c r="AF244" s="36" t="str">
        <f t="shared" si="303"/>
        <v/>
      </c>
      <c r="AG244" s="35" t="str">
        <f t="shared" si="420"/>
        <v/>
      </c>
      <c r="AH244" s="35" t="str">
        <f>IF(O244="U",IF(#REF!&gt;2,"LOOK",""),"")</f>
        <v/>
      </c>
      <c r="AI244" s="35"/>
      <c r="AJ244" s="36"/>
      <c r="AK244" s="15">
        <f t="shared" si="304"/>
        <v>0</v>
      </c>
      <c r="AL244" s="15">
        <f t="shared" si="305"/>
        <v>13050</v>
      </c>
      <c r="AM244" s="15">
        <f t="shared" si="306"/>
        <v>29160</v>
      </c>
      <c r="AN244" s="15">
        <f t="shared" si="307"/>
        <v>30420</v>
      </c>
      <c r="AO244" s="3">
        <f t="shared" si="366"/>
        <v>29160</v>
      </c>
      <c r="AP244" s="138">
        <f>VLOOKUP($B244,'2022 counts'!$B$6:$R$304,17,FALSE)</f>
        <v>23375</v>
      </c>
      <c r="AQ244" s="11">
        <f t="shared" si="308"/>
        <v>0.8</v>
      </c>
      <c r="AR244" s="2" t="str">
        <f t="shared" si="309"/>
        <v>D</v>
      </c>
      <c r="AS244" s="26">
        <f t="shared" si="310"/>
        <v>4.3</v>
      </c>
      <c r="AT244" s="15">
        <f>VLOOKUP($T244,'2020_CapacityTable'!$B$23:$F$45,2)</f>
        <v>0</v>
      </c>
      <c r="AU244" s="15">
        <f>VLOOKUP($T244,'2020_CapacityTable'!$B$23:$F$45,3)</f>
        <v>730</v>
      </c>
      <c r="AV244" s="15">
        <f>VLOOKUP($T244,'2020_CapacityTable'!$B$23:$F$45,4)</f>
        <v>1630</v>
      </c>
      <c r="AW244" s="15">
        <f>VLOOKUP($T244,'2020_CapacityTable'!$B$23:$F$45,5)</f>
        <v>1700</v>
      </c>
      <c r="AX244" s="15">
        <f t="shared" si="311"/>
        <v>0</v>
      </c>
      <c r="AY244" s="15">
        <f t="shared" si="312"/>
        <v>657</v>
      </c>
      <c r="AZ244" s="15">
        <f t="shared" si="313"/>
        <v>1467</v>
      </c>
      <c r="BA244" s="15">
        <f t="shared" si="314"/>
        <v>1530</v>
      </c>
      <c r="BB244" s="3">
        <f t="shared" si="367"/>
        <v>1467</v>
      </c>
      <c r="BC244" s="138">
        <f>VLOOKUP($B244,'2022 counts'!$B$6:$AD$304,28,FALSE)</f>
        <v>1080</v>
      </c>
      <c r="BD244" s="138">
        <f>VLOOKUP($B244,'2022 counts'!$B$6:$AD$304,29,FALSE)</f>
        <v>1128</v>
      </c>
      <c r="BE244" s="11">
        <f t="shared" si="315"/>
        <v>0.77</v>
      </c>
      <c r="BF244" s="2" t="str">
        <f t="shared" si="316"/>
        <v>D</v>
      </c>
      <c r="BG244" s="135">
        <v>2.5000000000000001E-3</v>
      </c>
      <c r="BH244" s="135">
        <f>IF($AQ244="","",VLOOKUP($B244, '2022 counts'!$B$6:$T$304,19,FALSE))</f>
        <v>2.5000000000000001E-3</v>
      </c>
      <c r="BI244" s="38">
        <f t="shared" si="317"/>
        <v>0.01</v>
      </c>
      <c r="BJ244" s="39" t="str">
        <f t="shared" si="318"/>
        <v>minimum</v>
      </c>
      <c r="BK244" s="15">
        <f>VLOOKUP($U244,'2020_CapacityTable'!$B$49:$F$71,2)</f>
        <v>0</v>
      </c>
      <c r="BL244" s="15">
        <f>VLOOKUP($U244,'2020_CapacityTable'!$B$49:$F$71,3)</f>
        <v>14500</v>
      </c>
      <c r="BM244" s="15">
        <f>VLOOKUP($T244,'2020_CapacityTable'!$B$49:$F$71,4)</f>
        <v>32400</v>
      </c>
      <c r="BN244" s="15">
        <f>VLOOKUP($T244,'2020_CapacityTable'!$B$49:$F$71,5)</f>
        <v>33800</v>
      </c>
      <c r="BO244" s="15">
        <f t="shared" si="422"/>
        <v>0</v>
      </c>
      <c r="BP244" s="15">
        <f t="shared" si="375"/>
        <v>13050</v>
      </c>
      <c r="BQ244" s="15">
        <f t="shared" si="376"/>
        <v>29160</v>
      </c>
      <c r="BR244" s="15">
        <f t="shared" si="377"/>
        <v>30420</v>
      </c>
      <c r="BS244" s="3">
        <f t="shared" si="368"/>
        <v>29160</v>
      </c>
      <c r="BT244" s="40">
        <f>'State of the System - Sumter Co'!AD244</f>
        <v>24567</v>
      </c>
      <c r="BU244" s="41">
        <f t="shared" si="423"/>
        <v>0.84</v>
      </c>
      <c r="BV244" s="2" t="str">
        <f t="shared" si="424"/>
        <v>D</v>
      </c>
      <c r="BW244" s="2">
        <f t="shared" si="325"/>
        <v>4.5199999999999996</v>
      </c>
      <c r="BX244" s="15">
        <f>VLOOKUP($U244,'2020_CapacityTable'!$B$23:$F$45,2)</f>
        <v>0</v>
      </c>
      <c r="BY244" s="15">
        <f>VLOOKUP($U244,'2020_CapacityTable'!$B$23:$F$45,3)</f>
        <v>730</v>
      </c>
      <c r="BZ244" s="15">
        <f>VLOOKUP($U244,'2020_CapacityTable'!$B$23:$F$45,4)</f>
        <v>1630</v>
      </c>
      <c r="CA244" s="15">
        <f>VLOOKUP($U244,'2020_CapacityTable'!$B$23:$F$45,5)</f>
        <v>1700</v>
      </c>
      <c r="CB244" s="15">
        <f t="shared" si="425"/>
        <v>0</v>
      </c>
      <c r="CC244" s="15">
        <f t="shared" si="426"/>
        <v>657</v>
      </c>
      <c r="CD244" s="15">
        <f t="shared" si="427"/>
        <v>1467</v>
      </c>
      <c r="CE244" s="15">
        <f t="shared" si="428"/>
        <v>1530</v>
      </c>
      <c r="CF244" s="3">
        <f t="shared" si="369"/>
        <v>1467</v>
      </c>
      <c r="CG244" s="2">
        <f>'State of the System - Sumter Co'!AH244</f>
        <v>1135</v>
      </c>
      <c r="CH244" s="2">
        <f>'State of the System - Sumter Co'!AI244</f>
        <v>1186</v>
      </c>
      <c r="CI244" s="11">
        <f t="shared" si="330"/>
        <v>0.81</v>
      </c>
      <c r="CJ244" s="2" t="str">
        <f t="shared" si="370"/>
        <v>D</v>
      </c>
      <c r="CK244" s="3">
        <f t="shared" si="331"/>
        <v>32854</v>
      </c>
      <c r="CL244" s="11">
        <f t="shared" si="332"/>
        <v>0.75</v>
      </c>
      <c r="CM244" s="11" t="str">
        <f t="shared" si="333"/>
        <v>NOT CONGESTED</v>
      </c>
      <c r="CN244" s="3">
        <f t="shared" si="334"/>
        <v>1652</v>
      </c>
      <c r="CO244" s="11">
        <f t="shared" si="335"/>
        <v>0.72</v>
      </c>
      <c r="CP244" s="156" t="str">
        <f t="shared" si="371"/>
        <v>NOT CONGESTED</v>
      </c>
      <c r="CQ244" s="2" t="s">
        <v>630</v>
      </c>
      <c r="CR244" s="44">
        <f>0.42/H244</f>
        <v>0.83243391671640166</v>
      </c>
      <c r="CS244" s="11" t="str">
        <f t="shared" si="337"/>
        <v/>
      </c>
      <c r="CT244" s="11" t="str">
        <f t="shared" si="372"/>
        <v/>
      </c>
      <c r="CU244" s="11" t="str">
        <f t="shared" si="338"/>
        <v/>
      </c>
      <c r="CV244" s="11" t="str">
        <f t="shared" si="339"/>
        <v/>
      </c>
      <c r="CW244" s="2"/>
      <c r="CX244" s="1"/>
      <c r="CY244" s="145" t="str">
        <f t="shared" si="340"/>
        <v/>
      </c>
      <c r="CZ244" s="32" t="str">
        <f t="shared" si="341"/>
        <v/>
      </c>
    </row>
    <row r="245" spans="1:104">
      <c r="A245" s="1">
        <v>59999952</v>
      </c>
      <c r="B245" s="1">
        <f t="shared" si="342"/>
        <v>161</v>
      </c>
      <c r="C245" s="1">
        <v>176</v>
      </c>
      <c r="D245" s="1">
        <f>VLOOKUP(C245,'2022 counts'!$A$6:$B$304,2,FALSE)</f>
        <v>161</v>
      </c>
      <c r="E245" s="1"/>
      <c r="F245" s="2" t="s">
        <v>6</v>
      </c>
      <c r="G245" s="156">
        <v>35</v>
      </c>
      <c r="H245" s="11">
        <v>0.54003690902799995</v>
      </c>
      <c r="I245" s="10" t="s">
        <v>22</v>
      </c>
      <c r="J245" s="10" t="s">
        <v>700</v>
      </c>
      <c r="K245" s="10" t="s">
        <v>19</v>
      </c>
      <c r="L245" s="157">
        <v>4</v>
      </c>
      <c r="M245" s="1">
        <f>'State of the System - Sumter Co'!K245</f>
        <v>4</v>
      </c>
      <c r="N245" s="1" t="str">
        <f>IF('State of the System - Sumter Co'!L245="URBAN","U","R")</f>
        <v>U</v>
      </c>
      <c r="O245" s="1" t="str">
        <f>IF('State of the System - Sumter Co'!M245="UNDIVIDED","U",IF('State of the System - Sumter Co'!M245="DIVIDED","D","F"))</f>
        <v>D</v>
      </c>
      <c r="P245" s="1" t="str">
        <f>'State of the System - Sumter Co'!N245</f>
        <v>INTERRUPTED</v>
      </c>
      <c r="Q245" s="1" t="str">
        <f t="shared" si="300"/>
        <v/>
      </c>
      <c r="R245" s="1" t="str">
        <f>'State of the System - Sumter Co'!O245</f>
        <v/>
      </c>
      <c r="S245" s="1" t="str">
        <f t="shared" si="363"/>
        <v>-2</v>
      </c>
      <c r="T245" s="1" t="str">
        <f t="shared" si="301"/>
        <v>U-4D-2</v>
      </c>
      <c r="U245" s="1" t="str">
        <f t="shared" si="421"/>
        <v>U-4D-2</v>
      </c>
      <c r="V245" s="1" t="s">
        <v>10</v>
      </c>
      <c r="W245" s="1" t="s">
        <v>11</v>
      </c>
      <c r="X245" s="1" t="s">
        <v>12</v>
      </c>
      <c r="Y245" s="1" t="str">
        <f>'State of the System - Sumter Co'!R245</f>
        <v>D</v>
      </c>
      <c r="Z245" s="157" t="str">
        <f t="shared" si="302"/>
        <v>Other CMP Network Roadways</v>
      </c>
      <c r="AA245" s="15">
        <f>VLOOKUP($T245,'2020_CapacityTable'!$B$49:$F$71,2)</f>
        <v>0</v>
      </c>
      <c r="AB245" s="15">
        <f>VLOOKUP($T245,'2020_CapacityTable'!$B$49:$F$71,3)</f>
        <v>14500</v>
      </c>
      <c r="AC245" s="15">
        <f>VLOOKUP($T245,'2020_CapacityTable'!$B$49:$F$71,4)</f>
        <v>32400</v>
      </c>
      <c r="AD245" s="15">
        <f>VLOOKUP($T245,'2020_CapacityTable'!$B$49:$F$71,5)</f>
        <v>33800</v>
      </c>
      <c r="AE245" s="35">
        <f t="shared" si="419"/>
        <v>-0.1</v>
      </c>
      <c r="AF245" s="36" t="str">
        <f t="shared" si="303"/>
        <v/>
      </c>
      <c r="AG245" s="35" t="str">
        <f t="shared" si="420"/>
        <v/>
      </c>
      <c r="AH245" s="35" t="str">
        <f>IF(O245="U",IF(#REF!&gt;2,"LOOK",""),"")</f>
        <v/>
      </c>
      <c r="AI245" s="35"/>
      <c r="AJ245" s="36"/>
      <c r="AK245" s="15">
        <f t="shared" si="304"/>
        <v>0</v>
      </c>
      <c r="AL245" s="15">
        <f t="shared" si="305"/>
        <v>13050</v>
      </c>
      <c r="AM245" s="15">
        <f t="shared" si="306"/>
        <v>29160</v>
      </c>
      <c r="AN245" s="15">
        <f t="shared" si="307"/>
        <v>30420</v>
      </c>
      <c r="AO245" s="3">
        <f t="shared" si="366"/>
        <v>29160</v>
      </c>
      <c r="AP245" s="138">
        <f>VLOOKUP($B245,'2022 counts'!$B$6:$R$304,17,FALSE)</f>
        <v>15263</v>
      </c>
      <c r="AQ245" s="11">
        <f t="shared" si="308"/>
        <v>0.52</v>
      </c>
      <c r="AR245" s="2" t="str">
        <f t="shared" si="309"/>
        <v>D</v>
      </c>
      <c r="AS245" s="26">
        <f t="shared" si="310"/>
        <v>3.01</v>
      </c>
      <c r="AT245" s="15">
        <f>VLOOKUP($T245,'2020_CapacityTable'!$B$23:$F$45,2)</f>
        <v>0</v>
      </c>
      <c r="AU245" s="15">
        <f>VLOOKUP($T245,'2020_CapacityTable'!$B$23:$F$45,3)</f>
        <v>730</v>
      </c>
      <c r="AV245" s="15">
        <f>VLOOKUP($T245,'2020_CapacityTable'!$B$23:$F$45,4)</f>
        <v>1630</v>
      </c>
      <c r="AW245" s="15">
        <f>VLOOKUP($T245,'2020_CapacityTable'!$B$23:$F$45,5)</f>
        <v>1700</v>
      </c>
      <c r="AX245" s="15">
        <f t="shared" si="311"/>
        <v>0</v>
      </c>
      <c r="AY245" s="15">
        <f t="shared" si="312"/>
        <v>657</v>
      </c>
      <c r="AZ245" s="15">
        <f t="shared" si="313"/>
        <v>1467</v>
      </c>
      <c r="BA245" s="15">
        <f t="shared" si="314"/>
        <v>1530</v>
      </c>
      <c r="BB245" s="3">
        <f t="shared" si="367"/>
        <v>1467</v>
      </c>
      <c r="BC245" s="138">
        <f>VLOOKUP($B245,'2022 counts'!$B$6:$AD$304,28,FALSE)</f>
        <v>721</v>
      </c>
      <c r="BD245" s="138">
        <f>VLOOKUP($B245,'2022 counts'!$B$6:$AD$304,29,FALSE)</f>
        <v>729</v>
      </c>
      <c r="BE245" s="11">
        <f t="shared" si="315"/>
        <v>0.5</v>
      </c>
      <c r="BF245" s="2" t="str">
        <f t="shared" si="316"/>
        <v>D</v>
      </c>
      <c r="BG245" s="135">
        <v>5.0000000000000001E-3</v>
      </c>
      <c r="BH245" s="135">
        <f>IF($AQ245="","",VLOOKUP($B245, '2022 counts'!$B$6:$T$304,19,FALSE))</f>
        <v>5.0000000000000001E-3</v>
      </c>
      <c r="BI245" s="38">
        <f t="shared" si="317"/>
        <v>0.01</v>
      </c>
      <c r="BJ245" s="39" t="str">
        <f t="shared" si="318"/>
        <v>minimum</v>
      </c>
      <c r="BK245" s="15">
        <f>VLOOKUP($U245,'2020_CapacityTable'!$B$49:$F$71,2)</f>
        <v>0</v>
      </c>
      <c r="BL245" s="15">
        <f>VLOOKUP($U245,'2020_CapacityTable'!$B$49:$F$71,3)</f>
        <v>14500</v>
      </c>
      <c r="BM245" s="15">
        <f>VLOOKUP($T245,'2020_CapacityTable'!$B$49:$F$71,4)</f>
        <v>32400</v>
      </c>
      <c r="BN245" s="15">
        <f>VLOOKUP($T245,'2020_CapacityTable'!$B$49:$F$71,5)</f>
        <v>33800</v>
      </c>
      <c r="BO245" s="15">
        <f t="shared" si="422"/>
        <v>0</v>
      </c>
      <c r="BP245" s="15">
        <f t="shared" si="375"/>
        <v>13050</v>
      </c>
      <c r="BQ245" s="15">
        <f t="shared" si="376"/>
        <v>29160</v>
      </c>
      <c r="BR245" s="15">
        <f t="shared" si="377"/>
        <v>30420</v>
      </c>
      <c r="BS245" s="3">
        <f t="shared" si="368"/>
        <v>29160</v>
      </c>
      <c r="BT245" s="40">
        <f>'State of the System - Sumter Co'!AD245</f>
        <v>16042</v>
      </c>
      <c r="BU245" s="41">
        <f t="shared" si="423"/>
        <v>0.55000000000000004</v>
      </c>
      <c r="BV245" s="2" t="str">
        <f t="shared" si="424"/>
        <v>D</v>
      </c>
      <c r="BW245" s="2">
        <f t="shared" si="325"/>
        <v>3.16</v>
      </c>
      <c r="BX245" s="15">
        <f>VLOOKUP($U245,'2020_CapacityTable'!$B$23:$F$45,2)</f>
        <v>0</v>
      </c>
      <c r="BY245" s="15">
        <f>VLOOKUP($U245,'2020_CapacityTable'!$B$23:$F$45,3)</f>
        <v>730</v>
      </c>
      <c r="BZ245" s="15">
        <f>VLOOKUP($U245,'2020_CapacityTable'!$B$23:$F$45,4)</f>
        <v>1630</v>
      </c>
      <c r="CA245" s="15">
        <f>VLOOKUP($U245,'2020_CapacityTable'!$B$23:$F$45,5)</f>
        <v>1700</v>
      </c>
      <c r="CB245" s="15">
        <f t="shared" si="425"/>
        <v>0</v>
      </c>
      <c r="CC245" s="15">
        <f t="shared" si="426"/>
        <v>657</v>
      </c>
      <c r="CD245" s="15">
        <f t="shared" si="427"/>
        <v>1467</v>
      </c>
      <c r="CE245" s="15">
        <f t="shared" si="428"/>
        <v>1530</v>
      </c>
      <c r="CF245" s="3">
        <f t="shared" si="369"/>
        <v>1467</v>
      </c>
      <c r="CG245" s="2">
        <f>'State of the System - Sumter Co'!AH245</f>
        <v>758</v>
      </c>
      <c r="CH245" s="2">
        <f>'State of the System - Sumter Co'!AI245</f>
        <v>766</v>
      </c>
      <c r="CI245" s="11">
        <f t="shared" si="330"/>
        <v>0.52</v>
      </c>
      <c r="CJ245" s="2" t="str">
        <f t="shared" si="370"/>
        <v>D</v>
      </c>
      <c r="CK245" s="3">
        <f t="shared" si="331"/>
        <v>32854</v>
      </c>
      <c r="CL245" s="11">
        <f t="shared" si="332"/>
        <v>0.49</v>
      </c>
      <c r="CM245" s="11" t="str">
        <f t="shared" si="333"/>
        <v>NOT CONGESTED</v>
      </c>
      <c r="CN245" s="3">
        <f t="shared" si="334"/>
        <v>1652</v>
      </c>
      <c r="CO245" s="11">
        <f t="shared" si="335"/>
        <v>0.46</v>
      </c>
      <c r="CP245" s="156" t="str">
        <f t="shared" si="371"/>
        <v>NOT CONGESTED</v>
      </c>
      <c r="CQ245" s="2"/>
      <c r="CR245" s="42"/>
      <c r="CS245" s="11" t="str">
        <f t="shared" si="337"/>
        <v/>
      </c>
      <c r="CT245" s="11" t="str">
        <f t="shared" si="372"/>
        <v/>
      </c>
      <c r="CU245" s="11" t="str">
        <f t="shared" si="338"/>
        <v/>
      </c>
      <c r="CV245" s="11" t="str">
        <f t="shared" si="339"/>
        <v/>
      </c>
      <c r="CW245" s="2"/>
      <c r="CX245" s="1"/>
      <c r="CY245" s="145" t="str">
        <f t="shared" si="340"/>
        <v/>
      </c>
      <c r="CZ245" s="32" t="str">
        <f t="shared" si="341"/>
        <v/>
      </c>
    </row>
    <row r="246" spans="1:104">
      <c r="A246" s="1">
        <v>59999953</v>
      </c>
      <c r="B246" s="1">
        <f t="shared" si="342"/>
        <v>170</v>
      </c>
      <c r="C246" s="1">
        <v>170</v>
      </c>
      <c r="D246" s="1">
        <f>VLOOKUP(C246,'2022 counts'!$A$6:$B$304,2,FALSE)</f>
        <v>170</v>
      </c>
      <c r="E246" s="1"/>
      <c r="F246" s="2" t="s">
        <v>6</v>
      </c>
      <c r="G246" s="156">
        <v>35</v>
      </c>
      <c r="H246" s="11">
        <v>1.1198418644399999</v>
      </c>
      <c r="I246" s="10" t="s">
        <v>22</v>
      </c>
      <c r="J246" s="10" t="s">
        <v>19</v>
      </c>
      <c r="K246" s="10" t="s">
        <v>699</v>
      </c>
      <c r="L246" s="157">
        <v>4</v>
      </c>
      <c r="M246" s="1">
        <f>'State of the System - Sumter Co'!K246</f>
        <v>4</v>
      </c>
      <c r="N246" s="1" t="str">
        <f>IF('State of the System - Sumter Co'!L246="URBAN","U","R")</f>
        <v>U</v>
      </c>
      <c r="O246" s="1" t="str">
        <f>IF('State of the System - Sumter Co'!M246="UNDIVIDED","U",IF('State of the System - Sumter Co'!M246="DIVIDED","D","F"))</f>
        <v>D</v>
      </c>
      <c r="P246" s="1" t="str">
        <f>'State of the System - Sumter Co'!N246</f>
        <v>INTERRUPTED</v>
      </c>
      <c r="Q246" s="1" t="str">
        <f t="shared" si="300"/>
        <v/>
      </c>
      <c r="R246" s="1" t="str">
        <f>'State of the System - Sumter Co'!O246</f>
        <v/>
      </c>
      <c r="S246" s="1" t="str">
        <f t="shared" si="363"/>
        <v>-2</v>
      </c>
      <c r="T246" s="1" t="str">
        <f t="shared" si="301"/>
        <v>U-4D-2</v>
      </c>
      <c r="U246" s="1" t="str">
        <f t="shared" si="421"/>
        <v>U-4D-2</v>
      </c>
      <c r="V246" s="1" t="s">
        <v>10</v>
      </c>
      <c r="W246" s="1" t="s">
        <v>11</v>
      </c>
      <c r="X246" s="1" t="s">
        <v>12</v>
      </c>
      <c r="Y246" s="1" t="str">
        <f>'State of the System - Sumter Co'!R246</f>
        <v>D</v>
      </c>
      <c r="Z246" s="157" t="str">
        <f t="shared" si="302"/>
        <v>Other CMP Network Roadways</v>
      </c>
      <c r="AA246" s="15">
        <f>VLOOKUP($T246,'2020_CapacityTable'!$B$49:$F$71,2)</f>
        <v>0</v>
      </c>
      <c r="AB246" s="15">
        <f>VLOOKUP($T246,'2020_CapacityTable'!$B$49:$F$71,3)</f>
        <v>14500</v>
      </c>
      <c r="AC246" s="15">
        <f>VLOOKUP($T246,'2020_CapacityTable'!$B$49:$F$71,4)</f>
        <v>32400</v>
      </c>
      <c r="AD246" s="15">
        <f>VLOOKUP($T246,'2020_CapacityTable'!$B$49:$F$71,5)</f>
        <v>33800</v>
      </c>
      <c r="AE246" s="35">
        <f t="shared" si="419"/>
        <v>-0.1</v>
      </c>
      <c r="AF246" s="36" t="str">
        <f t="shared" si="303"/>
        <v/>
      </c>
      <c r="AG246" s="35" t="str">
        <f t="shared" si="420"/>
        <v/>
      </c>
      <c r="AH246" s="35" t="str">
        <f>IF(O246="U",IF(#REF!&gt;2,"LOOK",""),"")</f>
        <v/>
      </c>
      <c r="AI246" s="35"/>
      <c r="AJ246" s="36"/>
      <c r="AK246" s="15">
        <f t="shared" si="304"/>
        <v>0</v>
      </c>
      <c r="AL246" s="15">
        <f t="shared" si="305"/>
        <v>13050</v>
      </c>
      <c r="AM246" s="15">
        <f t="shared" si="306"/>
        <v>29160</v>
      </c>
      <c r="AN246" s="15">
        <f t="shared" si="307"/>
        <v>30420</v>
      </c>
      <c r="AO246" s="3">
        <f t="shared" si="366"/>
        <v>29160</v>
      </c>
      <c r="AP246" s="138">
        <f>VLOOKUP($B246,'2022 counts'!$B$6:$R$304,17,FALSE)</f>
        <v>12929</v>
      </c>
      <c r="AQ246" s="11">
        <f t="shared" si="308"/>
        <v>0.44</v>
      </c>
      <c r="AR246" s="2" t="str">
        <f t="shared" si="309"/>
        <v>C</v>
      </c>
      <c r="AS246" s="26">
        <f t="shared" si="310"/>
        <v>5.28</v>
      </c>
      <c r="AT246" s="15">
        <f>VLOOKUP($T246,'2020_CapacityTable'!$B$23:$F$45,2)</f>
        <v>0</v>
      </c>
      <c r="AU246" s="15">
        <f>VLOOKUP($T246,'2020_CapacityTable'!$B$23:$F$45,3)</f>
        <v>730</v>
      </c>
      <c r="AV246" s="15">
        <f>VLOOKUP($T246,'2020_CapacityTable'!$B$23:$F$45,4)</f>
        <v>1630</v>
      </c>
      <c r="AW246" s="15">
        <f>VLOOKUP($T246,'2020_CapacityTable'!$B$23:$F$45,5)</f>
        <v>1700</v>
      </c>
      <c r="AX246" s="15">
        <f t="shared" si="311"/>
        <v>0</v>
      </c>
      <c r="AY246" s="15">
        <f t="shared" si="312"/>
        <v>657</v>
      </c>
      <c r="AZ246" s="15">
        <f t="shared" si="313"/>
        <v>1467</v>
      </c>
      <c r="BA246" s="15">
        <f t="shared" si="314"/>
        <v>1530</v>
      </c>
      <c r="BB246" s="3">
        <f t="shared" si="367"/>
        <v>1467</v>
      </c>
      <c r="BC246" s="138">
        <f>VLOOKUP($B246,'2022 counts'!$B$6:$AD$304,28,FALSE)</f>
        <v>609</v>
      </c>
      <c r="BD246" s="138">
        <f>VLOOKUP($B246,'2022 counts'!$B$6:$AD$304,29,FALSE)</f>
        <v>550</v>
      </c>
      <c r="BE246" s="11">
        <f t="shared" si="315"/>
        <v>0.42</v>
      </c>
      <c r="BF246" s="2" t="str">
        <f t="shared" si="316"/>
        <v>C</v>
      </c>
      <c r="BG246" s="135">
        <v>0</v>
      </c>
      <c r="BH246" s="135">
        <f>IF($AQ246="","",VLOOKUP($B246, '2022 counts'!$B$6:$T$304,19,FALSE))</f>
        <v>0</v>
      </c>
      <c r="BI246" s="38">
        <f t="shared" si="317"/>
        <v>0.01</v>
      </c>
      <c r="BJ246" s="39" t="str">
        <f t="shared" si="318"/>
        <v>minimum</v>
      </c>
      <c r="BK246" s="15">
        <f>VLOOKUP($U246,'2020_CapacityTable'!$B$49:$F$71,2)</f>
        <v>0</v>
      </c>
      <c r="BL246" s="15">
        <f>VLOOKUP($U246,'2020_CapacityTable'!$B$49:$F$71,3)</f>
        <v>14500</v>
      </c>
      <c r="BM246" s="15">
        <f>VLOOKUP($T246,'2020_CapacityTable'!$B$49:$F$71,4)</f>
        <v>32400</v>
      </c>
      <c r="BN246" s="15">
        <f>VLOOKUP($T246,'2020_CapacityTable'!$B$49:$F$71,5)</f>
        <v>33800</v>
      </c>
      <c r="BO246" s="15">
        <f t="shared" si="422"/>
        <v>0</v>
      </c>
      <c r="BP246" s="15">
        <f t="shared" si="375"/>
        <v>13050</v>
      </c>
      <c r="BQ246" s="15">
        <f t="shared" si="376"/>
        <v>29160</v>
      </c>
      <c r="BR246" s="15">
        <f t="shared" si="377"/>
        <v>30420</v>
      </c>
      <c r="BS246" s="3">
        <f t="shared" si="368"/>
        <v>29160</v>
      </c>
      <c r="BT246" s="40">
        <f>'State of the System - Sumter Co'!AD246</f>
        <v>13589</v>
      </c>
      <c r="BU246" s="41">
        <f t="shared" si="423"/>
        <v>0.47</v>
      </c>
      <c r="BV246" s="2" t="str">
        <f t="shared" si="424"/>
        <v>D</v>
      </c>
      <c r="BW246" s="2">
        <f t="shared" si="325"/>
        <v>5.55</v>
      </c>
      <c r="BX246" s="15">
        <f>VLOOKUP($U246,'2020_CapacityTable'!$B$23:$F$45,2)</f>
        <v>0</v>
      </c>
      <c r="BY246" s="15">
        <f>VLOOKUP($U246,'2020_CapacityTable'!$B$23:$F$45,3)</f>
        <v>730</v>
      </c>
      <c r="BZ246" s="15">
        <f>VLOOKUP($U246,'2020_CapacityTable'!$B$23:$F$45,4)</f>
        <v>1630</v>
      </c>
      <c r="CA246" s="15">
        <f>VLOOKUP($U246,'2020_CapacityTable'!$B$23:$F$45,5)</f>
        <v>1700</v>
      </c>
      <c r="CB246" s="15">
        <f t="shared" si="425"/>
        <v>0</v>
      </c>
      <c r="CC246" s="15">
        <f t="shared" si="426"/>
        <v>657</v>
      </c>
      <c r="CD246" s="15">
        <f t="shared" si="427"/>
        <v>1467</v>
      </c>
      <c r="CE246" s="15">
        <f t="shared" si="428"/>
        <v>1530</v>
      </c>
      <c r="CF246" s="3">
        <f t="shared" si="369"/>
        <v>1467</v>
      </c>
      <c r="CG246" s="2">
        <f>'State of the System - Sumter Co'!AH246</f>
        <v>640</v>
      </c>
      <c r="CH246" s="2">
        <f>'State of the System - Sumter Co'!AI246</f>
        <v>578</v>
      </c>
      <c r="CI246" s="11">
        <f t="shared" si="330"/>
        <v>0.44</v>
      </c>
      <c r="CJ246" s="2" t="str">
        <f t="shared" si="370"/>
        <v>C</v>
      </c>
      <c r="CK246" s="3">
        <f t="shared" si="331"/>
        <v>32854</v>
      </c>
      <c r="CL246" s="11">
        <f t="shared" si="332"/>
        <v>0.41</v>
      </c>
      <c r="CM246" s="11" t="str">
        <f t="shared" si="333"/>
        <v>NOT CONGESTED</v>
      </c>
      <c r="CN246" s="3">
        <f t="shared" si="334"/>
        <v>1652</v>
      </c>
      <c r="CO246" s="11">
        <f t="shared" si="335"/>
        <v>0.39</v>
      </c>
      <c r="CP246" s="156" t="str">
        <f t="shared" si="371"/>
        <v>NOT CONGESTED</v>
      </c>
      <c r="CQ246" s="2"/>
      <c r="CR246" s="42"/>
      <c r="CS246" s="11" t="str">
        <f t="shared" si="337"/>
        <v/>
      </c>
      <c r="CT246" s="11" t="str">
        <f t="shared" si="372"/>
        <v/>
      </c>
      <c r="CU246" s="11" t="str">
        <f t="shared" si="338"/>
        <v/>
      </c>
      <c r="CV246" s="11" t="str">
        <f t="shared" si="339"/>
        <v/>
      </c>
      <c r="CW246" s="2"/>
      <c r="CX246" s="1"/>
      <c r="CY246" s="145" t="str">
        <f t="shared" si="340"/>
        <v/>
      </c>
      <c r="CZ246" s="32" t="str">
        <f t="shared" si="341"/>
        <v/>
      </c>
    </row>
    <row r="247" spans="1:104">
      <c r="A247" s="1">
        <v>59999954</v>
      </c>
      <c r="B247" s="1">
        <f t="shared" si="342"/>
        <v>160</v>
      </c>
      <c r="C247" s="1">
        <v>164</v>
      </c>
      <c r="D247" s="1">
        <f>VLOOKUP(C247,'2022 counts'!$A$6:$B$304,2,FALSE)</f>
        <v>160</v>
      </c>
      <c r="E247" s="1"/>
      <c r="F247" s="2" t="s">
        <v>6</v>
      </c>
      <c r="G247" s="156">
        <v>35</v>
      </c>
      <c r="H247" s="11">
        <v>0.86381993966699999</v>
      </c>
      <c r="I247" s="10" t="s">
        <v>22</v>
      </c>
      <c r="J247" s="10" t="s">
        <v>699</v>
      </c>
      <c r="K247" s="10" t="s">
        <v>102</v>
      </c>
      <c r="L247" s="157">
        <v>4</v>
      </c>
      <c r="M247" s="1">
        <f>'State of the System - Sumter Co'!K247</f>
        <v>4</v>
      </c>
      <c r="N247" s="1" t="str">
        <f>IF('State of the System - Sumter Co'!L247="URBAN","U","R")</f>
        <v>U</v>
      </c>
      <c r="O247" s="1" t="str">
        <f>IF('State of the System - Sumter Co'!M247="UNDIVIDED","U",IF('State of the System - Sumter Co'!M247="DIVIDED","D","F"))</f>
        <v>D</v>
      </c>
      <c r="P247" s="1" t="str">
        <f>'State of the System - Sumter Co'!N247</f>
        <v>INTERRUPTED</v>
      </c>
      <c r="Q247" s="1" t="str">
        <f t="shared" si="300"/>
        <v/>
      </c>
      <c r="R247" s="1" t="str">
        <f>'State of the System - Sumter Co'!O247</f>
        <v/>
      </c>
      <c r="S247" s="1" t="str">
        <f t="shared" si="363"/>
        <v>-2</v>
      </c>
      <c r="T247" s="1" t="str">
        <f t="shared" si="301"/>
        <v>U-4D-2</v>
      </c>
      <c r="U247" s="1" t="str">
        <f t="shared" si="421"/>
        <v>U-4D-2</v>
      </c>
      <c r="V247" s="1" t="s">
        <v>10</v>
      </c>
      <c r="W247" s="1" t="s">
        <v>11</v>
      </c>
      <c r="X247" s="1" t="s">
        <v>12</v>
      </c>
      <c r="Y247" s="1" t="str">
        <f>'State of the System - Sumter Co'!R247</f>
        <v>D</v>
      </c>
      <c r="Z247" s="157" t="str">
        <f t="shared" si="302"/>
        <v>Other CMP Network Roadways</v>
      </c>
      <c r="AA247" s="15">
        <f>VLOOKUP($T247,'2020_CapacityTable'!$B$49:$F$71,2)</f>
        <v>0</v>
      </c>
      <c r="AB247" s="15">
        <f>VLOOKUP($T247,'2020_CapacityTable'!$B$49:$F$71,3)</f>
        <v>14500</v>
      </c>
      <c r="AC247" s="15">
        <f>VLOOKUP($T247,'2020_CapacityTable'!$B$49:$F$71,4)</f>
        <v>32400</v>
      </c>
      <c r="AD247" s="15">
        <f>VLOOKUP($T247,'2020_CapacityTable'!$B$49:$F$71,5)</f>
        <v>33800</v>
      </c>
      <c r="AE247" s="35">
        <f t="shared" si="419"/>
        <v>-0.1</v>
      </c>
      <c r="AF247" s="36" t="str">
        <f t="shared" si="303"/>
        <v/>
      </c>
      <c r="AG247" s="35" t="str">
        <f t="shared" si="420"/>
        <v/>
      </c>
      <c r="AH247" s="35" t="str">
        <f>IF(O247="U",IF(#REF!&gt;2,"LOOK",""),"")</f>
        <v/>
      </c>
      <c r="AI247" s="35"/>
      <c r="AJ247" s="36"/>
      <c r="AK247" s="15">
        <f t="shared" si="304"/>
        <v>0</v>
      </c>
      <c r="AL247" s="15">
        <f t="shared" si="305"/>
        <v>13050</v>
      </c>
      <c r="AM247" s="15">
        <f t="shared" si="306"/>
        <v>29160</v>
      </c>
      <c r="AN247" s="15">
        <f t="shared" si="307"/>
        <v>30420</v>
      </c>
      <c r="AO247" s="3">
        <f t="shared" si="366"/>
        <v>29160</v>
      </c>
      <c r="AP247" s="138">
        <f>VLOOKUP($B247,'2022 counts'!$B$6:$R$304,17,FALSE)</f>
        <v>15312</v>
      </c>
      <c r="AQ247" s="11">
        <f t="shared" si="308"/>
        <v>0.53</v>
      </c>
      <c r="AR247" s="2" t="str">
        <f t="shared" si="309"/>
        <v>D</v>
      </c>
      <c r="AS247" s="26">
        <f t="shared" si="310"/>
        <v>4.83</v>
      </c>
      <c r="AT247" s="15">
        <f>VLOOKUP($T247,'2020_CapacityTable'!$B$23:$F$45,2)</f>
        <v>0</v>
      </c>
      <c r="AU247" s="15">
        <f>VLOOKUP($T247,'2020_CapacityTable'!$B$23:$F$45,3)</f>
        <v>730</v>
      </c>
      <c r="AV247" s="15">
        <f>VLOOKUP($T247,'2020_CapacityTable'!$B$23:$F$45,4)</f>
        <v>1630</v>
      </c>
      <c r="AW247" s="15">
        <f>VLOOKUP($T247,'2020_CapacityTable'!$B$23:$F$45,5)</f>
        <v>1700</v>
      </c>
      <c r="AX247" s="15">
        <f t="shared" si="311"/>
        <v>0</v>
      </c>
      <c r="AY247" s="15">
        <f t="shared" si="312"/>
        <v>657</v>
      </c>
      <c r="AZ247" s="15">
        <f t="shared" si="313"/>
        <v>1467</v>
      </c>
      <c r="BA247" s="15">
        <f t="shared" si="314"/>
        <v>1530</v>
      </c>
      <c r="BB247" s="3">
        <f t="shared" si="367"/>
        <v>1467</v>
      </c>
      <c r="BC247" s="138">
        <f>VLOOKUP($B247,'2022 counts'!$B$6:$AD$304,28,FALSE)</f>
        <v>745</v>
      </c>
      <c r="BD247" s="138">
        <f>VLOOKUP($B247,'2022 counts'!$B$6:$AD$304,29,FALSE)</f>
        <v>646</v>
      </c>
      <c r="BE247" s="11">
        <f t="shared" si="315"/>
        <v>0.51</v>
      </c>
      <c r="BF247" s="2" t="str">
        <f t="shared" si="316"/>
        <v>D</v>
      </c>
      <c r="BG247" s="135">
        <v>0</v>
      </c>
      <c r="BH247" s="135">
        <f>IF($AQ247="","",VLOOKUP($B247, '2022 counts'!$B$6:$T$304,19,FALSE))</f>
        <v>0</v>
      </c>
      <c r="BI247" s="38">
        <f t="shared" si="317"/>
        <v>0.01</v>
      </c>
      <c r="BJ247" s="39" t="str">
        <f t="shared" si="318"/>
        <v>minimum</v>
      </c>
      <c r="BK247" s="15">
        <f>VLOOKUP($U247,'2020_CapacityTable'!$B$49:$F$71,2)</f>
        <v>0</v>
      </c>
      <c r="BL247" s="15">
        <f>VLOOKUP($U247,'2020_CapacityTable'!$B$49:$F$71,3)</f>
        <v>14500</v>
      </c>
      <c r="BM247" s="15">
        <f>VLOOKUP($T247,'2020_CapacityTable'!$B$49:$F$71,4)</f>
        <v>32400</v>
      </c>
      <c r="BN247" s="15">
        <f>VLOOKUP($T247,'2020_CapacityTable'!$B$49:$F$71,5)</f>
        <v>33800</v>
      </c>
      <c r="BO247" s="15">
        <f t="shared" si="422"/>
        <v>0</v>
      </c>
      <c r="BP247" s="15">
        <f t="shared" si="375"/>
        <v>13050</v>
      </c>
      <c r="BQ247" s="15">
        <f t="shared" si="376"/>
        <v>29160</v>
      </c>
      <c r="BR247" s="15">
        <f t="shared" si="377"/>
        <v>30420</v>
      </c>
      <c r="BS247" s="3">
        <f t="shared" si="368"/>
        <v>29160</v>
      </c>
      <c r="BT247" s="40">
        <f>'State of the System - Sumter Co'!AD247</f>
        <v>16093</v>
      </c>
      <c r="BU247" s="41">
        <f t="shared" si="423"/>
        <v>0.55000000000000004</v>
      </c>
      <c r="BV247" s="2" t="str">
        <f t="shared" si="424"/>
        <v>D</v>
      </c>
      <c r="BW247" s="2">
        <f t="shared" si="325"/>
        <v>5.07</v>
      </c>
      <c r="BX247" s="15">
        <f>VLOOKUP($U247,'2020_CapacityTable'!$B$23:$F$45,2)</f>
        <v>0</v>
      </c>
      <c r="BY247" s="15">
        <f>VLOOKUP($U247,'2020_CapacityTable'!$B$23:$F$45,3)</f>
        <v>730</v>
      </c>
      <c r="BZ247" s="15">
        <f>VLOOKUP($U247,'2020_CapacityTable'!$B$23:$F$45,4)</f>
        <v>1630</v>
      </c>
      <c r="CA247" s="15">
        <f>VLOOKUP($U247,'2020_CapacityTable'!$B$23:$F$45,5)</f>
        <v>1700</v>
      </c>
      <c r="CB247" s="15">
        <f t="shared" si="425"/>
        <v>0</v>
      </c>
      <c r="CC247" s="15">
        <f t="shared" si="426"/>
        <v>657</v>
      </c>
      <c r="CD247" s="15">
        <f t="shared" si="427"/>
        <v>1467</v>
      </c>
      <c r="CE247" s="15">
        <f t="shared" si="428"/>
        <v>1530</v>
      </c>
      <c r="CF247" s="3">
        <f t="shared" si="369"/>
        <v>1467</v>
      </c>
      <c r="CG247" s="2">
        <f>'State of the System - Sumter Co'!AH247</f>
        <v>783</v>
      </c>
      <c r="CH247" s="2">
        <f>'State of the System - Sumter Co'!AI247</f>
        <v>679</v>
      </c>
      <c r="CI247" s="11">
        <f t="shared" si="330"/>
        <v>0.53</v>
      </c>
      <c r="CJ247" s="2" t="str">
        <f t="shared" si="370"/>
        <v>D</v>
      </c>
      <c r="CK247" s="3">
        <f t="shared" si="331"/>
        <v>32854</v>
      </c>
      <c r="CL247" s="11">
        <f t="shared" si="332"/>
        <v>0.49</v>
      </c>
      <c r="CM247" s="11" t="str">
        <f t="shared" si="333"/>
        <v>NOT CONGESTED</v>
      </c>
      <c r="CN247" s="3">
        <f t="shared" si="334"/>
        <v>1652</v>
      </c>
      <c r="CO247" s="11">
        <f t="shared" si="335"/>
        <v>0.47</v>
      </c>
      <c r="CP247" s="156" t="str">
        <f t="shared" si="371"/>
        <v>NOT CONGESTED</v>
      </c>
      <c r="CQ247" s="2"/>
      <c r="CR247" s="42"/>
      <c r="CS247" s="11" t="str">
        <f t="shared" si="337"/>
        <v/>
      </c>
      <c r="CT247" s="11" t="str">
        <f t="shared" si="372"/>
        <v/>
      </c>
      <c r="CU247" s="11" t="str">
        <f>IF(OR(AP247="",AR247="",AP247&lt;$CK247),"",ROUND($H247,2))</f>
        <v/>
      </c>
      <c r="CV247" s="11" t="str">
        <f>IF(OR(AQ247="",AS247="",BT247&lt;$CK247),"",ROUND($H247,2))</f>
        <v/>
      </c>
      <c r="CW247" s="2"/>
      <c r="CX247" s="1"/>
      <c r="CY247" s="145" t="str">
        <f t="shared" si="340"/>
        <v/>
      </c>
      <c r="CZ247" s="32" t="str">
        <f t="shared" si="341"/>
        <v/>
      </c>
    </row>
    <row r="248" spans="1:104">
      <c r="A248" s="1">
        <v>59999955</v>
      </c>
      <c r="B248" s="1">
        <f t="shared" si="342"/>
        <v>159</v>
      </c>
      <c r="C248" s="1">
        <v>158</v>
      </c>
      <c r="D248" s="1">
        <f>VLOOKUP(C248,'2022 counts'!$A$6:$B$304,2,FALSE)</f>
        <v>159</v>
      </c>
      <c r="E248" s="1"/>
      <c r="F248" s="2" t="s">
        <v>6</v>
      </c>
      <c r="G248" s="156">
        <v>35</v>
      </c>
      <c r="H248" s="11">
        <v>0.97845587578399995</v>
      </c>
      <c r="I248" s="10" t="s">
        <v>22</v>
      </c>
      <c r="J248" s="10" t="s">
        <v>102</v>
      </c>
      <c r="K248" s="10" t="s">
        <v>716</v>
      </c>
      <c r="L248" s="157">
        <v>4</v>
      </c>
      <c r="M248" s="1">
        <f>'State of the System - Sumter Co'!K248</f>
        <v>4</v>
      </c>
      <c r="N248" s="1" t="str">
        <f>IF('State of the System - Sumter Co'!L248="URBAN","U","R")</f>
        <v>U</v>
      </c>
      <c r="O248" s="1" t="str">
        <f>IF('State of the System - Sumter Co'!M248="UNDIVIDED","U",IF('State of the System - Sumter Co'!M248="DIVIDED","D","F"))</f>
        <v>D</v>
      </c>
      <c r="P248" s="1" t="str">
        <f>'State of the System - Sumter Co'!N248</f>
        <v>INTERRUPTED</v>
      </c>
      <c r="Q248" s="1" t="str">
        <f t="shared" si="300"/>
        <v/>
      </c>
      <c r="R248" s="1" t="str">
        <f>'State of the System - Sumter Co'!O248</f>
        <v/>
      </c>
      <c r="S248" s="1" t="str">
        <f t="shared" si="363"/>
        <v>-2</v>
      </c>
      <c r="T248" s="1" t="str">
        <f t="shared" si="301"/>
        <v>U-4D-2</v>
      </c>
      <c r="U248" s="1" t="str">
        <f t="shared" si="421"/>
        <v>U-4D-2</v>
      </c>
      <c r="V248" s="1" t="s">
        <v>10</v>
      </c>
      <c r="W248" s="1" t="s">
        <v>11</v>
      </c>
      <c r="X248" s="1" t="s">
        <v>12</v>
      </c>
      <c r="Y248" s="1" t="str">
        <f>'State of the System - Sumter Co'!R248</f>
        <v>D</v>
      </c>
      <c r="Z248" s="157" t="str">
        <f t="shared" si="302"/>
        <v>Other CMP Network Roadways</v>
      </c>
      <c r="AA248" s="15">
        <f>VLOOKUP($T248,'2020_CapacityTable'!$B$49:$F$71,2)</f>
        <v>0</v>
      </c>
      <c r="AB248" s="15">
        <f>VLOOKUP($T248,'2020_CapacityTable'!$B$49:$F$71,3)</f>
        <v>14500</v>
      </c>
      <c r="AC248" s="15">
        <f>VLOOKUP($T248,'2020_CapacityTable'!$B$49:$F$71,4)</f>
        <v>32400</v>
      </c>
      <c r="AD248" s="15">
        <f>VLOOKUP($T248,'2020_CapacityTable'!$B$49:$F$71,5)</f>
        <v>33800</v>
      </c>
      <c r="AE248" s="35">
        <f t="shared" si="419"/>
        <v>-0.1</v>
      </c>
      <c r="AF248" s="36" t="str">
        <f t="shared" si="303"/>
        <v/>
      </c>
      <c r="AG248" s="35" t="str">
        <f t="shared" si="420"/>
        <v/>
      </c>
      <c r="AH248" s="35" t="str">
        <f>IF(O248="U",IF(#REF!&gt;2,"LOOK",""),"")</f>
        <v/>
      </c>
      <c r="AI248" s="35"/>
      <c r="AJ248" s="36"/>
      <c r="AK248" s="15">
        <f t="shared" si="304"/>
        <v>0</v>
      </c>
      <c r="AL248" s="15">
        <f t="shared" si="305"/>
        <v>13050</v>
      </c>
      <c r="AM248" s="15">
        <f t="shared" si="306"/>
        <v>29160</v>
      </c>
      <c r="AN248" s="15">
        <f t="shared" si="307"/>
        <v>30420</v>
      </c>
      <c r="AO248" s="3">
        <f t="shared" si="366"/>
        <v>29160</v>
      </c>
      <c r="AP248" s="138">
        <f>VLOOKUP($B248,'2022 counts'!$B$6:$R$304,17,FALSE)</f>
        <v>23474</v>
      </c>
      <c r="AQ248" s="11">
        <f t="shared" si="308"/>
        <v>0.81</v>
      </c>
      <c r="AR248" s="2" t="str">
        <f t="shared" si="309"/>
        <v>D</v>
      </c>
      <c r="AS248" s="26">
        <f t="shared" si="310"/>
        <v>8.3800000000000008</v>
      </c>
      <c r="AT248" s="15">
        <f>VLOOKUP($T248,'2020_CapacityTable'!$B$23:$F$45,2)</f>
        <v>0</v>
      </c>
      <c r="AU248" s="15">
        <f>VLOOKUP($T248,'2020_CapacityTable'!$B$23:$F$45,3)</f>
        <v>730</v>
      </c>
      <c r="AV248" s="15">
        <f>VLOOKUP($T248,'2020_CapacityTable'!$B$23:$F$45,4)</f>
        <v>1630</v>
      </c>
      <c r="AW248" s="15">
        <f>VLOOKUP($T248,'2020_CapacityTable'!$B$23:$F$45,5)</f>
        <v>1700</v>
      </c>
      <c r="AX248" s="15">
        <f t="shared" si="311"/>
        <v>0</v>
      </c>
      <c r="AY248" s="15">
        <f t="shared" si="312"/>
        <v>657</v>
      </c>
      <c r="AZ248" s="15">
        <f t="shared" si="313"/>
        <v>1467</v>
      </c>
      <c r="BA248" s="15">
        <f t="shared" si="314"/>
        <v>1530</v>
      </c>
      <c r="BB248" s="3">
        <f t="shared" si="367"/>
        <v>1467</v>
      </c>
      <c r="BC248" s="138">
        <f>VLOOKUP($B248,'2022 counts'!$B$6:$AD$304,28,FALSE)</f>
        <v>1105</v>
      </c>
      <c r="BD248" s="138">
        <f>VLOOKUP($B248,'2022 counts'!$B$6:$AD$304,29,FALSE)</f>
        <v>1082</v>
      </c>
      <c r="BE248" s="11">
        <f t="shared" si="315"/>
        <v>0.75</v>
      </c>
      <c r="BF248" s="2" t="str">
        <f t="shared" si="316"/>
        <v>D</v>
      </c>
      <c r="BG248" s="135">
        <v>0</v>
      </c>
      <c r="BH248" s="135">
        <f>IF($AQ248="","",VLOOKUP($B248, '2022 counts'!$B$6:$T$304,19,FALSE))</f>
        <v>0</v>
      </c>
      <c r="BI248" s="38">
        <f t="shared" si="317"/>
        <v>0.01</v>
      </c>
      <c r="BJ248" s="39" t="str">
        <f t="shared" si="318"/>
        <v>minimum</v>
      </c>
      <c r="BK248" s="15">
        <f>VLOOKUP($U248,'2020_CapacityTable'!$B$49:$F$71,2)</f>
        <v>0</v>
      </c>
      <c r="BL248" s="15">
        <f>VLOOKUP($U248,'2020_CapacityTable'!$B$49:$F$71,3)</f>
        <v>14500</v>
      </c>
      <c r="BM248" s="15">
        <f>VLOOKUP($T248,'2020_CapacityTable'!$B$49:$F$71,4)</f>
        <v>32400</v>
      </c>
      <c r="BN248" s="15">
        <f>VLOOKUP($T248,'2020_CapacityTable'!$B$49:$F$71,5)</f>
        <v>33800</v>
      </c>
      <c r="BO248" s="15">
        <f t="shared" si="422"/>
        <v>0</v>
      </c>
      <c r="BP248" s="15">
        <f t="shared" si="375"/>
        <v>13050</v>
      </c>
      <c r="BQ248" s="15">
        <f t="shared" si="376"/>
        <v>29160</v>
      </c>
      <c r="BR248" s="15">
        <f t="shared" si="377"/>
        <v>30420</v>
      </c>
      <c r="BS248" s="3">
        <f t="shared" si="368"/>
        <v>29160</v>
      </c>
      <c r="BT248" s="40">
        <f>'State of the System - Sumter Co'!AD248</f>
        <v>24671</v>
      </c>
      <c r="BU248" s="41">
        <f t="shared" si="423"/>
        <v>0.85</v>
      </c>
      <c r="BV248" s="2" t="str">
        <f t="shared" si="424"/>
        <v>D</v>
      </c>
      <c r="BW248" s="2">
        <f t="shared" si="325"/>
        <v>8.81</v>
      </c>
      <c r="BX248" s="15">
        <f>VLOOKUP($U248,'2020_CapacityTable'!$B$23:$F$45,2)</f>
        <v>0</v>
      </c>
      <c r="BY248" s="15">
        <f>VLOOKUP($U248,'2020_CapacityTable'!$B$23:$F$45,3)</f>
        <v>730</v>
      </c>
      <c r="BZ248" s="15">
        <f>VLOOKUP($U248,'2020_CapacityTable'!$B$23:$F$45,4)</f>
        <v>1630</v>
      </c>
      <c r="CA248" s="15">
        <f>VLOOKUP($U248,'2020_CapacityTable'!$B$23:$F$45,5)</f>
        <v>1700</v>
      </c>
      <c r="CB248" s="15">
        <f t="shared" si="425"/>
        <v>0</v>
      </c>
      <c r="CC248" s="15">
        <f t="shared" si="426"/>
        <v>657</v>
      </c>
      <c r="CD248" s="15">
        <f t="shared" si="427"/>
        <v>1467</v>
      </c>
      <c r="CE248" s="15">
        <f t="shared" si="428"/>
        <v>1530</v>
      </c>
      <c r="CF248" s="3">
        <f t="shared" si="369"/>
        <v>1467</v>
      </c>
      <c r="CG248" s="2">
        <f>'State of the System - Sumter Co'!AH248</f>
        <v>1161</v>
      </c>
      <c r="CH248" s="2">
        <f>'State of the System - Sumter Co'!AI248</f>
        <v>1137</v>
      </c>
      <c r="CI248" s="11">
        <f t="shared" si="330"/>
        <v>0.79</v>
      </c>
      <c r="CJ248" s="2" t="str">
        <f t="shared" si="370"/>
        <v>D</v>
      </c>
      <c r="CK248" s="3">
        <f t="shared" si="331"/>
        <v>32854</v>
      </c>
      <c r="CL248" s="11">
        <f t="shared" si="332"/>
        <v>0.75</v>
      </c>
      <c r="CM248" s="11" t="str">
        <f t="shared" si="333"/>
        <v>NOT CONGESTED</v>
      </c>
      <c r="CN248" s="3">
        <f t="shared" si="334"/>
        <v>1652</v>
      </c>
      <c r="CO248" s="11">
        <f t="shared" si="335"/>
        <v>0.7</v>
      </c>
      <c r="CP248" s="156" t="str">
        <f t="shared" si="371"/>
        <v>NOT CONGESTED</v>
      </c>
      <c r="CQ248" s="2" t="s">
        <v>630</v>
      </c>
      <c r="CR248" s="44">
        <f>0.63/H248</f>
        <v>0.64387165082452458</v>
      </c>
      <c r="CS248" s="11" t="str">
        <f t="shared" si="337"/>
        <v/>
      </c>
      <c r="CT248" s="11" t="str">
        <f t="shared" si="372"/>
        <v/>
      </c>
      <c r="CU248" s="11" t="str">
        <f t="shared" si="338"/>
        <v/>
      </c>
      <c r="CV248" s="11" t="str">
        <f t="shared" si="339"/>
        <v/>
      </c>
      <c r="CW248" s="2"/>
      <c r="CX248" s="1"/>
      <c r="CY248" s="145" t="str">
        <f t="shared" si="340"/>
        <v/>
      </c>
      <c r="CZ248" s="32" t="str">
        <f t="shared" si="341"/>
        <v/>
      </c>
    </row>
    <row r="249" spans="1:104">
      <c r="A249" s="1">
        <v>60000051</v>
      </c>
      <c r="B249" s="1">
        <f t="shared" si="342"/>
        <v>169</v>
      </c>
      <c r="C249" s="1">
        <v>311</v>
      </c>
      <c r="D249" s="1">
        <f>VLOOKUP(C249,'2022 counts'!$A$6:$B$304,2,FALSE)</f>
        <v>169</v>
      </c>
      <c r="E249" s="1"/>
      <c r="F249" s="2" t="s">
        <v>6</v>
      </c>
      <c r="G249" s="156">
        <v>35</v>
      </c>
      <c r="H249" s="11">
        <v>0.420107678308</v>
      </c>
      <c r="I249" s="10" t="s">
        <v>18</v>
      </c>
      <c r="J249" s="10" t="s">
        <v>14</v>
      </c>
      <c r="K249" s="10" t="s">
        <v>700</v>
      </c>
      <c r="L249" s="157">
        <v>4</v>
      </c>
      <c r="M249" s="1">
        <f>'State of the System - Sumter Co'!K249</f>
        <v>4</v>
      </c>
      <c r="N249" s="1" t="str">
        <f>IF('State of the System - Sumter Co'!L249="URBAN","U","R")</f>
        <v>U</v>
      </c>
      <c r="O249" s="1" t="str">
        <f>IF('State of the System - Sumter Co'!M249="UNDIVIDED","U",IF('State of the System - Sumter Co'!M249="DIVIDED","D","F"))</f>
        <v>D</v>
      </c>
      <c r="P249" s="1" t="str">
        <f>'State of the System - Sumter Co'!N249</f>
        <v>INTERRUPTED</v>
      </c>
      <c r="Q249" s="1" t="str">
        <f t="shared" si="300"/>
        <v/>
      </c>
      <c r="R249" s="1" t="str">
        <f>'State of the System - Sumter Co'!O249</f>
        <v/>
      </c>
      <c r="S249" s="1" t="str">
        <f t="shared" si="363"/>
        <v>-2</v>
      </c>
      <c r="T249" s="1" t="str">
        <f t="shared" si="301"/>
        <v>U-4D-2</v>
      </c>
      <c r="U249" s="1" t="str">
        <f t="shared" si="421"/>
        <v>U-4D-2</v>
      </c>
      <c r="V249" s="1" t="s">
        <v>10</v>
      </c>
      <c r="W249" s="1" t="s">
        <v>11</v>
      </c>
      <c r="X249" s="1" t="s">
        <v>12</v>
      </c>
      <c r="Y249" s="1" t="str">
        <f>'State of the System - Sumter Co'!R249</f>
        <v>D</v>
      </c>
      <c r="Z249" s="157" t="str">
        <f t="shared" si="302"/>
        <v>Other CMP Network Roadways</v>
      </c>
      <c r="AA249" s="15">
        <f>VLOOKUP($T249,'2020_CapacityTable'!$B$49:$F$71,2)</f>
        <v>0</v>
      </c>
      <c r="AB249" s="15">
        <f>VLOOKUP($T249,'2020_CapacityTable'!$B$49:$F$71,3)</f>
        <v>14500</v>
      </c>
      <c r="AC249" s="15">
        <f>VLOOKUP($T249,'2020_CapacityTable'!$B$49:$F$71,4)</f>
        <v>32400</v>
      </c>
      <c r="AD249" s="15">
        <f>VLOOKUP($T249,'2020_CapacityTable'!$B$49:$F$71,5)</f>
        <v>33800</v>
      </c>
      <c r="AE249" s="35">
        <f t="shared" si="419"/>
        <v>-0.1</v>
      </c>
      <c r="AF249" s="36" t="str">
        <f t="shared" si="303"/>
        <v/>
      </c>
      <c r="AG249" s="35" t="str">
        <f t="shared" si="420"/>
        <v/>
      </c>
      <c r="AH249" s="35" t="str">
        <f>IF(O249="U",IF(#REF!&gt;2,"LOOK",""),"")</f>
        <v/>
      </c>
      <c r="AI249" s="35"/>
      <c r="AJ249" s="36"/>
      <c r="AK249" s="15">
        <f t="shared" si="304"/>
        <v>0</v>
      </c>
      <c r="AL249" s="15">
        <f t="shared" si="305"/>
        <v>13050</v>
      </c>
      <c r="AM249" s="15">
        <f t="shared" si="306"/>
        <v>29160</v>
      </c>
      <c r="AN249" s="15">
        <f t="shared" si="307"/>
        <v>30420</v>
      </c>
      <c r="AO249" s="3">
        <f t="shared" si="366"/>
        <v>29160</v>
      </c>
      <c r="AP249" s="138">
        <f>VLOOKUP($B249,'2022 counts'!$B$6:$R$304,17,FALSE)</f>
        <v>15651</v>
      </c>
      <c r="AQ249" s="11">
        <f t="shared" si="308"/>
        <v>0.54</v>
      </c>
      <c r="AR249" s="2" t="str">
        <f t="shared" si="309"/>
        <v>D</v>
      </c>
      <c r="AS249" s="26">
        <f t="shared" si="310"/>
        <v>2.4</v>
      </c>
      <c r="AT249" s="15">
        <f>VLOOKUP($T249,'2020_CapacityTable'!$B$23:$F$45,2)</f>
        <v>0</v>
      </c>
      <c r="AU249" s="15">
        <f>VLOOKUP($T249,'2020_CapacityTable'!$B$23:$F$45,3)</f>
        <v>730</v>
      </c>
      <c r="AV249" s="15">
        <f>VLOOKUP($T249,'2020_CapacityTable'!$B$23:$F$45,4)</f>
        <v>1630</v>
      </c>
      <c r="AW249" s="15">
        <f>VLOOKUP($T249,'2020_CapacityTable'!$B$23:$F$45,5)</f>
        <v>1700</v>
      </c>
      <c r="AX249" s="15">
        <f t="shared" si="311"/>
        <v>0</v>
      </c>
      <c r="AY249" s="15">
        <f t="shared" si="312"/>
        <v>657</v>
      </c>
      <c r="AZ249" s="15">
        <f t="shared" si="313"/>
        <v>1467</v>
      </c>
      <c r="BA249" s="15">
        <f t="shared" si="314"/>
        <v>1530</v>
      </c>
      <c r="BB249" s="3">
        <f t="shared" si="367"/>
        <v>1467</v>
      </c>
      <c r="BC249" s="138">
        <f>VLOOKUP($B249,'2022 counts'!$B$6:$AD$304,28,FALSE)</f>
        <v>735</v>
      </c>
      <c r="BD249" s="138">
        <f>VLOOKUP($B249,'2022 counts'!$B$6:$AD$304,29,FALSE)</f>
        <v>773</v>
      </c>
      <c r="BE249" s="11">
        <f t="shared" si="315"/>
        <v>0.53</v>
      </c>
      <c r="BF249" s="2" t="str">
        <f t="shared" si="316"/>
        <v>D</v>
      </c>
      <c r="BG249" s="135">
        <v>2.5000000000000001E-3</v>
      </c>
      <c r="BH249" s="135">
        <f>IF($AQ249="","",VLOOKUP($B249, '2022 counts'!$B$6:$T$304,19,FALSE))</f>
        <v>2.5000000000000001E-3</v>
      </c>
      <c r="BI249" s="38">
        <f t="shared" si="317"/>
        <v>0.01</v>
      </c>
      <c r="BJ249" s="39" t="str">
        <f t="shared" si="318"/>
        <v>minimum</v>
      </c>
      <c r="BK249" s="15">
        <f>VLOOKUP($U249,'2020_CapacityTable'!$B$49:$F$71,2)</f>
        <v>0</v>
      </c>
      <c r="BL249" s="15">
        <f>VLOOKUP($U249,'2020_CapacityTable'!$B$49:$F$71,3)</f>
        <v>14500</v>
      </c>
      <c r="BM249" s="15">
        <f>VLOOKUP($T249,'2020_CapacityTable'!$B$49:$F$71,4)</f>
        <v>32400</v>
      </c>
      <c r="BN249" s="15">
        <f>VLOOKUP($T249,'2020_CapacityTable'!$B$49:$F$71,5)</f>
        <v>33800</v>
      </c>
      <c r="BO249" s="15">
        <f t="shared" si="422"/>
        <v>0</v>
      </c>
      <c r="BP249" s="15">
        <f t="shared" si="375"/>
        <v>13050</v>
      </c>
      <c r="BQ249" s="15">
        <f t="shared" si="376"/>
        <v>29160</v>
      </c>
      <c r="BR249" s="15">
        <f t="shared" si="377"/>
        <v>30420</v>
      </c>
      <c r="BS249" s="3">
        <f t="shared" si="368"/>
        <v>29160</v>
      </c>
      <c r="BT249" s="40">
        <f>'State of the System - Sumter Co'!AD249</f>
        <v>16449</v>
      </c>
      <c r="BU249" s="41">
        <f t="shared" si="423"/>
        <v>0.56000000000000005</v>
      </c>
      <c r="BV249" s="2" t="str">
        <f t="shared" si="424"/>
        <v>D</v>
      </c>
      <c r="BW249" s="2">
        <f t="shared" si="325"/>
        <v>2.52</v>
      </c>
      <c r="BX249" s="15">
        <f>VLOOKUP($U249,'2020_CapacityTable'!$B$23:$F$45,2)</f>
        <v>0</v>
      </c>
      <c r="BY249" s="15">
        <f>VLOOKUP($U249,'2020_CapacityTable'!$B$23:$F$45,3)</f>
        <v>730</v>
      </c>
      <c r="BZ249" s="15">
        <f>VLOOKUP($U249,'2020_CapacityTable'!$B$23:$F$45,4)</f>
        <v>1630</v>
      </c>
      <c r="CA249" s="15">
        <f>VLOOKUP($U249,'2020_CapacityTable'!$B$23:$F$45,5)</f>
        <v>1700</v>
      </c>
      <c r="CB249" s="15">
        <f t="shared" si="425"/>
        <v>0</v>
      </c>
      <c r="CC249" s="15">
        <f t="shared" si="426"/>
        <v>657</v>
      </c>
      <c r="CD249" s="15">
        <f t="shared" si="427"/>
        <v>1467</v>
      </c>
      <c r="CE249" s="15">
        <f t="shared" si="428"/>
        <v>1530</v>
      </c>
      <c r="CF249" s="3">
        <f t="shared" si="369"/>
        <v>1467</v>
      </c>
      <c r="CG249" s="2">
        <f>'State of the System - Sumter Co'!AH249</f>
        <v>772</v>
      </c>
      <c r="CH249" s="2">
        <f>'State of the System - Sumter Co'!AI249</f>
        <v>812</v>
      </c>
      <c r="CI249" s="11">
        <f t="shared" si="330"/>
        <v>0.55000000000000004</v>
      </c>
      <c r="CJ249" s="2" t="str">
        <f t="shared" si="370"/>
        <v>D</v>
      </c>
      <c r="CK249" s="3">
        <f t="shared" si="331"/>
        <v>32854</v>
      </c>
      <c r="CL249" s="11">
        <f t="shared" si="332"/>
        <v>0.5</v>
      </c>
      <c r="CM249" s="11" t="str">
        <f t="shared" si="333"/>
        <v>NOT CONGESTED</v>
      </c>
      <c r="CN249" s="3">
        <f t="shared" si="334"/>
        <v>1652</v>
      </c>
      <c r="CO249" s="11">
        <f t="shared" si="335"/>
        <v>0.49</v>
      </c>
      <c r="CP249" s="156" t="str">
        <f t="shared" si="371"/>
        <v>NOT CONGESTED</v>
      </c>
      <c r="CQ249" s="2"/>
      <c r="CR249" s="42"/>
      <c r="CS249" s="11" t="str">
        <f t="shared" si="337"/>
        <v/>
      </c>
      <c r="CT249" s="11" t="str">
        <f t="shared" si="372"/>
        <v/>
      </c>
      <c r="CU249" s="11" t="str">
        <f t="shared" si="338"/>
        <v/>
      </c>
      <c r="CV249" s="11" t="str">
        <f t="shared" si="339"/>
        <v/>
      </c>
      <c r="CW249" s="2"/>
      <c r="CX249" s="1"/>
      <c r="CY249" s="145" t="str">
        <f t="shared" si="340"/>
        <v/>
      </c>
      <c r="CZ249" s="32" t="str">
        <f t="shared" si="341"/>
        <v/>
      </c>
    </row>
    <row r="250" spans="1:104">
      <c r="A250" s="1">
        <v>60000052</v>
      </c>
      <c r="B250" s="1">
        <f t="shared" si="342"/>
        <v>168</v>
      </c>
      <c r="C250" s="1">
        <v>308</v>
      </c>
      <c r="D250" s="1">
        <f>VLOOKUP(C250,'2022 counts'!$A$6:$B$304,2,FALSE)</f>
        <v>168</v>
      </c>
      <c r="E250" s="1"/>
      <c r="F250" s="2" t="s">
        <v>6</v>
      </c>
      <c r="G250" s="156">
        <v>35</v>
      </c>
      <c r="H250" s="11">
        <v>0.68222062344199996</v>
      </c>
      <c r="I250" s="10" t="s">
        <v>18</v>
      </c>
      <c r="J250" s="10" t="s">
        <v>700</v>
      </c>
      <c r="K250" s="10" t="s">
        <v>19</v>
      </c>
      <c r="L250" s="157">
        <v>4</v>
      </c>
      <c r="M250" s="1">
        <f>'State of the System - Sumter Co'!K250</f>
        <v>4</v>
      </c>
      <c r="N250" s="1" t="str">
        <f>IF('State of the System - Sumter Co'!L250="URBAN","U","R")</f>
        <v>U</v>
      </c>
      <c r="O250" s="1" t="str">
        <f>IF('State of the System - Sumter Co'!M250="UNDIVIDED","U",IF('State of the System - Sumter Co'!M250="DIVIDED","D","F"))</f>
        <v>D</v>
      </c>
      <c r="P250" s="1" t="str">
        <f>'State of the System - Sumter Co'!N250</f>
        <v>INTERRUPTED</v>
      </c>
      <c r="Q250" s="1" t="str">
        <f t="shared" si="300"/>
        <v/>
      </c>
      <c r="R250" s="1" t="str">
        <f>'State of the System - Sumter Co'!O250</f>
        <v/>
      </c>
      <c r="S250" s="1" t="str">
        <f t="shared" si="363"/>
        <v>-2</v>
      </c>
      <c r="T250" s="1" t="str">
        <f t="shared" si="301"/>
        <v>U-4D-2</v>
      </c>
      <c r="U250" s="1" t="str">
        <f t="shared" si="421"/>
        <v>U-4D-2</v>
      </c>
      <c r="V250" s="1" t="s">
        <v>10</v>
      </c>
      <c r="W250" s="1" t="s">
        <v>11</v>
      </c>
      <c r="X250" s="1" t="s">
        <v>12</v>
      </c>
      <c r="Y250" s="1" t="str">
        <f>'State of the System - Sumter Co'!R250</f>
        <v>D</v>
      </c>
      <c r="Z250" s="157" t="str">
        <f t="shared" si="302"/>
        <v>Other CMP Network Roadways</v>
      </c>
      <c r="AA250" s="15">
        <f>VLOOKUP($T250,'2020_CapacityTable'!$B$49:$F$71,2)</f>
        <v>0</v>
      </c>
      <c r="AB250" s="15">
        <f>VLOOKUP($T250,'2020_CapacityTable'!$B$49:$F$71,3)</f>
        <v>14500</v>
      </c>
      <c r="AC250" s="15">
        <f>VLOOKUP($T250,'2020_CapacityTable'!$B$49:$F$71,4)</f>
        <v>32400</v>
      </c>
      <c r="AD250" s="15">
        <f>VLOOKUP($T250,'2020_CapacityTable'!$B$49:$F$71,5)</f>
        <v>33800</v>
      </c>
      <c r="AE250" s="35">
        <f t="shared" si="419"/>
        <v>-0.1</v>
      </c>
      <c r="AF250" s="36" t="str">
        <f t="shared" si="303"/>
        <v/>
      </c>
      <c r="AG250" s="35" t="str">
        <f t="shared" si="420"/>
        <v/>
      </c>
      <c r="AH250" s="35" t="str">
        <f>IF(O250="U",IF(#REF!&gt;2,"LOOK",""),"")</f>
        <v/>
      </c>
      <c r="AI250" s="35"/>
      <c r="AJ250" s="36"/>
      <c r="AK250" s="15">
        <f t="shared" si="304"/>
        <v>0</v>
      </c>
      <c r="AL250" s="15">
        <f t="shared" si="305"/>
        <v>13050</v>
      </c>
      <c r="AM250" s="15">
        <f t="shared" si="306"/>
        <v>29160</v>
      </c>
      <c r="AN250" s="15">
        <f t="shared" si="307"/>
        <v>30420</v>
      </c>
      <c r="AO250" s="3">
        <f t="shared" si="366"/>
        <v>29160</v>
      </c>
      <c r="AP250" s="138">
        <f>VLOOKUP($B250,'2022 counts'!$B$6:$R$304,17,FALSE)</f>
        <v>12583</v>
      </c>
      <c r="AQ250" s="11">
        <f t="shared" si="308"/>
        <v>0.43</v>
      </c>
      <c r="AR250" s="2" t="str">
        <f t="shared" si="309"/>
        <v>C</v>
      </c>
      <c r="AS250" s="26">
        <f t="shared" si="310"/>
        <v>3.13</v>
      </c>
      <c r="AT250" s="15">
        <f>VLOOKUP($T250,'2020_CapacityTable'!$B$23:$F$45,2)</f>
        <v>0</v>
      </c>
      <c r="AU250" s="15">
        <f>VLOOKUP($T250,'2020_CapacityTable'!$B$23:$F$45,3)</f>
        <v>730</v>
      </c>
      <c r="AV250" s="15">
        <f>VLOOKUP($T250,'2020_CapacityTable'!$B$23:$F$45,4)</f>
        <v>1630</v>
      </c>
      <c r="AW250" s="15">
        <f>VLOOKUP($T250,'2020_CapacityTable'!$B$23:$F$45,5)</f>
        <v>1700</v>
      </c>
      <c r="AX250" s="15">
        <f t="shared" si="311"/>
        <v>0</v>
      </c>
      <c r="AY250" s="15">
        <f t="shared" si="312"/>
        <v>657</v>
      </c>
      <c r="AZ250" s="15">
        <f t="shared" si="313"/>
        <v>1467</v>
      </c>
      <c r="BA250" s="15">
        <f t="shared" si="314"/>
        <v>1530</v>
      </c>
      <c r="BB250" s="3">
        <f t="shared" si="367"/>
        <v>1467</v>
      </c>
      <c r="BC250" s="138">
        <f>VLOOKUP($B250,'2022 counts'!$B$6:$AD$304,28,FALSE)</f>
        <v>617</v>
      </c>
      <c r="BD250" s="138">
        <f>VLOOKUP($B250,'2022 counts'!$B$6:$AD$304,29,FALSE)</f>
        <v>640</v>
      </c>
      <c r="BE250" s="11">
        <f t="shared" si="315"/>
        <v>0.44</v>
      </c>
      <c r="BF250" s="2" t="str">
        <f t="shared" si="316"/>
        <v>C</v>
      </c>
      <c r="BG250" s="135">
        <v>0</v>
      </c>
      <c r="BH250" s="135">
        <f>IF($AQ250="","",VLOOKUP($B250, '2022 counts'!$B$6:$T$304,19,FALSE))</f>
        <v>0</v>
      </c>
      <c r="BI250" s="38">
        <f t="shared" si="317"/>
        <v>0.01</v>
      </c>
      <c r="BJ250" s="39" t="str">
        <f t="shared" si="318"/>
        <v>minimum</v>
      </c>
      <c r="BK250" s="15">
        <f>VLOOKUP($U250,'2020_CapacityTable'!$B$49:$F$71,2)</f>
        <v>0</v>
      </c>
      <c r="BL250" s="15">
        <f>VLOOKUP($U250,'2020_CapacityTable'!$B$49:$F$71,3)</f>
        <v>14500</v>
      </c>
      <c r="BM250" s="15">
        <f>VLOOKUP($T250,'2020_CapacityTable'!$B$49:$F$71,4)</f>
        <v>32400</v>
      </c>
      <c r="BN250" s="15">
        <f>VLOOKUP($T250,'2020_CapacityTable'!$B$49:$F$71,5)</f>
        <v>33800</v>
      </c>
      <c r="BO250" s="15">
        <f t="shared" si="422"/>
        <v>0</v>
      </c>
      <c r="BP250" s="15">
        <f t="shared" si="375"/>
        <v>13050</v>
      </c>
      <c r="BQ250" s="15">
        <f t="shared" si="376"/>
        <v>29160</v>
      </c>
      <c r="BR250" s="15">
        <f t="shared" si="377"/>
        <v>30420</v>
      </c>
      <c r="BS250" s="3">
        <f t="shared" si="368"/>
        <v>29160</v>
      </c>
      <c r="BT250" s="40">
        <f>'State of the System - Sumter Co'!AD250</f>
        <v>13225</v>
      </c>
      <c r="BU250" s="41">
        <f t="shared" si="423"/>
        <v>0.45</v>
      </c>
      <c r="BV250" s="2" t="str">
        <f t="shared" si="424"/>
        <v>D</v>
      </c>
      <c r="BW250" s="2">
        <f t="shared" si="325"/>
        <v>3.29</v>
      </c>
      <c r="BX250" s="15">
        <f>VLOOKUP($U250,'2020_CapacityTable'!$B$23:$F$45,2)</f>
        <v>0</v>
      </c>
      <c r="BY250" s="15">
        <f>VLOOKUP($U250,'2020_CapacityTable'!$B$23:$F$45,3)</f>
        <v>730</v>
      </c>
      <c r="BZ250" s="15">
        <f>VLOOKUP($U250,'2020_CapacityTable'!$B$23:$F$45,4)</f>
        <v>1630</v>
      </c>
      <c r="CA250" s="15">
        <f>VLOOKUP($U250,'2020_CapacityTable'!$B$23:$F$45,5)</f>
        <v>1700</v>
      </c>
      <c r="CB250" s="15">
        <f t="shared" si="425"/>
        <v>0</v>
      </c>
      <c r="CC250" s="15">
        <f t="shared" si="426"/>
        <v>657</v>
      </c>
      <c r="CD250" s="15">
        <f t="shared" si="427"/>
        <v>1467</v>
      </c>
      <c r="CE250" s="15">
        <f t="shared" si="428"/>
        <v>1530</v>
      </c>
      <c r="CF250" s="3">
        <f t="shared" si="369"/>
        <v>1467</v>
      </c>
      <c r="CG250" s="2">
        <f>'State of the System - Sumter Co'!AH250</f>
        <v>648</v>
      </c>
      <c r="CH250" s="2">
        <f>'State of the System - Sumter Co'!AI250</f>
        <v>673</v>
      </c>
      <c r="CI250" s="11">
        <f t="shared" si="330"/>
        <v>0.46</v>
      </c>
      <c r="CJ250" s="2" t="str">
        <f t="shared" si="370"/>
        <v>D</v>
      </c>
      <c r="CK250" s="3">
        <f t="shared" si="331"/>
        <v>32854</v>
      </c>
      <c r="CL250" s="11">
        <f t="shared" si="332"/>
        <v>0.4</v>
      </c>
      <c r="CM250" s="11" t="str">
        <f t="shared" si="333"/>
        <v>NOT CONGESTED</v>
      </c>
      <c r="CN250" s="3">
        <f t="shared" si="334"/>
        <v>1652</v>
      </c>
      <c r="CO250" s="11">
        <f t="shared" si="335"/>
        <v>0.41</v>
      </c>
      <c r="CP250" s="156" t="str">
        <f t="shared" si="371"/>
        <v>NOT CONGESTED</v>
      </c>
      <c r="CQ250" s="2"/>
      <c r="CR250" s="42"/>
      <c r="CS250" s="11" t="str">
        <f t="shared" si="337"/>
        <v/>
      </c>
      <c r="CT250" s="11" t="str">
        <f t="shared" si="372"/>
        <v/>
      </c>
      <c r="CU250" s="11" t="str">
        <f t="shared" si="338"/>
        <v/>
      </c>
      <c r="CV250" s="11" t="str">
        <f t="shared" si="339"/>
        <v/>
      </c>
      <c r="CW250" s="2"/>
      <c r="CX250" s="1"/>
      <c r="CY250" s="145" t="str">
        <f t="shared" si="340"/>
        <v/>
      </c>
      <c r="CZ250" s="32" t="str">
        <f t="shared" si="341"/>
        <v/>
      </c>
    </row>
    <row r="251" spans="1:104">
      <c r="A251" s="1">
        <v>60000053</v>
      </c>
      <c r="B251" s="1">
        <f t="shared" si="342"/>
        <v>157</v>
      </c>
      <c r="C251" s="1">
        <v>305</v>
      </c>
      <c r="D251" s="1">
        <f>VLOOKUP(C251,'2022 counts'!$A$6:$B$304,2,FALSE)</f>
        <v>157</v>
      </c>
      <c r="E251" s="1"/>
      <c r="F251" s="2" t="s">
        <v>6</v>
      </c>
      <c r="G251" s="156">
        <v>35</v>
      </c>
      <c r="H251" s="11">
        <v>0.935604851412</v>
      </c>
      <c r="I251" s="10" t="s">
        <v>18</v>
      </c>
      <c r="J251" s="10" t="s">
        <v>19</v>
      </c>
      <c r="K251" s="10" t="s">
        <v>699</v>
      </c>
      <c r="L251" s="157">
        <v>4</v>
      </c>
      <c r="M251" s="1">
        <f>'State of the System - Sumter Co'!K251</f>
        <v>4</v>
      </c>
      <c r="N251" s="1" t="str">
        <f>IF('State of the System - Sumter Co'!L251="URBAN","U","R")</f>
        <v>U</v>
      </c>
      <c r="O251" s="1" t="str">
        <f>IF('State of the System - Sumter Co'!M251="UNDIVIDED","U",IF('State of the System - Sumter Co'!M251="DIVIDED","D","F"))</f>
        <v>D</v>
      </c>
      <c r="P251" s="1" t="str">
        <f>'State of the System - Sumter Co'!N251</f>
        <v>INTERRUPTED</v>
      </c>
      <c r="Q251" s="1" t="str">
        <f t="shared" si="300"/>
        <v/>
      </c>
      <c r="R251" s="1" t="str">
        <f>'State of the System - Sumter Co'!O251</f>
        <v/>
      </c>
      <c r="S251" s="1" t="str">
        <f t="shared" si="363"/>
        <v>-2</v>
      </c>
      <c r="T251" s="1" t="str">
        <f t="shared" si="301"/>
        <v>U-4D-2</v>
      </c>
      <c r="U251" s="1" t="str">
        <f t="shared" si="421"/>
        <v>U-4D-2</v>
      </c>
      <c r="V251" s="1" t="s">
        <v>10</v>
      </c>
      <c r="W251" s="1" t="s">
        <v>11</v>
      </c>
      <c r="X251" s="1" t="s">
        <v>12</v>
      </c>
      <c r="Y251" s="1" t="str">
        <f>'State of the System - Sumter Co'!R251</f>
        <v>D</v>
      </c>
      <c r="Z251" s="157" t="str">
        <f t="shared" si="302"/>
        <v>Other CMP Network Roadways</v>
      </c>
      <c r="AA251" s="15">
        <f>VLOOKUP($T251,'2020_CapacityTable'!$B$49:$F$71,2)</f>
        <v>0</v>
      </c>
      <c r="AB251" s="15">
        <f>VLOOKUP($T251,'2020_CapacityTable'!$B$49:$F$71,3)</f>
        <v>14500</v>
      </c>
      <c r="AC251" s="15">
        <f>VLOOKUP($T251,'2020_CapacityTable'!$B$49:$F$71,4)</f>
        <v>32400</v>
      </c>
      <c r="AD251" s="15">
        <f>VLOOKUP($T251,'2020_CapacityTable'!$B$49:$F$71,5)</f>
        <v>33800</v>
      </c>
      <c r="AE251" s="35">
        <f t="shared" si="419"/>
        <v>-0.1</v>
      </c>
      <c r="AF251" s="36" t="str">
        <f t="shared" si="303"/>
        <v/>
      </c>
      <c r="AG251" s="35" t="str">
        <f t="shared" si="420"/>
        <v/>
      </c>
      <c r="AH251" s="35" t="str">
        <f>IF(O251="U",IF(#REF!&gt;2,"LOOK",""),"")</f>
        <v/>
      </c>
      <c r="AI251" s="35"/>
      <c r="AJ251" s="36"/>
      <c r="AK251" s="15">
        <f t="shared" si="304"/>
        <v>0</v>
      </c>
      <c r="AL251" s="15">
        <f t="shared" si="305"/>
        <v>13050</v>
      </c>
      <c r="AM251" s="15">
        <f t="shared" si="306"/>
        <v>29160</v>
      </c>
      <c r="AN251" s="15">
        <f t="shared" si="307"/>
        <v>30420</v>
      </c>
      <c r="AO251" s="3">
        <f t="shared" si="366"/>
        <v>29160</v>
      </c>
      <c r="AP251" s="138">
        <f>VLOOKUP($B251,'2022 counts'!$B$6:$R$304,17,FALSE)</f>
        <v>13597</v>
      </c>
      <c r="AQ251" s="11">
        <f t="shared" si="308"/>
        <v>0.47</v>
      </c>
      <c r="AR251" s="2" t="str">
        <f t="shared" si="309"/>
        <v>D</v>
      </c>
      <c r="AS251" s="26">
        <f t="shared" si="310"/>
        <v>4.6399999999999997</v>
      </c>
      <c r="AT251" s="15">
        <f>VLOOKUP($T251,'2020_CapacityTable'!$B$23:$F$45,2)</f>
        <v>0</v>
      </c>
      <c r="AU251" s="15">
        <f>VLOOKUP($T251,'2020_CapacityTable'!$B$23:$F$45,3)</f>
        <v>730</v>
      </c>
      <c r="AV251" s="15">
        <f>VLOOKUP($T251,'2020_CapacityTable'!$B$23:$F$45,4)</f>
        <v>1630</v>
      </c>
      <c r="AW251" s="15">
        <f>VLOOKUP($T251,'2020_CapacityTable'!$B$23:$F$45,5)</f>
        <v>1700</v>
      </c>
      <c r="AX251" s="15">
        <f t="shared" si="311"/>
        <v>0</v>
      </c>
      <c r="AY251" s="15">
        <f t="shared" si="312"/>
        <v>657</v>
      </c>
      <c r="AZ251" s="15">
        <f t="shared" si="313"/>
        <v>1467</v>
      </c>
      <c r="BA251" s="15">
        <f t="shared" si="314"/>
        <v>1530</v>
      </c>
      <c r="BB251" s="3">
        <f t="shared" si="367"/>
        <v>1467</v>
      </c>
      <c r="BC251" s="138">
        <f>VLOOKUP($B251,'2022 counts'!$B$6:$AD$304,28,FALSE)</f>
        <v>683</v>
      </c>
      <c r="BD251" s="138">
        <f>VLOOKUP($B251,'2022 counts'!$B$6:$AD$304,29,FALSE)</f>
        <v>702</v>
      </c>
      <c r="BE251" s="11">
        <f t="shared" si="315"/>
        <v>0.48</v>
      </c>
      <c r="BF251" s="2" t="str">
        <f t="shared" si="316"/>
        <v>D</v>
      </c>
      <c r="BG251" s="135">
        <v>0</v>
      </c>
      <c r="BH251" s="135">
        <f>IF($AQ251="","",VLOOKUP($B251, '2022 counts'!$B$6:$T$304,19,FALSE))</f>
        <v>0</v>
      </c>
      <c r="BI251" s="38">
        <f t="shared" si="317"/>
        <v>0.01</v>
      </c>
      <c r="BJ251" s="39" t="str">
        <f t="shared" si="318"/>
        <v>minimum</v>
      </c>
      <c r="BK251" s="15">
        <f>VLOOKUP($U251,'2020_CapacityTable'!$B$49:$F$71,2)</f>
        <v>0</v>
      </c>
      <c r="BL251" s="15">
        <f>VLOOKUP($U251,'2020_CapacityTable'!$B$49:$F$71,3)</f>
        <v>14500</v>
      </c>
      <c r="BM251" s="15">
        <f>VLOOKUP($T251,'2020_CapacityTable'!$B$49:$F$71,4)</f>
        <v>32400</v>
      </c>
      <c r="BN251" s="15">
        <f>VLOOKUP($T251,'2020_CapacityTable'!$B$49:$F$71,5)</f>
        <v>33800</v>
      </c>
      <c r="BO251" s="15">
        <f t="shared" si="422"/>
        <v>0</v>
      </c>
      <c r="BP251" s="15">
        <f t="shared" si="375"/>
        <v>13050</v>
      </c>
      <c r="BQ251" s="15">
        <f t="shared" si="376"/>
        <v>29160</v>
      </c>
      <c r="BR251" s="15">
        <f t="shared" si="377"/>
        <v>30420</v>
      </c>
      <c r="BS251" s="3">
        <f t="shared" si="368"/>
        <v>29160</v>
      </c>
      <c r="BT251" s="40">
        <f>'State of the System - Sumter Co'!AD251</f>
        <v>14291</v>
      </c>
      <c r="BU251" s="41">
        <f t="shared" si="423"/>
        <v>0.49</v>
      </c>
      <c r="BV251" s="2" t="str">
        <f t="shared" si="424"/>
        <v>D</v>
      </c>
      <c r="BW251" s="2">
        <f t="shared" si="325"/>
        <v>4.88</v>
      </c>
      <c r="BX251" s="15">
        <f>VLOOKUP($U251,'2020_CapacityTable'!$B$23:$F$45,2)</f>
        <v>0</v>
      </c>
      <c r="BY251" s="15">
        <f>VLOOKUP($U251,'2020_CapacityTable'!$B$23:$F$45,3)</f>
        <v>730</v>
      </c>
      <c r="BZ251" s="15">
        <f>VLOOKUP($U251,'2020_CapacityTable'!$B$23:$F$45,4)</f>
        <v>1630</v>
      </c>
      <c r="CA251" s="15">
        <f>VLOOKUP($U251,'2020_CapacityTable'!$B$23:$F$45,5)</f>
        <v>1700</v>
      </c>
      <c r="CB251" s="15">
        <f t="shared" si="425"/>
        <v>0</v>
      </c>
      <c r="CC251" s="15">
        <f t="shared" si="426"/>
        <v>657</v>
      </c>
      <c r="CD251" s="15">
        <f t="shared" si="427"/>
        <v>1467</v>
      </c>
      <c r="CE251" s="15">
        <f t="shared" si="428"/>
        <v>1530</v>
      </c>
      <c r="CF251" s="3">
        <f t="shared" si="369"/>
        <v>1467</v>
      </c>
      <c r="CG251" s="2">
        <f>'State of the System - Sumter Co'!AH251</f>
        <v>718</v>
      </c>
      <c r="CH251" s="2">
        <f>'State of the System - Sumter Co'!AI251</f>
        <v>738</v>
      </c>
      <c r="CI251" s="11">
        <f t="shared" si="330"/>
        <v>0.5</v>
      </c>
      <c r="CJ251" s="2" t="str">
        <f t="shared" si="370"/>
        <v>D</v>
      </c>
      <c r="CK251" s="3">
        <f t="shared" si="331"/>
        <v>32854</v>
      </c>
      <c r="CL251" s="11">
        <f t="shared" si="332"/>
        <v>0.43</v>
      </c>
      <c r="CM251" s="11" t="str">
        <f t="shared" si="333"/>
        <v>NOT CONGESTED</v>
      </c>
      <c r="CN251" s="3">
        <f t="shared" si="334"/>
        <v>1652</v>
      </c>
      <c r="CO251" s="11">
        <f t="shared" si="335"/>
        <v>0.45</v>
      </c>
      <c r="CP251" s="156" t="str">
        <f t="shared" si="371"/>
        <v>NOT CONGESTED</v>
      </c>
      <c r="CQ251" s="2"/>
      <c r="CR251" s="42"/>
      <c r="CS251" s="11" t="str">
        <f t="shared" si="337"/>
        <v/>
      </c>
      <c r="CT251" s="11" t="str">
        <f t="shared" si="372"/>
        <v/>
      </c>
      <c r="CU251" s="11" t="str">
        <f t="shared" si="338"/>
        <v/>
      </c>
      <c r="CV251" s="11" t="str">
        <f t="shared" si="339"/>
        <v/>
      </c>
      <c r="CW251" s="2"/>
      <c r="CX251" s="1"/>
      <c r="CY251" s="145" t="str">
        <f t="shared" si="340"/>
        <v/>
      </c>
      <c r="CZ251" s="32" t="str">
        <f t="shared" si="341"/>
        <v/>
      </c>
    </row>
    <row r="252" spans="1:104">
      <c r="A252" s="1">
        <v>60000054</v>
      </c>
      <c r="B252" s="1">
        <f t="shared" si="342"/>
        <v>167</v>
      </c>
      <c r="C252" s="1">
        <v>302</v>
      </c>
      <c r="D252" s="1">
        <f>VLOOKUP(C252,'2022 counts'!$A$6:$B$304,2,FALSE)</f>
        <v>167</v>
      </c>
      <c r="E252" s="1"/>
      <c r="F252" s="2" t="s">
        <v>6</v>
      </c>
      <c r="G252" s="156">
        <v>35</v>
      </c>
      <c r="H252" s="11">
        <v>0.60565170172100002</v>
      </c>
      <c r="I252" s="10" t="s">
        <v>18</v>
      </c>
      <c r="J252" s="10" t="s">
        <v>699</v>
      </c>
      <c r="K252" s="10" t="s">
        <v>102</v>
      </c>
      <c r="L252" s="157">
        <v>4</v>
      </c>
      <c r="M252" s="1">
        <f>'State of the System - Sumter Co'!K252</f>
        <v>4</v>
      </c>
      <c r="N252" s="1" t="str">
        <f>IF('State of the System - Sumter Co'!L252="URBAN","U","R")</f>
        <v>U</v>
      </c>
      <c r="O252" s="1" t="str">
        <f>IF('State of the System - Sumter Co'!M252="UNDIVIDED","U",IF('State of the System - Sumter Co'!M252="DIVIDED","D","F"))</f>
        <v>D</v>
      </c>
      <c r="P252" s="1" t="str">
        <f>'State of the System - Sumter Co'!N252</f>
        <v>INTERRUPTED</v>
      </c>
      <c r="Q252" s="1" t="str">
        <f t="shared" si="300"/>
        <v/>
      </c>
      <c r="R252" s="1" t="str">
        <f>'State of the System - Sumter Co'!O252</f>
        <v/>
      </c>
      <c r="S252" s="1" t="str">
        <f t="shared" ref="S252:S260" si="429">IF($N252="r","",IF($P252="interrupted",IF($G252&lt;37.5,"-2","-1"),"-x"))</f>
        <v>-2</v>
      </c>
      <c r="T252" s="1" t="str">
        <f t="shared" si="301"/>
        <v>U-4D-2</v>
      </c>
      <c r="U252" s="1" t="str">
        <f t="shared" si="421"/>
        <v>U-4D-2</v>
      </c>
      <c r="V252" s="1" t="s">
        <v>10</v>
      </c>
      <c r="W252" s="1" t="s">
        <v>11</v>
      </c>
      <c r="X252" s="1" t="s">
        <v>12</v>
      </c>
      <c r="Y252" s="1" t="str">
        <f>'State of the System - Sumter Co'!R252</f>
        <v>D</v>
      </c>
      <c r="Z252" s="157" t="str">
        <f t="shared" si="302"/>
        <v>Other CMP Network Roadways</v>
      </c>
      <c r="AA252" s="15">
        <f>VLOOKUP($T252,'2020_CapacityTable'!$B$49:$F$71,2)</f>
        <v>0</v>
      </c>
      <c r="AB252" s="15">
        <f>VLOOKUP($T252,'2020_CapacityTable'!$B$49:$F$71,3)</f>
        <v>14500</v>
      </c>
      <c r="AC252" s="15">
        <f>VLOOKUP($T252,'2020_CapacityTable'!$B$49:$F$71,4)</f>
        <v>32400</v>
      </c>
      <c r="AD252" s="15">
        <f>VLOOKUP($T252,'2020_CapacityTable'!$B$49:$F$71,5)</f>
        <v>33800</v>
      </c>
      <c r="AE252" s="35">
        <f t="shared" si="419"/>
        <v>-0.1</v>
      </c>
      <c r="AF252" s="36" t="str">
        <f t="shared" si="303"/>
        <v/>
      </c>
      <c r="AG252" s="35" t="str">
        <f t="shared" si="420"/>
        <v/>
      </c>
      <c r="AH252" s="35" t="str">
        <f>IF(O252="U",IF(#REF!&gt;2,"LOOK",""),"")</f>
        <v/>
      </c>
      <c r="AI252" s="35"/>
      <c r="AJ252" s="36"/>
      <c r="AK252" s="15">
        <f t="shared" si="304"/>
        <v>0</v>
      </c>
      <c r="AL252" s="15">
        <f t="shared" si="305"/>
        <v>13050</v>
      </c>
      <c r="AM252" s="15">
        <f t="shared" si="306"/>
        <v>29160</v>
      </c>
      <c r="AN252" s="15">
        <f t="shared" si="307"/>
        <v>30420</v>
      </c>
      <c r="AO252" s="3">
        <f t="shared" si="366"/>
        <v>29160</v>
      </c>
      <c r="AP252" s="138">
        <f>VLOOKUP($B252,'2022 counts'!$B$6:$R$304,17,FALSE)</f>
        <v>21217</v>
      </c>
      <c r="AQ252" s="11">
        <f t="shared" si="308"/>
        <v>0.73</v>
      </c>
      <c r="AR252" s="2" t="str">
        <f t="shared" si="309"/>
        <v>D</v>
      </c>
      <c r="AS252" s="26">
        <f t="shared" si="310"/>
        <v>4.6900000000000004</v>
      </c>
      <c r="AT252" s="15">
        <f>VLOOKUP($T252,'2020_CapacityTable'!$B$23:$F$45,2)</f>
        <v>0</v>
      </c>
      <c r="AU252" s="15">
        <f>VLOOKUP($T252,'2020_CapacityTable'!$B$23:$F$45,3)</f>
        <v>730</v>
      </c>
      <c r="AV252" s="15">
        <f>VLOOKUP($T252,'2020_CapacityTable'!$B$23:$F$45,4)</f>
        <v>1630</v>
      </c>
      <c r="AW252" s="15">
        <f>VLOOKUP($T252,'2020_CapacityTable'!$B$23:$F$45,5)</f>
        <v>1700</v>
      </c>
      <c r="AX252" s="15">
        <f t="shared" si="311"/>
        <v>0</v>
      </c>
      <c r="AY252" s="15">
        <f t="shared" si="312"/>
        <v>657</v>
      </c>
      <c r="AZ252" s="15">
        <f t="shared" si="313"/>
        <v>1467</v>
      </c>
      <c r="BA252" s="15">
        <f t="shared" si="314"/>
        <v>1530</v>
      </c>
      <c r="BB252" s="3">
        <f t="shared" si="367"/>
        <v>1467</v>
      </c>
      <c r="BC252" s="138">
        <f>VLOOKUP($B252,'2022 counts'!$B$6:$AD$304,28,FALSE)</f>
        <v>1033</v>
      </c>
      <c r="BD252" s="138">
        <f>VLOOKUP($B252,'2022 counts'!$B$6:$AD$304,29,FALSE)</f>
        <v>1071</v>
      </c>
      <c r="BE252" s="11">
        <f t="shared" si="315"/>
        <v>0.73</v>
      </c>
      <c r="BF252" s="2" t="str">
        <f t="shared" si="316"/>
        <v>D</v>
      </c>
      <c r="BG252" s="135">
        <v>0</v>
      </c>
      <c r="BH252" s="135">
        <f>IF($AQ252="","",VLOOKUP($B252, '2022 counts'!$B$6:$T$304,19,FALSE))</f>
        <v>0</v>
      </c>
      <c r="BI252" s="38">
        <f t="shared" si="317"/>
        <v>0.01</v>
      </c>
      <c r="BJ252" s="39" t="str">
        <f t="shared" si="318"/>
        <v>minimum</v>
      </c>
      <c r="BK252" s="15">
        <f>VLOOKUP($U252,'2020_CapacityTable'!$B$49:$F$71,2)</f>
        <v>0</v>
      </c>
      <c r="BL252" s="15">
        <f>VLOOKUP($U252,'2020_CapacityTable'!$B$49:$F$71,3)</f>
        <v>14500</v>
      </c>
      <c r="BM252" s="15">
        <f>VLOOKUP($T252,'2020_CapacityTable'!$B$49:$F$71,4)</f>
        <v>32400</v>
      </c>
      <c r="BN252" s="15">
        <f>VLOOKUP($T252,'2020_CapacityTable'!$B$49:$F$71,5)</f>
        <v>33800</v>
      </c>
      <c r="BO252" s="15">
        <f t="shared" si="422"/>
        <v>0</v>
      </c>
      <c r="BP252" s="15">
        <f t="shared" si="375"/>
        <v>13050</v>
      </c>
      <c r="BQ252" s="15">
        <f t="shared" si="376"/>
        <v>29160</v>
      </c>
      <c r="BR252" s="15">
        <f t="shared" si="377"/>
        <v>30420</v>
      </c>
      <c r="BS252" s="3">
        <f t="shared" si="368"/>
        <v>29160</v>
      </c>
      <c r="BT252" s="40">
        <f>'State of the System - Sumter Co'!AD252</f>
        <v>22299</v>
      </c>
      <c r="BU252" s="41">
        <f t="shared" si="423"/>
        <v>0.76</v>
      </c>
      <c r="BV252" s="2" t="str">
        <f t="shared" si="424"/>
        <v>D</v>
      </c>
      <c r="BW252" s="2">
        <f t="shared" si="325"/>
        <v>4.93</v>
      </c>
      <c r="BX252" s="15">
        <f>VLOOKUP($U252,'2020_CapacityTable'!$B$23:$F$45,2)</f>
        <v>0</v>
      </c>
      <c r="BY252" s="15">
        <f>VLOOKUP($U252,'2020_CapacityTable'!$B$23:$F$45,3)</f>
        <v>730</v>
      </c>
      <c r="BZ252" s="15">
        <f>VLOOKUP($U252,'2020_CapacityTable'!$B$23:$F$45,4)</f>
        <v>1630</v>
      </c>
      <c r="CA252" s="15">
        <f>VLOOKUP($U252,'2020_CapacityTable'!$B$23:$F$45,5)</f>
        <v>1700</v>
      </c>
      <c r="CB252" s="15">
        <f t="shared" si="425"/>
        <v>0</v>
      </c>
      <c r="CC252" s="15">
        <f t="shared" si="426"/>
        <v>657</v>
      </c>
      <c r="CD252" s="15">
        <f t="shared" si="427"/>
        <v>1467</v>
      </c>
      <c r="CE252" s="15">
        <f t="shared" si="428"/>
        <v>1530</v>
      </c>
      <c r="CF252" s="3">
        <f t="shared" si="369"/>
        <v>1467</v>
      </c>
      <c r="CG252" s="2">
        <f>'State of the System - Sumter Co'!AH252</f>
        <v>1086</v>
      </c>
      <c r="CH252" s="2">
        <f>'State of the System - Sumter Co'!AI252</f>
        <v>1126</v>
      </c>
      <c r="CI252" s="11">
        <f t="shared" si="330"/>
        <v>0.77</v>
      </c>
      <c r="CJ252" s="2" t="str">
        <f t="shared" si="370"/>
        <v>D</v>
      </c>
      <c r="CK252" s="3">
        <f t="shared" si="331"/>
        <v>32854</v>
      </c>
      <c r="CL252" s="11">
        <f t="shared" si="332"/>
        <v>0.68</v>
      </c>
      <c r="CM252" s="11" t="str">
        <f t="shared" si="333"/>
        <v>NOT CONGESTED</v>
      </c>
      <c r="CN252" s="3">
        <f t="shared" si="334"/>
        <v>1652</v>
      </c>
      <c r="CO252" s="11">
        <f t="shared" si="335"/>
        <v>0.68</v>
      </c>
      <c r="CP252" s="156" t="str">
        <f t="shared" si="371"/>
        <v>NOT CONGESTED</v>
      </c>
      <c r="CQ252" s="2"/>
      <c r="CR252" s="42"/>
      <c r="CS252" s="11" t="str">
        <f t="shared" si="337"/>
        <v/>
      </c>
      <c r="CT252" s="11" t="str">
        <f t="shared" si="372"/>
        <v/>
      </c>
      <c r="CU252" s="11" t="str">
        <f t="shared" si="338"/>
        <v/>
      </c>
      <c r="CV252" s="11" t="str">
        <f>IF(OR(AQ252="",AS252="",BT252&lt;$CK252),"",ROUND($H252,2))</f>
        <v/>
      </c>
      <c r="CW252" s="2"/>
      <c r="CX252" s="1"/>
      <c r="CY252" s="145" t="str">
        <f t="shared" si="340"/>
        <v/>
      </c>
      <c r="CZ252" s="32" t="str">
        <f t="shared" si="341"/>
        <v/>
      </c>
    </row>
    <row r="253" spans="1:104">
      <c r="A253" s="1">
        <v>60000055</v>
      </c>
      <c r="B253" s="1">
        <f t="shared" si="342"/>
        <v>166</v>
      </c>
      <c r="C253" s="1">
        <v>299</v>
      </c>
      <c r="D253" s="1">
        <f>VLOOKUP(C253,'2022 counts'!$A$6:$B$304,2,FALSE)</f>
        <v>166</v>
      </c>
      <c r="E253" s="1"/>
      <c r="F253" s="2" t="s">
        <v>6</v>
      </c>
      <c r="G253" s="156">
        <v>35</v>
      </c>
      <c r="H253" s="11">
        <v>0.58397209376400006</v>
      </c>
      <c r="I253" s="10" t="s">
        <v>18</v>
      </c>
      <c r="J253" s="10" t="s">
        <v>102</v>
      </c>
      <c r="K253" s="10" t="s">
        <v>29</v>
      </c>
      <c r="L253" s="157">
        <v>4</v>
      </c>
      <c r="M253" s="1">
        <f>'State of the System - Sumter Co'!K253</f>
        <v>4</v>
      </c>
      <c r="N253" s="1" t="str">
        <f>IF('State of the System - Sumter Co'!L253="URBAN","U","R")</f>
        <v>U</v>
      </c>
      <c r="O253" s="1" t="str">
        <f>IF('State of the System - Sumter Co'!M253="UNDIVIDED","U",IF('State of the System - Sumter Co'!M253="DIVIDED","D","F"))</f>
        <v>D</v>
      </c>
      <c r="P253" s="1" t="str">
        <f>'State of the System - Sumter Co'!N253</f>
        <v>INTERRUPTED</v>
      </c>
      <c r="Q253" s="1" t="str">
        <f t="shared" si="300"/>
        <v/>
      </c>
      <c r="R253" s="1" t="str">
        <f>'State of the System - Sumter Co'!O253</f>
        <v/>
      </c>
      <c r="S253" s="1" t="str">
        <f t="shared" si="429"/>
        <v>-2</v>
      </c>
      <c r="T253" s="1" t="str">
        <f t="shared" si="301"/>
        <v>U-4D-2</v>
      </c>
      <c r="U253" s="1" t="str">
        <f t="shared" si="421"/>
        <v>U-4D-2</v>
      </c>
      <c r="V253" s="1" t="s">
        <v>10</v>
      </c>
      <c r="W253" s="1" t="s">
        <v>11</v>
      </c>
      <c r="X253" s="1" t="s">
        <v>12</v>
      </c>
      <c r="Y253" s="1" t="str">
        <f>'State of the System - Sumter Co'!R253</f>
        <v>D</v>
      </c>
      <c r="Z253" s="157" t="str">
        <f t="shared" si="302"/>
        <v>Other CMP Network Roadways</v>
      </c>
      <c r="AA253" s="15">
        <f>VLOOKUP($T253,'2020_CapacityTable'!$B$49:$F$71,2)</f>
        <v>0</v>
      </c>
      <c r="AB253" s="15">
        <f>VLOOKUP($T253,'2020_CapacityTable'!$B$49:$F$71,3)</f>
        <v>14500</v>
      </c>
      <c r="AC253" s="15">
        <f>VLOOKUP($T253,'2020_CapacityTable'!$B$49:$F$71,4)</f>
        <v>32400</v>
      </c>
      <c r="AD253" s="15">
        <f>VLOOKUP($T253,'2020_CapacityTable'!$B$49:$F$71,5)</f>
        <v>33800</v>
      </c>
      <c r="AE253" s="35">
        <f t="shared" si="419"/>
        <v>-0.1</v>
      </c>
      <c r="AF253" s="36" t="str">
        <f t="shared" si="303"/>
        <v/>
      </c>
      <c r="AG253" s="35" t="str">
        <f t="shared" si="420"/>
        <v/>
      </c>
      <c r="AH253" s="35" t="str">
        <f>IF(O253="U",IF(#REF!&gt;2,"LOOK",""),"")</f>
        <v/>
      </c>
      <c r="AI253" s="35"/>
      <c r="AJ253" s="36"/>
      <c r="AK253" s="15">
        <f t="shared" si="304"/>
        <v>0</v>
      </c>
      <c r="AL253" s="15">
        <f t="shared" si="305"/>
        <v>13050</v>
      </c>
      <c r="AM253" s="15">
        <f t="shared" si="306"/>
        <v>29160</v>
      </c>
      <c r="AN253" s="15">
        <f t="shared" si="307"/>
        <v>30420</v>
      </c>
      <c r="AO253" s="3">
        <f t="shared" si="366"/>
        <v>29160</v>
      </c>
      <c r="AP253" s="138">
        <f>VLOOKUP($B253,'2022 counts'!$B$6:$R$304,17,FALSE)</f>
        <v>17165</v>
      </c>
      <c r="AQ253" s="11">
        <f t="shared" si="308"/>
        <v>0.59</v>
      </c>
      <c r="AR253" s="2" t="str">
        <f t="shared" si="309"/>
        <v>D</v>
      </c>
      <c r="AS253" s="26">
        <f t="shared" si="310"/>
        <v>3.66</v>
      </c>
      <c r="AT253" s="15">
        <f>VLOOKUP($T253,'2020_CapacityTable'!$B$23:$F$45,2)</f>
        <v>0</v>
      </c>
      <c r="AU253" s="15">
        <f>VLOOKUP($T253,'2020_CapacityTable'!$B$23:$F$45,3)</f>
        <v>730</v>
      </c>
      <c r="AV253" s="15">
        <f>VLOOKUP($T253,'2020_CapacityTable'!$B$23:$F$45,4)</f>
        <v>1630</v>
      </c>
      <c r="AW253" s="15">
        <f>VLOOKUP($T253,'2020_CapacityTable'!$B$23:$F$45,5)</f>
        <v>1700</v>
      </c>
      <c r="AX253" s="15">
        <f t="shared" si="311"/>
        <v>0</v>
      </c>
      <c r="AY253" s="15">
        <f t="shared" si="312"/>
        <v>657</v>
      </c>
      <c r="AZ253" s="15">
        <f t="shared" si="313"/>
        <v>1467</v>
      </c>
      <c r="BA253" s="15">
        <f t="shared" si="314"/>
        <v>1530</v>
      </c>
      <c r="BB253" s="3">
        <f t="shared" si="367"/>
        <v>1467</v>
      </c>
      <c r="BC253" s="138">
        <f>VLOOKUP($B253,'2022 counts'!$B$6:$AD$304,28,FALSE)</f>
        <v>856</v>
      </c>
      <c r="BD253" s="138">
        <f>VLOOKUP($B253,'2022 counts'!$B$6:$AD$304,29,FALSE)</f>
        <v>909</v>
      </c>
      <c r="BE253" s="11">
        <f t="shared" si="315"/>
        <v>0.62</v>
      </c>
      <c r="BF253" s="2" t="str">
        <f t="shared" si="316"/>
        <v>D</v>
      </c>
      <c r="BG253" s="135">
        <v>0</v>
      </c>
      <c r="BH253" s="135">
        <f>IF($AQ253="","",VLOOKUP($B253, '2022 counts'!$B$6:$T$304,19,FALSE))</f>
        <v>0</v>
      </c>
      <c r="BI253" s="38">
        <f t="shared" si="317"/>
        <v>0.01</v>
      </c>
      <c r="BJ253" s="39" t="str">
        <f t="shared" si="318"/>
        <v>minimum</v>
      </c>
      <c r="BK253" s="15">
        <f>VLOOKUP($U253,'2020_CapacityTable'!$B$49:$F$71,2)</f>
        <v>0</v>
      </c>
      <c r="BL253" s="15">
        <f>VLOOKUP($U253,'2020_CapacityTable'!$B$49:$F$71,3)</f>
        <v>14500</v>
      </c>
      <c r="BM253" s="15">
        <f>VLOOKUP($T253,'2020_CapacityTable'!$B$49:$F$71,4)</f>
        <v>32400</v>
      </c>
      <c r="BN253" s="15">
        <f>VLOOKUP($T253,'2020_CapacityTable'!$B$49:$F$71,5)</f>
        <v>33800</v>
      </c>
      <c r="BO253" s="15">
        <f t="shared" si="422"/>
        <v>0</v>
      </c>
      <c r="BP253" s="15">
        <f t="shared" si="375"/>
        <v>13050</v>
      </c>
      <c r="BQ253" s="15">
        <f t="shared" si="376"/>
        <v>29160</v>
      </c>
      <c r="BR253" s="15">
        <f t="shared" si="377"/>
        <v>30420</v>
      </c>
      <c r="BS253" s="3">
        <f t="shared" si="368"/>
        <v>29160</v>
      </c>
      <c r="BT253" s="40">
        <f>'State of the System - Sumter Co'!AD253</f>
        <v>18041</v>
      </c>
      <c r="BU253" s="41">
        <f t="shared" si="423"/>
        <v>0.62</v>
      </c>
      <c r="BV253" s="2" t="str">
        <f t="shared" si="424"/>
        <v>D</v>
      </c>
      <c r="BW253" s="2">
        <f t="shared" si="325"/>
        <v>3.85</v>
      </c>
      <c r="BX253" s="15">
        <f>VLOOKUP($U253,'2020_CapacityTable'!$B$23:$F$45,2)</f>
        <v>0</v>
      </c>
      <c r="BY253" s="15">
        <f>VLOOKUP($U253,'2020_CapacityTable'!$B$23:$F$45,3)</f>
        <v>730</v>
      </c>
      <c r="BZ253" s="15">
        <f>VLOOKUP($U253,'2020_CapacityTable'!$B$23:$F$45,4)</f>
        <v>1630</v>
      </c>
      <c r="CA253" s="15">
        <f>VLOOKUP($U253,'2020_CapacityTable'!$B$23:$F$45,5)</f>
        <v>1700</v>
      </c>
      <c r="CB253" s="15">
        <f t="shared" si="425"/>
        <v>0</v>
      </c>
      <c r="CC253" s="15">
        <f t="shared" si="426"/>
        <v>657</v>
      </c>
      <c r="CD253" s="15">
        <f t="shared" si="427"/>
        <v>1467</v>
      </c>
      <c r="CE253" s="15">
        <f t="shared" si="428"/>
        <v>1530</v>
      </c>
      <c r="CF253" s="3">
        <f t="shared" si="369"/>
        <v>1467</v>
      </c>
      <c r="CG253" s="2">
        <f>'State of the System - Sumter Co'!AH253</f>
        <v>900</v>
      </c>
      <c r="CH253" s="2">
        <f>'State of the System - Sumter Co'!AI253</f>
        <v>955</v>
      </c>
      <c r="CI253" s="11">
        <f t="shared" si="330"/>
        <v>0.65</v>
      </c>
      <c r="CJ253" s="2" t="str">
        <f t="shared" si="370"/>
        <v>D</v>
      </c>
      <c r="CK253" s="3">
        <f t="shared" si="331"/>
        <v>32854</v>
      </c>
      <c r="CL253" s="11">
        <f t="shared" si="332"/>
        <v>0.55000000000000004</v>
      </c>
      <c r="CM253" s="11" t="str">
        <f t="shared" si="333"/>
        <v>NOT CONGESTED</v>
      </c>
      <c r="CN253" s="3">
        <f t="shared" si="334"/>
        <v>1652</v>
      </c>
      <c r="CO253" s="11">
        <f t="shared" si="335"/>
        <v>0.57999999999999996</v>
      </c>
      <c r="CP253" s="156" t="str">
        <f t="shared" si="371"/>
        <v>NOT CONGESTED</v>
      </c>
      <c r="CQ253" s="3"/>
      <c r="CR253" s="3"/>
      <c r="CS253" s="11" t="str">
        <f t="shared" si="337"/>
        <v/>
      </c>
      <c r="CT253" s="11" t="str">
        <f t="shared" si="372"/>
        <v/>
      </c>
      <c r="CU253" s="11" t="str">
        <f t="shared" si="338"/>
        <v/>
      </c>
      <c r="CV253" s="11" t="str">
        <f t="shared" si="339"/>
        <v/>
      </c>
      <c r="CW253" s="2"/>
      <c r="CX253" s="1"/>
      <c r="CY253" s="145" t="str">
        <f t="shared" si="340"/>
        <v/>
      </c>
      <c r="CZ253" s="32" t="str">
        <f t="shared" si="341"/>
        <v/>
      </c>
    </row>
    <row r="254" spans="1:104">
      <c r="A254" s="1">
        <v>60000056</v>
      </c>
      <c r="B254" s="1">
        <f t="shared" si="342"/>
        <v>165</v>
      </c>
      <c r="C254" s="1">
        <v>295</v>
      </c>
      <c r="D254" s="1">
        <f>VLOOKUP(C254,'2022 counts'!$A$6:$B$304,2,FALSE)</f>
        <v>165</v>
      </c>
      <c r="E254" s="1"/>
      <c r="F254" s="2" t="s">
        <v>6</v>
      </c>
      <c r="G254" s="156">
        <v>35</v>
      </c>
      <c r="H254" s="11">
        <v>0.93108226036599995</v>
      </c>
      <c r="I254" s="10" t="s">
        <v>18</v>
      </c>
      <c r="J254" s="10" t="s">
        <v>29</v>
      </c>
      <c r="K254" s="10" t="s">
        <v>705</v>
      </c>
      <c r="L254" s="157">
        <v>4</v>
      </c>
      <c r="M254" s="1">
        <f>'State of the System - Sumter Co'!K254</f>
        <v>4</v>
      </c>
      <c r="N254" s="1" t="str">
        <f>IF('State of the System - Sumter Co'!L254="URBAN","U","R")</f>
        <v>U</v>
      </c>
      <c r="O254" s="1" t="str">
        <f>IF('State of the System - Sumter Co'!M254="UNDIVIDED","U",IF('State of the System - Sumter Co'!M254="DIVIDED","D","F"))</f>
        <v>D</v>
      </c>
      <c r="P254" s="1" t="str">
        <f>'State of the System - Sumter Co'!N254</f>
        <v>INTERRUPTED</v>
      </c>
      <c r="Q254" s="1" t="str">
        <f t="shared" si="300"/>
        <v/>
      </c>
      <c r="R254" s="1" t="str">
        <f>'State of the System - Sumter Co'!O254</f>
        <v/>
      </c>
      <c r="S254" s="1" t="str">
        <f t="shared" si="429"/>
        <v>-2</v>
      </c>
      <c r="T254" s="1" t="str">
        <f t="shared" si="301"/>
        <v>U-4D-2</v>
      </c>
      <c r="U254" s="1" t="str">
        <f t="shared" si="421"/>
        <v>U-4D-2</v>
      </c>
      <c r="V254" s="1" t="s">
        <v>10</v>
      </c>
      <c r="W254" s="1" t="s">
        <v>11</v>
      </c>
      <c r="X254" s="1" t="s">
        <v>12</v>
      </c>
      <c r="Y254" s="1" t="str">
        <f>'State of the System - Sumter Co'!R254</f>
        <v>D</v>
      </c>
      <c r="Z254" s="157" t="str">
        <f t="shared" si="302"/>
        <v>Other CMP Network Roadways</v>
      </c>
      <c r="AA254" s="15">
        <f>VLOOKUP($T254,'2020_CapacityTable'!$B$49:$F$71,2)</f>
        <v>0</v>
      </c>
      <c r="AB254" s="15">
        <f>VLOOKUP($T254,'2020_CapacityTable'!$B$49:$F$71,3)</f>
        <v>14500</v>
      </c>
      <c r="AC254" s="15">
        <f>VLOOKUP($T254,'2020_CapacityTable'!$B$49:$F$71,4)</f>
        <v>32400</v>
      </c>
      <c r="AD254" s="15">
        <f>VLOOKUP($T254,'2020_CapacityTable'!$B$49:$F$71,5)</f>
        <v>33800</v>
      </c>
      <c r="AE254" s="35">
        <f t="shared" si="419"/>
        <v>-0.1</v>
      </c>
      <c r="AF254" s="36" t="str">
        <f t="shared" si="303"/>
        <v/>
      </c>
      <c r="AG254" s="35" t="str">
        <f t="shared" si="420"/>
        <v/>
      </c>
      <c r="AH254" s="35" t="str">
        <f>IF(O254="U",IF(#REF!&gt;2,"LOOK",""),"")</f>
        <v/>
      </c>
      <c r="AI254" s="35"/>
      <c r="AJ254" s="36"/>
      <c r="AK254" s="15">
        <f t="shared" si="304"/>
        <v>0</v>
      </c>
      <c r="AL254" s="15">
        <f t="shared" si="305"/>
        <v>13050</v>
      </c>
      <c r="AM254" s="15">
        <f t="shared" si="306"/>
        <v>29160</v>
      </c>
      <c r="AN254" s="15">
        <f t="shared" si="307"/>
        <v>30420</v>
      </c>
      <c r="AO254" s="3">
        <f t="shared" si="366"/>
        <v>29160</v>
      </c>
      <c r="AP254" s="138">
        <f>VLOOKUP($B254,'2022 counts'!$B$6:$R$304,17,FALSE)</f>
        <v>20459</v>
      </c>
      <c r="AQ254" s="11">
        <f t="shared" si="308"/>
        <v>0.7</v>
      </c>
      <c r="AR254" s="2" t="str">
        <f t="shared" si="309"/>
        <v>D</v>
      </c>
      <c r="AS254" s="26">
        <f t="shared" si="310"/>
        <v>6.95</v>
      </c>
      <c r="AT254" s="15">
        <f>VLOOKUP($T254,'2020_CapacityTable'!$B$23:$F$45,2)</f>
        <v>0</v>
      </c>
      <c r="AU254" s="15">
        <f>VLOOKUP($T254,'2020_CapacityTable'!$B$23:$F$45,3)</f>
        <v>730</v>
      </c>
      <c r="AV254" s="15">
        <f>VLOOKUP($T254,'2020_CapacityTable'!$B$23:$F$45,4)</f>
        <v>1630</v>
      </c>
      <c r="AW254" s="15">
        <f>VLOOKUP($T254,'2020_CapacityTable'!$B$23:$F$45,5)</f>
        <v>1700</v>
      </c>
      <c r="AX254" s="15">
        <f t="shared" si="311"/>
        <v>0</v>
      </c>
      <c r="AY254" s="15">
        <f t="shared" si="312"/>
        <v>657</v>
      </c>
      <c r="AZ254" s="15">
        <f t="shared" si="313"/>
        <v>1467</v>
      </c>
      <c r="BA254" s="15">
        <f t="shared" si="314"/>
        <v>1530</v>
      </c>
      <c r="BB254" s="3">
        <f t="shared" si="367"/>
        <v>1467</v>
      </c>
      <c r="BC254" s="138">
        <f>VLOOKUP($B254,'2022 counts'!$B$6:$AD$304,28,FALSE)</f>
        <v>988</v>
      </c>
      <c r="BD254" s="138">
        <f>VLOOKUP($B254,'2022 counts'!$B$6:$AD$304,29,FALSE)</f>
        <v>998</v>
      </c>
      <c r="BE254" s="11">
        <f t="shared" si="315"/>
        <v>0.68</v>
      </c>
      <c r="BF254" s="2" t="str">
        <f t="shared" si="316"/>
        <v>D</v>
      </c>
      <c r="BG254" s="135">
        <v>0</v>
      </c>
      <c r="BH254" s="135">
        <f>IF($AQ254="","",VLOOKUP($B254, '2022 counts'!$B$6:$T$304,19,FALSE))</f>
        <v>0</v>
      </c>
      <c r="BI254" s="38">
        <f t="shared" si="317"/>
        <v>0.01</v>
      </c>
      <c r="BJ254" s="39" t="str">
        <f t="shared" si="318"/>
        <v>minimum</v>
      </c>
      <c r="BK254" s="15">
        <f>VLOOKUP($U254,'2020_CapacityTable'!$B$49:$F$71,2)</f>
        <v>0</v>
      </c>
      <c r="BL254" s="15">
        <f>VLOOKUP($U254,'2020_CapacityTable'!$B$49:$F$71,3)</f>
        <v>14500</v>
      </c>
      <c r="BM254" s="15">
        <f>VLOOKUP($T254,'2020_CapacityTable'!$B$49:$F$71,4)</f>
        <v>32400</v>
      </c>
      <c r="BN254" s="15">
        <f>VLOOKUP($T254,'2020_CapacityTable'!$B$49:$F$71,5)</f>
        <v>33800</v>
      </c>
      <c r="BO254" s="15">
        <f t="shared" si="422"/>
        <v>0</v>
      </c>
      <c r="BP254" s="15">
        <f t="shared" si="375"/>
        <v>13050</v>
      </c>
      <c r="BQ254" s="15">
        <f t="shared" si="376"/>
        <v>29160</v>
      </c>
      <c r="BR254" s="15">
        <f t="shared" si="377"/>
        <v>30420</v>
      </c>
      <c r="BS254" s="3">
        <f t="shared" si="368"/>
        <v>29160</v>
      </c>
      <c r="BT254" s="40">
        <f>'State of the System - Sumter Co'!AD254</f>
        <v>21503</v>
      </c>
      <c r="BU254" s="41">
        <f t="shared" si="423"/>
        <v>0.74</v>
      </c>
      <c r="BV254" s="2" t="str">
        <f t="shared" si="424"/>
        <v>D</v>
      </c>
      <c r="BW254" s="2">
        <f t="shared" si="325"/>
        <v>7.31</v>
      </c>
      <c r="BX254" s="15">
        <f>VLOOKUP($U254,'2020_CapacityTable'!$B$23:$F$45,2)</f>
        <v>0</v>
      </c>
      <c r="BY254" s="15">
        <f>VLOOKUP($U254,'2020_CapacityTable'!$B$23:$F$45,3)</f>
        <v>730</v>
      </c>
      <c r="BZ254" s="15">
        <f>VLOOKUP($U254,'2020_CapacityTable'!$B$23:$F$45,4)</f>
        <v>1630</v>
      </c>
      <c r="CA254" s="15">
        <f>VLOOKUP($U254,'2020_CapacityTable'!$B$23:$F$45,5)</f>
        <v>1700</v>
      </c>
      <c r="CB254" s="15">
        <f t="shared" si="425"/>
        <v>0</v>
      </c>
      <c r="CC254" s="15">
        <f t="shared" si="426"/>
        <v>657</v>
      </c>
      <c r="CD254" s="15">
        <f t="shared" si="427"/>
        <v>1467</v>
      </c>
      <c r="CE254" s="15">
        <f t="shared" si="428"/>
        <v>1530</v>
      </c>
      <c r="CF254" s="3">
        <f t="shared" si="369"/>
        <v>1467</v>
      </c>
      <c r="CG254" s="2">
        <f>'State of the System - Sumter Co'!AH254</f>
        <v>1038</v>
      </c>
      <c r="CH254" s="2">
        <f>'State of the System - Sumter Co'!AI254</f>
        <v>1049</v>
      </c>
      <c r="CI254" s="11">
        <f t="shared" si="330"/>
        <v>0.72</v>
      </c>
      <c r="CJ254" s="2" t="str">
        <f t="shared" si="370"/>
        <v>D</v>
      </c>
      <c r="CK254" s="3">
        <f t="shared" si="331"/>
        <v>32854</v>
      </c>
      <c r="CL254" s="11">
        <f t="shared" si="332"/>
        <v>0.65</v>
      </c>
      <c r="CM254" s="11" t="str">
        <f t="shared" si="333"/>
        <v>NOT CONGESTED</v>
      </c>
      <c r="CN254" s="3">
        <f t="shared" si="334"/>
        <v>1652</v>
      </c>
      <c r="CO254" s="11">
        <f t="shared" si="335"/>
        <v>0.63</v>
      </c>
      <c r="CP254" s="156" t="str">
        <f t="shared" si="371"/>
        <v>NOT CONGESTED</v>
      </c>
      <c r="CQ254" s="3"/>
      <c r="CR254" s="3"/>
      <c r="CS254" s="11" t="str">
        <f t="shared" si="337"/>
        <v/>
      </c>
      <c r="CT254" s="11" t="str">
        <f t="shared" si="372"/>
        <v/>
      </c>
      <c r="CU254" s="11" t="str">
        <f t="shared" si="338"/>
        <v/>
      </c>
      <c r="CV254" s="11" t="str">
        <f t="shared" si="339"/>
        <v/>
      </c>
      <c r="CW254" s="2"/>
      <c r="CX254" s="1"/>
      <c r="CY254" s="145" t="str">
        <f t="shared" si="340"/>
        <v/>
      </c>
      <c r="CZ254" s="32" t="str">
        <f t="shared" si="341"/>
        <v/>
      </c>
    </row>
    <row r="255" spans="1:104">
      <c r="A255" s="1">
        <v>60000201</v>
      </c>
      <c r="B255" s="1"/>
      <c r="C255" s="1">
        <v>219</v>
      </c>
      <c r="D255" s="1" t="e">
        <f>VLOOKUP(C255,'2022 counts'!$A$6:$B$304,2,FALSE)</f>
        <v>#N/A</v>
      </c>
      <c r="E255" s="1"/>
      <c r="F255" s="2" t="s">
        <v>588</v>
      </c>
      <c r="G255" s="156">
        <v>30</v>
      </c>
      <c r="H255" s="11">
        <v>0.12</v>
      </c>
      <c r="I255" s="10" t="s">
        <v>124</v>
      </c>
      <c r="J255" s="10" t="s">
        <v>125</v>
      </c>
      <c r="K255" s="10" t="s">
        <v>22</v>
      </c>
      <c r="L255" s="157">
        <v>2</v>
      </c>
      <c r="M255" s="1">
        <f>'State of the System - Sumter Co'!K255</f>
        <v>2</v>
      </c>
      <c r="N255" s="1" t="str">
        <f>IF('State of the System - Sumter Co'!L255="URBAN","U","R")</f>
        <v>U</v>
      </c>
      <c r="O255" s="1" t="str">
        <f>IF('State of the System - Sumter Co'!M255="UNDIVIDED","U",IF('State of the System - Sumter Co'!M255="DIVIDED","D","F"))</f>
        <v>U</v>
      </c>
      <c r="P255" s="1" t="str">
        <f>'State of the System - Sumter Co'!N255</f>
        <v>INTERRUPTED</v>
      </c>
      <c r="Q255" s="1" t="str">
        <f t="shared" si="300"/>
        <v/>
      </c>
      <c r="R255" s="1" t="str">
        <f>'State of the System - Sumter Co'!O255</f>
        <v/>
      </c>
      <c r="S255" s="1" t="str">
        <f t="shared" si="429"/>
        <v>-2</v>
      </c>
      <c r="T255" s="1" t="str">
        <f t="shared" si="301"/>
        <v>U-2U-2</v>
      </c>
      <c r="U255" s="1" t="str">
        <f t="shared" si="421"/>
        <v>U-2U-2</v>
      </c>
      <c r="V255" s="1" t="s">
        <v>10</v>
      </c>
      <c r="W255" s="1" t="s">
        <v>11</v>
      </c>
      <c r="X255" s="1" t="s">
        <v>21</v>
      </c>
      <c r="Y255" s="1" t="str">
        <f>'State of the System - Sumter Co'!R255</f>
        <v>D</v>
      </c>
      <c r="Z255" s="157" t="str">
        <f t="shared" si="302"/>
        <v>Other CMP Network Roadways</v>
      </c>
      <c r="AA255" s="15">
        <f>VLOOKUP($T255,'2020_CapacityTable'!$B$49:$F$71,2)</f>
        <v>0</v>
      </c>
      <c r="AB255" s="15">
        <f>VLOOKUP($T255,'2020_CapacityTable'!$B$49:$F$71,3)</f>
        <v>7300</v>
      </c>
      <c r="AC255" s="15">
        <f>VLOOKUP($T255,'2020_CapacityTable'!$B$49:$F$71,4)</f>
        <v>14800</v>
      </c>
      <c r="AD255" s="15">
        <f>VLOOKUP($T255,'2020_CapacityTable'!$B$49:$F$71,5)</f>
        <v>15600</v>
      </c>
      <c r="AE255" s="35">
        <f t="shared" si="419"/>
        <v>-0.1</v>
      </c>
      <c r="AF255" s="36" t="str">
        <f t="shared" si="303"/>
        <v/>
      </c>
      <c r="AG255" s="35"/>
      <c r="AH255" s="35" t="str">
        <f>IF(O255="U",IF(L255&gt;2,"LOOK",""),"")</f>
        <v/>
      </c>
      <c r="AI255" s="35"/>
      <c r="AJ255" s="36"/>
      <c r="AK255" s="15">
        <f t="shared" si="304"/>
        <v>0</v>
      </c>
      <c r="AL255" s="15">
        <f t="shared" si="305"/>
        <v>6570</v>
      </c>
      <c r="AM255" s="15">
        <f t="shared" si="306"/>
        <v>13320</v>
      </c>
      <c r="AN255" s="15">
        <f t="shared" si="307"/>
        <v>14040</v>
      </c>
      <c r="AO255" s="3">
        <f t="shared" si="366"/>
        <v>13320</v>
      </c>
      <c r="AP255" s="138" t="s">
        <v>243</v>
      </c>
      <c r="AQ255" s="11"/>
      <c r="AR255" s="2"/>
      <c r="AS255" s="26"/>
      <c r="AT255" s="15">
        <f>VLOOKUP($T255,'2020_CapacityTable'!$B$23:$F$45,2)</f>
        <v>0</v>
      </c>
      <c r="AU255" s="15">
        <f>VLOOKUP($T255,'2020_CapacityTable'!$B$23:$F$45,3)</f>
        <v>370</v>
      </c>
      <c r="AV255" s="15">
        <f>VLOOKUP($T255,'2020_CapacityTable'!$B$23:$F$45,4)</f>
        <v>750</v>
      </c>
      <c r="AW255" s="15">
        <f>VLOOKUP($T255,'2020_CapacityTable'!$B$23:$F$45,5)</f>
        <v>800</v>
      </c>
      <c r="AX255" s="15">
        <f t="shared" si="311"/>
        <v>0</v>
      </c>
      <c r="AY255" s="15">
        <f t="shared" si="312"/>
        <v>333</v>
      </c>
      <c r="AZ255" s="15">
        <f t="shared" si="313"/>
        <v>675</v>
      </c>
      <c r="BA255" s="15">
        <f t="shared" si="314"/>
        <v>720</v>
      </c>
      <c r="BB255" s="3">
        <f t="shared" si="367"/>
        <v>675</v>
      </c>
      <c r="BC255" s="138" t="s">
        <v>243</v>
      </c>
      <c r="BD255" s="138" t="s">
        <v>243</v>
      </c>
      <c r="BE255" s="11"/>
      <c r="BF255" s="2"/>
      <c r="BG255" s="135" t="s">
        <v>547</v>
      </c>
      <c r="BH255" s="135" t="str">
        <f>IF($AQ255="","",VLOOKUP($B255, '2022 counts'!$B$6:$T$304,19,FALSE))</f>
        <v/>
      </c>
      <c r="BI255" s="38" t="str">
        <f t="shared" si="317"/>
        <v/>
      </c>
      <c r="BJ255" s="39" t="str">
        <f t="shared" si="318"/>
        <v/>
      </c>
      <c r="BK255" s="15">
        <f>VLOOKUP($U255,'2020_CapacityTable'!$B$49:$F$71,2)</f>
        <v>0</v>
      </c>
      <c r="BL255" s="15">
        <f>VLOOKUP($U255,'2020_CapacityTable'!$B$49:$F$71,3)</f>
        <v>7300</v>
      </c>
      <c r="BM255" s="15">
        <f>VLOOKUP($T255,'2020_CapacityTable'!$B$49:$F$71,4)</f>
        <v>14800</v>
      </c>
      <c r="BN255" s="15">
        <f>VLOOKUP($T255,'2020_CapacityTable'!$B$49:$F$71,5)</f>
        <v>15600</v>
      </c>
      <c r="BO255" s="15">
        <f t="shared" si="422"/>
        <v>0</v>
      </c>
      <c r="BP255" s="15">
        <f t="shared" si="375"/>
        <v>6570</v>
      </c>
      <c r="BQ255" s="15">
        <f t="shared" si="376"/>
        <v>13320</v>
      </c>
      <c r="BR255" s="15">
        <f t="shared" si="377"/>
        <v>14040</v>
      </c>
      <c r="BS255" s="3">
        <f t="shared" si="368"/>
        <v>13320</v>
      </c>
      <c r="BT255" s="40" t="str">
        <f>'State of the System - Sumter Co'!AD255</f>
        <v>-</v>
      </c>
      <c r="BU255" s="41" t="str">
        <f t="shared" si="423"/>
        <v/>
      </c>
      <c r="BV255" s="2" t="str">
        <f t="shared" si="424"/>
        <v/>
      </c>
      <c r="BW255" s="2" t="str">
        <f t="shared" si="325"/>
        <v/>
      </c>
      <c r="BX255" s="15">
        <f>VLOOKUP($U255,'2020_CapacityTable'!$B$23:$F$45,2)</f>
        <v>0</v>
      </c>
      <c r="BY255" s="15">
        <f>VLOOKUP($U255,'2020_CapacityTable'!$B$23:$F$45,3)</f>
        <v>370</v>
      </c>
      <c r="BZ255" s="15">
        <f>VLOOKUP($U255,'2020_CapacityTable'!$B$23:$F$45,4)</f>
        <v>750</v>
      </c>
      <c r="CA255" s="15">
        <f>VLOOKUP($U255,'2020_CapacityTable'!$B$23:$F$45,5)</f>
        <v>800</v>
      </c>
      <c r="CB255" s="15">
        <f t="shared" si="425"/>
        <v>0</v>
      </c>
      <c r="CC255" s="15">
        <f t="shared" si="426"/>
        <v>333</v>
      </c>
      <c r="CD255" s="15">
        <f t="shared" si="427"/>
        <v>675</v>
      </c>
      <c r="CE255" s="15">
        <f t="shared" si="428"/>
        <v>720</v>
      </c>
      <c r="CF255" s="3">
        <f t="shared" si="369"/>
        <v>675</v>
      </c>
      <c r="CG255" s="2"/>
      <c r="CH255" s="2"/>
      <c r="CI255" s="11" t="str">
        <f>IF(AND(CG255="",CH255=""),"",ROUND(MAX(CG255,CH255)/CF255,2))</f>
        <v/>
      </c>
      <c r="CJ255" s="2" t="str">
        <f t="shared" si="370"/>
        <v/>
      </c>
      <c r="CK255" s="3">
        <f t="shared" si="331"/>
        <v>15163</v>
      </c>
      <c r="CL255" s="11" t="str">
        <f t="shared" si="332"/>
        <v/>
      </c>
      <c r="CM255" s="11" t="str">
        <f t="shared" si="333"/>
        <v/>
      </c>
      <c r="CN255" s="3">
        <f t="shared" si="334"/>
        <v>778</v>
      </c>
      <c r="CO255" s="11" t="str">
        <f t="shared" si="335"/>
        <v/>
      </c>
      <c r="CP255" s="156" t="str">
        <f t="shared" si="371"/>
        <v/>
      </c>
      <c r="CQ255" s="2"/>
      <c r="CR255" s="42"/>
      <c r="CS255" s="11" t="str">
        <f t="shared" si="337"/>
        <v/>
      </c>
      <c r="CT255" s="11" t="str">
        <f t="shared" si="372"/>
        <v/>
      </c>
      <c r="CU255" s="11" t="str">
        <f t="shared" si="338"/>
        <v/>
      </c>
      <c r="CV255" s="11" t="str">
        <f t="shared" si="339"/>
        <v/>
      </c>
      <c r="CW255" s="2"/>
      <c r="CX255" s="1"/>
      <c r="CY255" s="145" t="str">
        <f t="shared" si="340"/>
        <v/>
      </c>
      <c r="CZ255" s="32" t="str">
        <f t="shared" si="341"/>
        <v/>
      </c>
    </row>
    <row r="256" spans="1:104">
      <c r="A256" s="1">
        <v>60000801</v>
      </c>
      <c r="B256" s="1">
        <f>E256</f>
        <v>188037</v>
      </c>
      <c r="C256" s="1">
        <v>192</v>
      </c>
      <c r="D256" s="1" t="e">
        <f>VLOOKUP(C256,'2022 counts'!$A$6:$B$304,2,FALSE)</f>
        <v>#N/A</v>
      </c>
      <c r="E256" s="1">
        <v>188037</v>
      </c>
      <c r="F256" s="2" t="s">
        <v>136</v>
      </c>
      <c r="G256" s="156">
        <v>25</v>
      </c>
      <c r="H256" s="37">
        <v>1.1200000000000001</v>
      </c>
      <c r="I256" s="10" t="s">
        <v>17</v>
      </c>
      <c r="J256" s="10" t="s">
        <v>104</v>
      </c>
      <c r="K256" s="10" t="s">
        <v>105</v>
      </c>
      <c r="L256" s="157">
        <v>2</v>
      </c>
      <c r="M256" s="1">
        <f>'State of the System - Sumter Co'!K256</f>
        <v>2</v>
      </c>
      <c r="N256" s="1" t="str">
        <f>IF('State of the System - Sumter Co'!L256="URBAN","U","R")</f>
        <v>U</v>
      </c>
      <c r="O256" s="1" t="str">
        <f>IF('State of the System - Sumter Co'!M256="UNDIVIDED","U",IF('State of the System - Sumter Co'!M256="DIVIDED","D","F"))</f>
        <v>U</v>
      </c>
      <c r="P256" s="1" t="str">
        <f>'State of the System - Sumter Co'!N256</f>
        <v>INTERRUPTED</v>
      </c>
      <c r="Q256" s="1" t="str">
        <f t="shared" si="300"/>
        <v/>
      </c>
      <c r="R256" s="1" t="str">
        <f>'State of the System - Sumter Co'!O256</f>
        <v/>
      </c>
      <c r="S256" s="1" t="str">
        <f t="shared" si="429"/>
        <v>-2</v>
      </c>
      <c r="T256" s="1" t="str">
        <f t="shared" si="301"/>
        <v>U-2U-2</v>
      </c>
      <c r="U256" s="1" t="str">
        <f t="shared" si="421"/>
        <v>U-2U-2</v>
      </c>
      <c r="V256" s="1" t="s">
        <v>10</v>
      </c>
      <c r="W256" s="1" t="s">
        <v>11</v>
      </c>
      <c r="X256" s="1" t="s">
        <v>21</v>
      </c>
      <c r="Y256" s="1" t="str">
        <f>'State of the System - Sumter Co'!R256</f>
        <v>D</v>
      </c>
      <c r="Z256" s="157" t="str">
        <f t="shared" si="302"/>
        <v>Other CMP Network Roadways</v>
      </c>
      <c r="AA256" s="15">
        <f>VLOOKUP($T256,'2020_CapacityTable'!$B$49:$F$71,2)</f>
        <v>0</v>
      </c>
      <c r="AB256" s="15">
        <f>VLOOKUP($T256,'2020_CapacityTable'!$B$49:$F$71,3)</f>
        <v>7300</v>
      </c>
      <c r="AC256" s="15">
        <f>VLOOKUP($T256,'2020_CapacityTable'!$B$49:$F$71,4)</f>
        <v>14800</v>
      </c>
      <c r="AD256" s="15">
        <f>VLOOKUP($T256,'2020_CapacityTable'!$B$49:$F$71,5)</f>
        <v>15600</v>
      </c>
      <c r="AE256" s="35">
        <f t="shared" si="419"/>
        <v>-0.1</v>
      </c>
      <c r="AF256" s="36" t="str">
        <f t="shared" si="303"/>
        <v/>
      </c>
      <c r="AG256" s="35"/>
      <c r="AH256" s="35" t="str">
        <f>IF(O256="U",IF(L256&gt;2,"LOOK",""),"")</f>
        <v/>
      </c>
      <c r="AI256" s="35"/>
      <c r="AJ256" s="36"/>
      <c r="AK256" s="15">
        <f t="shared" si="304"/>
        <v>0</v>
      </c>
      <c r="AL256" s="15">
        <f t="shared" si="305"/>
        <v>6570</v>
      </c>
      <c r="AM256" s="15">
        <f t="shared" si="306"/>
        <v>13320</v>
      </c>
      <c r="AN256" s="15">
        <f t="shared" si="307"/>
        <v>14040</v>
      </c>
      <c r="AO256" s="3">
        <f t="shared" si="366"/>
        <v>13320</v>
      </c>
      <c r="AP256" s="138">
        <f>VLOOKUP($B256,'2022 counts'!$B$6:$R$304,17,FALSE)</f>
        <v>1120</v>
      </c>
      <c r="AQ256" s="11">
        <f t="shared" ref="AQ256" si="430">IF(AND(AP256="-"),"",ROUND(AP256/AO256,2))</f>
        <v>0.08</v>
      </c>
      <c r="AR256" s="2" t="str">
        <f t="shared" ref="AR256" si="431">IF(AQ256="","",IF(AP256&lt;=$AK256,"B",IF(AP256&lt;=$AL256,"C",IF(AP256&lt;=$AM256,"D",IF(AP256&lt;=$AN256,"E","F")))))</f>
        <v>C</v>
      </c>
      <c r="AS256" s="26">
        <f t="shared" ref="AS256" si="432">IF(AP256="-","",ROUND(AP256*H256*365/1000000,2))</f>
        <v>0.46</v>
      </c>
      <c r="AT256" s="15">
        <f>VLOOKUP($T256,'2020_CapacityTable'!$B$23:$F$45,2)</f>
        <v>0</v>
      </c>
      <c r="AU256" s="15">
        <f>VLOOKUP($T256,'2020_CapacityTable'!$B$23:$F$45,3)</f>
        <v>370</v>
      </c>
      <c r="AV256" s="15">
        <f>VLOOKUP($T256,'2020_CapacityTable'!$B$23:$F$45,4)</f>
        <v>750</v>
      </c>
      <c r="AW256" s="15">
        <f>VLOOKUP($T256,'2020_CapacityTable'!$B$23:$F$45,5)</f>
        <v>800</v>
      </c>
      <c r="AX256" s="15">
        <f t="shared" si="311"/>
        <v>0</v>
      </c>
      <c r="AY256" s="15">
        <f t="shared" si="312"/>
        <v>333</v>
      </c>
      <c r="AZ256" s="15">
        <f t="shared" si="313"/>
        <v>675</v>
      </c>
      <c r="BA256" s="15">
        <f t="shared" si="314"/>
        <v>720</v>
      </c>
      <c r="BB256" s="3">
        <f t="shared" si="367"/>
        <v>675</v>
      </c>
      <c r="BC256" s="138">
        <f>VLOOKUP($B256,'2022 counts'!$B$6:$AD$304,28,FALSE)</f>
        <v>83</v>
      </c>
      <c r="BD256" s="138">
        <f>VLOOKUP($B256,'2022 counts'!$B$6:$AD$304,29,FALSE)</f>
        <v>86</v>
      </c>
      <c r="BE256" s="11">
        <f t="shared" si="315"/>
        <v>0.13</v>
      </c>
      <c r="BF256" s="2" t="str">
        <f t="shared" si="316"/>
        <v>C</v>
      </c>
      <c r="BG256" s="135">
        <v>0</v>
      </c>
      <c r="BH256" s="135">
        <f>IF($AQ256="","",VLOOKUP($B256, '2022 counts'!$B$6:$T$304,19,FALSE))</f>
        <v>0</v>
      </c>
      <c r="BI256" s="38">
        <f t="shared" si="317"/>
        <v>0.01</v>
      </c>
      <c r="BJ256" s="39" t="str">
        <f t="shared" si="318"/>
        <v>minimum</v>
      </c>
      <c r="BK256" s="15">
        <f>VLOOKUP($U256,'2020_CapacityTable'!$B$49:$F$71,2)</f>
        <v>0</v>
      </c>
      <c r="BL256" s="15">
        <f>VLOOKUP($U256,'2020_CapacityTable'!$B$49:$F$71,3)</f>
        <v>7300</v>
      </c>
      <c r="BM256" s="15">
        <f>VLOOKUP($T256,'2020_CapacityTable'!$B$49:$F$71,4)</f>
        <v>14800</v>
      </c>
      <c r="BN256" s="15">
        <f>VLOOKUP($T256,'2020_CapacityTable'!$B$49:$F$71,5)</f>
        <v>15600</v>
      </c>
      <c r="BO256" s="15">
        <f t="shared" si="422"/>
        <v>0</v>
      </c>
      <c r="BP256" s="15">
        <f t="shared" si="375"/>
        <v>6570</v>
      </c>
      <c r="BQ256" s="15">
        <f t="shared" si="376"/>
        <v>13320</v>
      </c>
      <c r="BR256" s="15">
        <f t="shared" si="377"/>
        <v>14040</v>
      </c>
      <c r="BS256" s="3">
        <f t="shared" si="368"/>
        <v>13320</v>
      </c>
      <c r="BT256" s="40">
        <f>'State of the System - Sumter Co'!AD256</f>
        <v>1177</v>
      </c>
      <c r="BU256" s="41">
        <f t="shared" si="423"/>
        <v>0.09</v>
      </c>
      <c r="BV256" s="2" t="str">
        <f t="shared" si="424"/>
        <v>C</v>
      </c>
      <c r="BW256" s="2">
        <f t="shared" si="325"/>
        <v>0.48</v>
      </c>
      <c r="BX256" s="15">
        <f>VLOOKUP($U256,'2020_CapacityTable'!$B$23:$F$45,2)</f>
        <v>0</v>
      </c>
      <c r="BY256" s="15">
        <f>VLOOKUP($U256,'2020_CapacityTable'!$B$23:$F$45,3)</f>
        <v>370</v>
      </c>
      <c r="BZ256" s="15">
        <f>VLOOKUP($U256,'2020_CapacityTable'!$B$23:$F$45,4)</f>
        <v>750</v>
      </c>
      <c r="CA256" s="15">
        <f>VLOOKUP($U256,'2020_CapacityTable'!$B$23:$F$45,5)</f>
        <v>800</v>
      </c>
      <c r="CB256" s="15">
        <f t="shared" si="425"/>
        <v>0</v>
      </c>
      <c r="CC256" s="15">
        <f t="shared" si="426"/>
        <v>333</v>
      </c>
      <c r="CD256" s="15">
        <f t="shared" si="427"/>
        <v>675</v>
      </c>
      <c r="CE256" s="15">
        <f t="shared" si="428"/>
        <v>720</v>
      </c>
      <c r="CF256" s="3">
        <f t="shared" si="369"/>
        <v>675</v>
      </c>
      <c r="CG256" s="2">
        <f>'State of the System - Sumter Co'!AH256</f>
        <v>87</v>
      </c>
      <c r="CH256" s="2">
        <f>'State of the System - Sumter Co'!AI256</f>
        <v>90</v>
      </c>
      <c r="CI256" s="11">
        <f t="shared" si="330"/>
        <v>0.13</v>
      </c>
      <c r="CJ256" s="2" t="str">
        <f t="shared" si="370"/>
        <v>C</v>
      </c>
      <c r="CK256" s="3">
        <f t="shared" si="331"/>
        <v>15163</v>
      </c>
      <c r="CL256" s="11">
        <f t="shared" si="332"/>
        <v>0.08</v>
      </c>
      <c r="CM256" s="11" t="str">
        <f t="shared" si="333"/>
        <v>NOT CONGESTED</v>
      </c>
      <c r="CN256" s="3">
        <f t="shared" si="334"/>
        <v>778</v>
      </c>
      <c r="CO256" s="11">
        <f t="shared" si="335"/>
        <v>0.12</v>
      </c>
      <c r="CP256" s="156" t="str">
        <f t="shared" si="371"/>
        <v>NOT CONGESTED</v>
      </c>
      <c r="CQ256" s="3"/>
      <c r="CR256" s="3"/>
      <c r="CS256" s="11" t="str">
        <f t="shared" si="337"/>
        <v/>
      </c>
      <c r="CT256" s="11" t="str">
        <f t="shared" si="372"/>
        <v/>
      </c>
      <c r="CU256" s="11" t="str">
        <f t="shared" si="338"/>
        <v/>
      </c>
      <c r="CV256" s="11" t="str">
        <f t="shared" si="339"/>
        <v/>
      </c>
      <c r="CW256" s="2"/>
      <c r="CX256" s="1"/>
      <c r="CY256" s="145" t="str">
        <f t="shared" si="340"/>
        <v/>
      </c>
      <c r="CZ256" s="32" t="str">
        <f t="shared" si="341"/>
        <v/>
      </c>
    </row>
    <row r="257" spans="1:104">
      <c r="A257" s="1">
        <v>60001001</v>
      </c>
      <c r="B257" s="1">
        <f t="shared" si="342"/>
        <v>144</v>
      </c>
      <c r="C257" s="1">
        <v>243</v>
      </c>
      <c r="D257" s="1">
        <f>VLOOKUP(C257,'2022 counts'!$A$6:$B$304,2,FALSE)</f>
        <v>144</v>
      </c>
      <c r="E257" s="1"/>
      <c r="F257" s="2" t="s">
        <v>6</v>
      </c>
      <c r="G257" s="156">
        <v>30</v>
      </c>
      <c r="H257" s="11">
        <v>0.383126461069</v>
      </c>
      <c r="I257" s="10" t="s">
        <v>697</v>
      </c>
      <c r="J257" s="10" t="s">
        <v>129</v>
      </c>
      <c r="K257" s="10" t="s">
        <v>773</v>
      </c>
      <c r="L257" s="157">
        <v>2</v>
      </c>
      <c r="M257" s="1">
        <f>'State of the System - Sumter Co'!K257</f>
        <v>2</v>
      </c>
      <c r="N257" s="1" t="str">
        <f>IF('State of the System - Sumter Co'!L257="URBAN","U","R")</f>
        <v>U</v>
      </c>
      <c r="O257" s="1" t="str">
        <f>IF('State of the System - Sumter Co'!M257="UNDIVIDED","U",IF('State of the System - Sumter Co'!M257="DIVIDED","D","F"))</f>
        <v>U</v>
      </c>
      <c r="P257" s="1" t="str">
        <f>'State of the System - Sumter Co'!N257</f>
        <v>INTERRUPTED</v>
      </c>
      <c r="Q257" s="1" t="str">
        <f t="shared" si="300"/>
        <v/>
      </c>
      <c r="R257" s="1" t="str">
        <f>'State of the System - Sumter Co'!O257</f>
        <v/>
      </c>
      <c r="S257" s="1" t="str">
        <f t="shared" si="429"/>
        <v>-2</v>
      </c>
      <c r="T257" s="1" t="str">
        <f t="shared" si="301"/>
        <v>U-2U-2</v>
      </c>
      <c r="U257" s="1" t="str">
        <f t="shared" si="421"/>
        <v>U-2U-2</v>
      </c>
      <c r="V257" s="1" t="s">
        <v>10</v>
      </c>
      <c r="W257" s="1" t="s">
        <v>11</v>
      </c>
      <c r="X257" s="1" t="s">
        <v>12</v>
      </c>
      <c r="Y257" s="1" t="str">
        <f>'State of the System - Sumter Co'!R257</f>
        <v>D</v>
      </c>
      <c r="Z257" s="157" t="str">
        <f t="shared" si="302"/>
        <v>Other CMP Network Roadways</v>
      </c>
      <c r="AA257" s="15">
        <f>VLOOKUP($T257,'2020_CapacityTable'!$B$49:$F$71,2)</f>
        <v>0</v>
      </c>
      <c r="AB257" s="15">
        <f>VLOOKUP($T257,'2020_CapacityTable'!$B$49:$F$71,3)</f>
        <v>7300</v>
      </c>
      <c r="AC257" s="15">
        <f>VLOOKUP($T257,'2020_CapacityTable'!$B$49:$F$71,4)</f>
        <v>14800</v>
      </c>
      <c r="AD257" s="15">
        <f>VLOOKUP($T257,'2020_CapacityTable'!$B$49:$F$71,5)</f>
        <v>15600</v>
      </c>
      <c r="AE257" s="35">
        <f t="shared" si="419"/>
        <v>-0.1</v>
      </c>
      <c r="AF257" s="36" t="str">
        <f t="shared" si="303"/>
        <v/>
      </c>
      <c r="AG257" s="35"/>
      <c r="AH257" s="35" t="str">
        <f>IF(O257="U",IF(L257&gt;2,"LOOK",""),"")</f>
        <v/>
      </c>
      <c r="AI257" s="35"/>
      <c r="AJ257" s="36"/>
      <c r="AK257" s="15">
        <f t="shared" si="304"/>
        <v>0</v>
      </c>
      <c r="AL257" s="15">
        <f t="shared" si="305"/>
        <v>6570</v>
      </c>
      <c r="AM257" s="15">
        <f t="shared" si="306"/>
        <v>13320</v>
      </c>
      <c r="AN257" s="15">
        <f t="shared" si="307"/>
        <v>14040</v>
      </c>
      <c r="AO257" s="3">
        <f t="shared" si="366"/>
        <v>13320</v>
      </c>
      <c r="AP257" s="138">
        <f>VLOOKUP($B257,'2022 counts'!$B$6:$R$304,17,FALSE)</f>
        <v>6792</v>
      </c>
      <c r="AQ257" s="11">
        <f t="shared" si="308"/>
        <v>0.51</v>
      </c>
      <c r="AR257" s="2" t="str">
        <f t="shared" si="309"/>
        <v>D</v>
      </c>
      <c r="AS257" s="26">
        <f t="shared" si="310"/>
        <v>0.95</v>
      </c>
      <c r="AT257" s="15">
        <f>VLOOKUP($T257,'2020_CapacityTable'!$B$23:$F$45,2)</f>
        <v>0</v>
      </c>
      <c r="AU257" s="15">
        <f>VLOOKUP($T257,'2020_CapacityTable'!$B$23:$F$45,3)</f>
        <v>370</v>
      </c>
      <c r="AV257" s="15">
        <f>VLOOKUP($T257,'2020_CapacityTable'!$B$23:$F$45,4)</f>
        <v>750</v>
      </c>
      <c r="AW257" s="15">
        <f>VLOOKUP($T257,'2020_CapacityTable'!$B$23:$F$45,5)</f>
        <v>800</v>
      </c>
      <c r="AX257" s="15">
        <f t="shared" si="311"/>
        <v>0</v>
      </c>
      <c r="AY257" s="15">
        <f t="shared" si="312"/>
        <v>333</v>
      </c>
      <c r="AZ257" s="15">
        <f t="shared" si="313"/>
        <v>675</v>
      </c>
      <c r="BA257" s="15">
        <f t="shared" si="314"/>
        <v>720</v>
      </c>
      <c r="BB257" s="3">
        <f t="shared" si="367"/>
        <v>675</v>
      </c>
      <c r="BC257" s="138">
        <f>VLOOKUP($B257,'2022 counts'!$B$6:$AD$304,28,FALSE)</f>
        <v>346</v>
      </c>
      <c r="BD257" s="138">
        <f>VLOOKUP($B257,'2022 counts'!$B$6:$AD$304,29,FALSE)</f>
        <v>366</v>
      </c>
      <c r="BE257" s="11">
        <f t="shared" si="315"/>
        <v>0.54</v>
      </c>
      <c r="BF257" s="2" t="str">
        <f t="shared" si="316"/>
        <v>D</v>
      </c>
      <c r="BG257" s="135">
        <v>0</v>
      </c>
      <c r="BH257" s="135">
        <f>IF($AQ257="","",VLOOKUP($B257, '2022 counts'!$B$6:$T$304,19,FALSE))</f>
        <v>0</v>
      </c>
      <c r="BI257" s="38">
        <f t="shared" si="317"/>
        <v>0.01</v>
      </c>
      <c r="BJ257" s="39" t="str">
        <f t="shared" si="318"/>
        <v>minimum</v>
      </c>
      <c r="BK257" s="15">
        <f>VLOOKUP($U257,'2020_CapacityTable'!$B$49:$F$71,2)</f>
        <v>0</v>
      </c>
      <c r="BL257" s="15">
        <f>VLOOKUP($U257,'2020_CapacityTable'!$B$49:$F$71,3)</f>
        <v>7300</v>
      </c>
      <c r="BM257" s="15">
        <f>VLOOKUP($T257,'2020_CapacityTable'!$B$49:$F$71,4)</f>
        <v>14800</v>
      </c>
      <c r="BN257" s="15">
        <f>VLOOKUP($T257,'2020_CapacityTable'!$B$49:$F$71,5)</f>
        <v>15600</v>
      </c>
      <c r="BO257" s="15">
        <f t="shared" si="422"/>
        <v>0</v>
      </c>
      <c r="BP257" s="15">
        <f t="shared" si="375"/>
        <v>6570</v>
      </c>
      <c r="BQ257" s="15">
        <f t="shared" si="376"/>
        <v>13320</v>
      </c>
      <c r="BR257" s="15">
        <f t="shared" si="377"/>
        <v>14040</v>
      </c>
      <c r="BS257" s="3">
        <f t="shared" si="368"/>
        <v>13320</v>
      </c>
      <c r="BT257" s="40">
        <f>'State of the System - Sumter Co'!AD257</f>
        <v>7138</v>
      </c>
      <c r="BU257" s="41">
        <f t="shared" si="423"/>
        <v>0.54</v>
      </c>
      <c r="BV257" s="2" t="str">
        <f t="shared" si="424"/>
        <v>D</v>
      </c>
      <c r="BW257" s="2">
        <f t="shared" si="325"/>
        <v>1</v>
      </c>
      <c r="BX257" s="15">
        <f>VLOOKUP($U257,'2020_CapacityTable'!$B$23:$F$45,2)</f>
        <v>0</v>
      </c>
      <c r="BY257" s="15">
        <f>VLOOKUP($U257,'2020_CapacityTable'!$B$23:$F$45,3)</f>
        <v>370</v>
      </c>
      <c r="BZ257" s="15">
        <f>VLOOKUP($U257,'2020_CapacityTable'!$B$23:$F$45,4)</f>
        <v>750</v>
      </c>
      <c r="CA257" s="15">
        <f>VLOOKUP($U257,'2020_CapacityTable'!$B$23:$F$45,5)</f>
        <v>800</v>
      </c>
      <c r="CB257" s="15">
        <f t="shared" si="425"/>
        <v>0</v>
      </c>
      <c r="CC257" s="15">
        <f t="shared" si="426"/>
        <v>333</v>
      </c>
      <c r="CD257" s="15">
        <f t="shared" si="427"/>
        <v>675</v>
      </c>
      <c r="CE257" s="15">
        <f t="shared" si="428"/>
        <v>720</v>
      </c>
      <c r="CF257" s="3">
        <f t="shared" si="369"/>
        <v>675</v>
      </c>
      <c r="CG257" s="2">
        <f>'State of the System - Sumter Co'!AH257</f>
        <v>364</v>
      </c>
      <c r="CH257" s="2">
        <f>'State of the System - Sumter Co'!AI257</f>
        <v>385</v>
      </c>
      <c r="CI257" s="11">
        <f t="shared" si="330"/>
        <v>0.56999999999999995</v>
      </c>
      <c r="CJ257" s="2" t="str">
        <f t="shared" si="370"/>
        <v>D</v>
      </c>
      <c r="CK257" s="3">
        <f t="shared" si="331"/>
        <v>15163</v>
      </c>
      <c r="CL257" s="11">
        <f t="shared" si="332"/>
        <v>0.47</v>
      </c>
      <c r="CM257" s="11" t="str">
        <f t="shared" si="333"/>
        <v>NOT CONGESTED</v>
      </c>
      <c r="CN257" s="3">
        <f t="shared" si="334"/>
        <v>778</v>
      </c>
      <c r="CO257" s="11">
        <f t="shared" si="335"/>
        <v>0.49</v>
      </c>
      <c r="CP257" s="156" t="str">
        <f t="shared" si="371"/>
        <v>NOT CONGESTED</v>
      </c>
      <c r="CQ257" s="2"/>
      <c r="CR257" s="42"/>
      <c r="CS257" s="11" t="str">
        <f t="shared" si="337"/>
        <v/>
      </c>
      <c r="CT257" s="11" t="str">
        <f t="shared" si="372"/>
        <v/>
      </c>
      <c r="CU257" s="11" t="str">
        <f t="shared" si="338"/>
        <v/>
      </c>
      <c r="CV257" s="11" t="str">
        <f t="shared" si="339"/>
        <v/>
      </c>
      <c r="CW257" s="2"/>
      <c r="CX257" s="1"/>
      <c r="CY257" s="145" t="str">
        <f t="shared" si="340"/>
        <v/>
      </c>
      <c r="CZ257" s="32" t="str">
        <f t="shared" si="341"/>
        <v/>
      </c>
    </row>
    <row r="258" spans="1:104">
      <c r="A258" s="1">
        <v>60001051</v>
      </c>
      <c r="B258" s="1">
        <f t="shared" si="342"/>
        <v>142</v>
      </c>
      <c r="C258" s="1">
        <v>237</v>
      </c>
      <c r="D258" s="1">
        <f>VLOOKUP(C258,'2022 counts'!$A$6:$B$304,2,FALSE)</f>
        <v>142</v>
      </c>
      <c r="E258" s="1"/>
      <c r="F258" s="2" t="s">
        <v>6</v>
      </c>
      <c r="G258" s="156">
        <v>25</v>
      </c>
      <c r="H258" s="11">
        <v>0.520144634341</v>
      </c>
      <c r="I258" s="10" t="s">
        <v>697</v>
      </c>
      <c r="J258" s="10" t="s">
        <v>130</v>
      </c>
      <c r="K258" s="10" t="s">
        <v>131</v>
      </c>
      <c r="L258" s="157">
        <v>2</v>
      </c>
      <c r="M258" s="1">
        <f>'State of the System - Sumter Co'!K258</f>
        <v>2</v>
      </c>
      <c r="N258" s="1" t="str">
        <f>IF('State of the System - Sumter Co'!L258="URBAN","U","R")</f>
        <v>U</v>
      </c>
      <c r="O258" s="1" t="str">
        <f>IF('State of the System - Sumter Co'!M258="UNDIVIDED","U",IF('State of the System - Sumter Co'!M258="DIVIDED","D","F"))</f>
        <v>U</v>
      </c>
      <c r="P258" s="1" t="str">
        <f>'State of the System - Sumter Co'!N258</f>
        <v>INTERRUPTED</v>
      </c>
      <c r="Q258" s="1" t="str">
        <f t="shared" si="300"/>
        <v/>
      </c>
      <c r="R258" s="1" t="str">
        <f>'State of the System - Sumter Co'!O258</f>
        <v/>
      </c>
      <c r="S258" s="1" t="str">
        <f t="shared" si="429"/>
        <v>-2</v>
      </c>
      <c r="T258" s="1" t="str">
        <f t="shared" si="301"/>
        <v>U-2U-2</v>
      </c>
      <c r="U258" s="1" t="str">
        <f t="shared" si="421"/>
        <v>U-2U-2</v>
      </c>
      <c r="V258" s="1" t="s">
        <v>10</v>
      </c>
      <c r="W258" s="1" t="s">
        <v>11</v>
      </c>
      <c r="X258" s="1" t="s">
        <v>12</v>
      </c>
      <c r="Y258" s="1" t="str">
        <f>'State of the System - Sumter Co'!R258</f>
        <v>D</v>
      </c>
      <c r="Z258" s="157" t="str">
        <f t="shared" si="302"/>
        <v>Other CMP Network Roadways</v>
      </c>
      <c r="AA258" s="15">
        <f>VLOOKUP($T258,'2020_CapacityTable'!$B$49:$F$71,2)</f>
        <v>0</v>
      </c>
      <c r="AB258" s="15">
        <f>VLOOKUP($T258,'2020_CapacityTable'!$B$49:$F$71,3)</f>
        <v>7300</v>
      </c>
      <c r="AC258" s="15">
        <f>VLOOKUP($T258,'2020_CapacityTable'!$B$49:$F$71,4)</f>
        <v>14800</v>
      </c>
      <c r="AD258" s="15">
        <f>VLOOKUP($T258,'2020_CapacityTable'!$B$49:$F$71,5)</f>
        <v>15600</v>
      </c>
      <c r="AE258" s="35">
        <f t="shared" si="419"/>
        <v>-0.1</v>
      </c>
      <c r="AF258" s="36" t="str">
        <f t="shared" si="303"/>
        <v/>
      </c>
      <c r="AG258" s="35"/>
      <c r="AH258" s="35" t="str">
        <f>IF(O258="U",IF(L258&gt;2,"LOOK",""),"")</f>
        <v/>
      </c>
      <c r="AI258" s="35"/>
      <c r="AJ258" s="36"/>
      <c r="AK258" s="15">
        <f t="shared" si="304"/>
        <v>0</v>
      </c>
      <c r="AL258" s="15">
        <f t="shared" si="305"/>
        <v>6570</v>
      </c>
      <c r="AM258" s="15">
        <f t="shared" si="306"/>
        <v>13320</v>
      </c>
      <c r="AN258" s="15">
        <f t="shared" si="307"/>
        <v>14040</v>
      </c>
      <c r="AO258" s="3">
        <f t="shared" si="366"/>
        <v>13320</v>
      </c>
      <c r="AP258" s="138">
        <f>VLOOKUP($B258,'2022 counts'!$B$6:$R$304,17,FALSE)</f>
        <v>7857</v>
      </c>
      <c r="AQ258" s="11">
        <f t="shared" si="308"/>
        <v>0.59</v>
      </c>
      <c r="AR258" s="2" t="str">
        <f t="shared" si="309"/>
        <v>D</v>
      </c>
      <c r="AS258" s="26">
        <f t="shared" si="310"/>
        <v>1.49</v>
      </c>
      <c r="AT258" s="15">
        <f>VLOOKUP($T258,'2020_CapacityTable'!$B$23:$F$45,2)</f>
        <v>0</v>
      </c>
      <c r="AU258" s="15">
        <f>VLOOKUP($T258,'2020_CapacityTable'!$B$23:$F$45,3)</f>
        <v>370</v>
      </c>
      <c r="AV258" s="15">
        <f>VLOOKUP($T258,'2020_CapacityTable'!$B$23:$F$45,4)</f>
        <v>750</v>
      </c>
      <c r="AW258" s="15">
        <f>VLOOKUP($T258,'2020_CapacityTable'!$B$23:$F$45,5)</f>
        <v>800</v>
      </c>
      <c r="AX258" s="15">
        <f t="shared" si="311"/>
        <v>0</v>
      </c>
      <c r="AY258" s="15">
        <f t="shared" si="312"/>
        <v>333</v>
      </c>
      <c r="AZ258" s="15">
        <f t="shared" si="313"/>
        <v>675</v>
      </c>
      <c r="BA258" s="15">
        <f t="shared" si="314"/>
        <v>720</v>
      </c>
      <c r="BB258" s="3">
        <f t="shared" si="367"/>
        <v>675</v>
      </c>
      <c r="BC258" s="138">
        <f>VLOOKUP($B258,'2022 counts'!$B$6:$AD$304,28,FALSE)</f>
        <v>441</v>
      </c>
      <c r="BD258" s="138">
        <f>VLOOKUP($B258,'2022 counts'!$B$6:$AD$304,29,FALSE)</f>
        <v>364</v>
      </c>
      <c r="BE258" s="11">
        <f t="shared" si="315"/>
        <v>0.65</v>
      </c>
      <c r="BF258" s="2" t="str">
        <f t="shared" si="316"/>
        <v>D</v>
      </c>
      <c r="BG258" s="135">
        <v>0.01</v>
      </c>
      <c r="BH258" s="135">
        <f>IF($AQ258="","",VLOOKUP($B258, '2022 counts'!$B$6:$T$304,19,FALSE))</f>
        <v>0.01</v>
      </c>
      <c r="BI258" s="38">
        <f t="shared" si="317"/>
        <v>0.01</v>
      </c>
      <c r="BJ258" s="39" t="str">
        <f t="shared" si="318"/>
        <v/>
      </c>
      <c r="BK258" s="15">
        <f>VLOOKUP($U258,'2020_CapacityTable'!$B$49:$F$71,2)</f>
        <v>0</v>
      </c>
      <c r="BL258" s="15">
        <f>VLOOKUP($U258,'2020_CapacityTable'!$B$49:$F$71,3)</f>
        <v>7300</v>
      </c>
      <c r="BM258" s="15">
        <f>VLOOKUP($T258,'2020_CapacityTable'!$B$49:$F$71,4)</f>
        <v>14800</v>
      </c>
      <c r="BN258" s="15">
        <f>VLOOKUP($T258,'2020_CapacityTable'!$B$49:$F$71,5)</f>
        <v>15600</v>
      </c>
      <c r="BO258" s="15">
        <f t="shared" si="422"/>
        <v>0</v>
      </c>
      <c r="BP258" s="15">
        <f t="shared" si="375"/>
        <v>6570</v>
      </c>
      <c r="BQ258" s="15">
        <f t="shared" si="376"/>
        <v>13320</v>
      </c>
      <c r="BR258" s="15">
        <f t="shared" si="377"/>
        <v>14040</v>
      </c>
      <c r="BS258" s="3">
        <f t="shared" si="368"/>
        <v>13320</v>
      </c>
      <c r="BT258" s="40">
        <f>'State of the System - Sumter Co'!AD258</f>
        <v>8258</v>
      </c>
      <c r="BU258" s="41">
        <f t="shared" si="423"/>
        <v>0.62</v>
      </c>
      <c r="BV258" s="2" t="str">
        <f t="shared" si="424"/>
        <v>D</v>
      </c>
      <c r="BW258" s="2">
        <f t="shared" si="325"/>
        <v>1.57</v>
      </c>
      <c r="BX258" s="15">
        <f>VLOOKUP($U258,'2020_CapacityTable'!$B$23:$F$45,2)</f>
        <v>0</v>
      </c>
      <c r="BY258" s="15">
        <f>VLOOKUP($U258,'2020_CapacityTable'!$B$23:$F$45,3)</f>
        <v>370</v>
      </c>
      <c r="BZ258" s="15">
        <f>VLOOKUP($U258,'2020_CapacityTable'!$B$23:$F$45,4)</f>
        <v>750</v>
      </c>
      <c r="CA258" s="15">
        <f>VLOOKUP($U258,'2020_CapacityTable'!$B$23:$F$45,5)</f>
        <v>800</v>
      </c>
      <c r="CB258" s="15">
        <f t="shared" si="425"/>
        <v>0</v>
      </c>
      <c r="CC258" s="15">
        <f t="shared" si="426"/>
        <v>333</v>
      </c>
      <c r="CD258" s="15">
        <f t="shared" si="427"/>
        <v>675</v>
      </c>
      <c r="CE258" s="15">
        <f t="shared" si="428"/>
        <v>720</v>
      </c>
      <c r="CF258" s="3">
        <f t="shared" si="369"/>
        <v>675</v>
      </c>
      <c r="CG258" s="2">
        <f>'State of the System - Sumter Co'!AH258</f>
        <v>463</v>
      </c>
      <c r="CH258" s="2">
        <f>'State of the System - Sumter Co'!AI258</f>
        <v>383</v>
      </c>
      <c r="CI258" s="11">
        <f t="shared" si="330"/>
        <v>0.69</v>
      </c>
      <c r="CJ258" s="2" t="str">
        <f t="shared" si="370"/>
        <v>D</v>
      </c>
      <c r="CK258" s="3">
        <f t="shared" si="331"/>
        <v>15163</v>
      </c>
      <c r="CL258" s="11">
        <f t="shared" si="332"/>
        <v>0.54</v>
      </c>
      <c r="CM258" s="11" t="str">
        <f t="shared" si="333"/>
        <v>NOT CONGESTED</v>
      </c>
      <c r="CN258" s="3">
        <f t="shared" si="334"/>
        <v>778</v>
      </c>
      <c r="CO258" s="11">
        <f t="shared" si="335"/>
        <v>0.6</v>
      </c>
      <c r="CP258" s="156" t="str">
        <f t="shared" si="371"/>
        <v>NOT CONGESTED</v>
      </c>
      <c r="CQ258" s="3"/>
      <c r="CR258" s="3"/>
      <c r="CS258" s="11" t="str">
        <f t="shared" si="337"/>
        <v/>
      </c>
      <c r="CT258" s="11" t="str">
        <f t="shared" si="372"/>
        <v/>
      </c>
      <c r="CU258" s="11" t="str">
        <f t="shared" si="338"/>
        <v/>
      </c>
      <c r="CV258" s="11" t="str">
        <f t="shared" si="339"/>
        <v/>
      </c>
      <c r="CW258" s="2"/>
      <c r="CX258" s="1"/>
      <c r="CY258" s="145" t="str">
        <f t="shared" si="340"/>
        <v/>
      </c>
      <c r="CZ258" s="32" t="str">
        <f t="shared" si="341"/>
        <v/>
      </c>
    </row>
    <row r="259" spans="1:104">
      <c r="A259" s="1">
        <v>355113021</v>
      </c>
      <c r="B259" s="1">
        <f t="shared" si="342"/>
        <v>180005</v>
      </c>
      <c r="C259" s="1">
        <v>1240</v>
      </c>
      <c r="D259" s="1" t="str">
        <f>VLOOKUP(C259,'2022 counts'!$A$6:$B$304,2,FALSE)</f>
        <v>STATE</v>
      </c>
      <c r="E259" s="1">
        <v>180005</v>
      </c>
      <c r="F259" s="2" t="s">
        <v>25</v>
      </c>
      <c r="G259" s="156">
        <v>55</v>
      </c>
      <c r="H259" s="11">
        <v>1.26132382421</v>
      </c>
      <c r="I259" s="10" t="s">
        <v>23</v>
      </c>
      <c r="J259" s="10" t="s">
        <v>721</v>
      </c>
      <c r="K259" s="10" t="s">
        <v>56</v>
      </c>
      <c r="L259" s="157">
        <v>4</v>
      </c>
      <c r="M259" s="1">
        <f>'State of the System - Sumter Co'!K259</f>
        <v>4</v>
      </c>
      <c r="N259" s="1" t="str">
        <f>IF('State of the System - Sumter Co'!L259="URBAN","U","R")</f>
        <v>U</v>
      </c>
      <c r="O259" s="1" t="str">
        <f>IF('State of the System - Sumter Co'!M259="UNDIVIDED","U",IF('State of the System - Sumter Co'!M259="DIVIDED","D","F"))</f>
        <v>D</v>
      </c>
      <c r="P259" s="1" t="str">
        <f>'State of the System - Sumter Co'!N259</f>
        <v>INTERRUPTED</v>
      </c>
      <c r="Q259" s="1" t="str">
        <f t="shared" si="300"/>
        <v/>
      </c>
      <c r="R259" s="1" t="str">
        <f>'State of the System - Sumter Co'!O259</f>
        <v/>
      </c>
      <c r="S259" s="1" t="str">
        <f t="shared" si="429"/>
        <v>-1</v>
      </c>
      <c r="T259" s="1" t="str">
        <f t="shared" si="301"/>
        <v>U-4D-1</v>
      </c>
      <c r="U259" s="1" t="str">
        <f t="shared" si="421"/>
        <v>U-4D-1</v>
      </c>
      <c r="V259" s="1" t="s">
        <v>137</v>
      </c>
      <c r="W259" s="1" t="s">
        <v>11</v>
      </c>
      <c r="X259" s="1" t="s">
        <v>138</v>
      </c>
      <c r="Y259" s="1" t="str">
        <f>'State of the System - Sumter Co'!R259</f>
        <v>D</v>
      </c>
      <c r="Z259" s="157" t="str">
        <f t="shared" si="302"/>
        <v>NHS Non-Interstate</v>
      </c>
      <c r="AA259" s="15">
        <f>VLOOKUP($T259,'2020_CapacityTable'!$B$49:$F$71,2)</f>
        <v>0</v>
      </c>
      <c r="AB259" s="15">
        <f>VLOOKUP($T259,'2020_CapacityTable'!$B$49:$F$71,3)</f>
        <v>37900</v>
      </c>
      <c r="AC259" s="15">
        <f>VLOOKUP($T259,'2020_CapacityTable'!$B$49:$F$71,4)</f>
        <v>39800</v>
      </c>
      <c r="AD259" s="15">
        <f>VLOOKUP($T259,'2020_CapacityTable'!$B$49:$F$71,5)</f>
        <v>39800</v>
      </c>
      <c r="AE259" s="35" t="str">
        <f t="shared" si="419"/>
        <v/>
      </c>
      <c r="AF259" s="36" t="str">
        <f t="shared" si="303"/>
        <v/>
      </c>
      <c r="AG259" s="35" t="str">
        <f>IF(AND(L259=2,P259="interrupted",O259="U"),"LOOK","")</f>
        <v/>
      </c>
      <c r="AH259" s="35" t="str">
        <f>IF(O259="U",IF(#REF!&gt;2,"LOOK",""),"")</f>
        <v/>
      </c>
      <c r="AI259" s="35"/>
      <c r="AJ259" s="36"/>
      <c r="AK259" s="15">
        <f t="shared" si="304"/>
        <v>0</v>
      </c>
      <c r="AL259" s="15">
        <f t="shared" si="305"/>
        <v>37900</v>
      </c>
      <c r="AM259" s="15">
        <f t="shared" si="306"/>
        <v>39800</v>
      </c>
      <c r="AN259" s="15">
        <f t="shared" si="307"/>
        <v>39800</v>
      </c>
      <c r="AO259" s="3">
        <f t="shared" si="366"/>
        <v>39800</v>
      </c>
      <c r="AP259" s="138">
        <f>VLOOKUP($B259,'2022 counts'!$B$6:$R$304,17,FALSE)</f>
        <v>21620</v>
      </c>
      <c r="AQ259" s="11">
        <f t="shared" si="308"/>
        <v>0.54</v>
      </c>
      <c r="AR259" s="2" t="str">
        <f t="shared" si="309"/>
        <v>C</v>
      </c>
      <c r="AS259" s="26">
        <f t="shared" si="310"/>
        <v>9.9499999999999993</v>
      </c>
      <c r="AT259" s="15">
        <f>VLOOKUP($T259,'2020_CapacityTable'!$B$23:$F$45,2)</f>
        <v>0</v>
      </c>
      <c r="AU259" s="15">
        <f>VLOOKUP($T259,'2020_CapacityTable'!$B$23:$F$45,3)</f>
        <v>1910</v>
      </c>
      <c r="AV259" s="15">
        <f>VLOOKUP($T259,'2020_CapacityTable'!$B$23:$F$45,4)</f>
        <v>2000</v>
      </c>
      <c r="AW259" s="15">
        <f>VLOOKUP($T259,'2020_CapacityTable'!$B$23:$F$45,5)</f>
        <v>2000</v>
      </c>
      <c r="AX259" s="15">
        <f t="shared" si="311"/>
        <v>0</v>
      </c>
      <c r="AY259" s="15">
        <f t="shared" si="312"/>
        <v>1910</v>
      </c>
      <c r="AZ259" s="15">
        <f t="shared" si="313"/>
        <v>2000</v>
      </c>
      <c r="BA259" s="15">
        <f t="shared" si="314"/>
        <v>2000</v>
      </c>
      <c r="BB259" s="3">
        <f t="shared" si="367"/>
        <v>2000</v>
      </c>
      <c r="BC259" s="138">
        <f>VLOOKUP($B259,'2022 counts'!$B$6:$AD$304,28,FALSE)</f>
        <v>1031</v>
      </c>
      <c r="BD259" s="138">
        <f>VLOOKUP($B259,'2022 counts'!$B$6:$AD$304,29,FALSE)</f>
        <v>915</v>
      </c>
      <c r="BE259" s="11">
        <f t="shared" si="315"/>
        <v>0.52</v>
      </c>
      <c r="BF259" s="2" t="str">
        <f t="shared" si="316"/>
        <v>C</v>
      </c>
      <c r="BG259" s="135">
        <v>1.4999999999999999E-2</v>
      </c>
      <c r="BH259" s="135">
        <f>IF($AQ259="","",VLOOKUP($B259, '2022 counts'!$B$6:$T$304,19,FALSE))</f>
        <v>1.4999999999999999E-2</v>
      </c>
      <c r="BI259" s="38">
        <f t="shared" si="317"/>
        <v>1.4999999999999999E-2</v>
      </c>
      <c r="BJ259" s="39" t="str">
        <f t="shared" si="318"/>
        <v/>
      </c>
      <c r="BK259" s="15">
        <f>VLOOKUP($U259,'2020_CapacityTable'!$B$49:$F$71,2)</f>
        <v>0</v>
      </c>
      <c r="BL259" s="15">
        <f>VLOOKUP($U259,'2020_CapacityTable'!$B$49:$F$71,3)</f>
        <v>37900</v>
      </c>
      <c r="BM259" s="15">
        <f>VLOOKUP($T259,'2020_CapacityTable'!$B$49:$F$71,4)</f>
        <v>39800</v>
      </c>
      <c r="BN259" s="15">
        <f>VLOOKUP($T259,'2020_CapacityTable'!$B$49:$F$71,5)</f>
        <v>39800</v>
      </c>
      <c r="BO259" s="15">
        <f t="shared" si="422"/>
        <v>0</v>
      </c>
      <c r="BP259" s="15">
        <f t="shared" si="375"/>
        <v>37900</v>
      </c>
      <c r="BQ259" s="15">
        <f t="shared" si="376"/>
        <v>39800</v>
      </c>
      <c r="BR259" s="15">
        <f t="shared" si="377"/>
        <v>39800</v>
      </c>
      <c r="BS259" s="3">
        <f t="shared" si="368"/>
        <v>39800</v>
      </c>
      <c r="BT259" s="40">
        <f>'State of the System - Sumter Co'!AD259</f>
        <v>23291</v>
      </c>
      <c r="BU259" s="41">
        <f t="shared" si="423"/>
        <v>0.59</v>
      </c>
      <c r="BV259" s="2" t="str">
        <f t="shared" si="424"/>
        <v>C</v>
      </c>
      <c r="BW259" s="2">
        <f t="shared" si="325"/>
        <v>10.72</v>
      </c>
      <c r="BX259" s="15">
        <f>VLOOKUP($U259,'2020_CapacityTable'!$B$23:$F$45,2)</f>
        <v>0</v>
      </c>
      <c r="BY259" s="15">
        <f>VLOOKUP($U259,'2020_CapacityTable'!$B$23:$F$45,3)</f>
        <v>1910</v>
      </c>
      <c r="BZ259" s="15">
        <f>VLOOKUP($U259,'2020_CapacityTable'!$B$23:$F$45,4)</f>
        <v>2000</v>
      </c>
      <c r="CA259" s="15">
        <f>VLOOKUP($U259,'2020_CapacityTable'!$B$23:$F$45,5)</f>
        <v>2000</v>
      </c>
      <c r="CB259" s="15">
        <f t="shared" si="425"/>
        <v>0</v>
      </c>
      <c r="CC259" s="15">
        <f t="shared" si="426"/>
        <v>1910</v>
      </c>
      <c r="CD259" s="15">
        <f t="shared" si="427"/>
        <v>2000</v>
      </c>
      <c r="CE259" s="15">
        <f t="shared" si="428"/>
        <v>2000</v>
      </c>
      <c r="CF259" s="3">
        <f t="shared" si="369"/>
        <v>2000</v>
      </c>
      <c r="CG259" s="2">
        <f>'State of the System - Sumter Co'!AH259</f>
        <v>1111</v>
      </c>
      <c r="CH259" s="2">
        <f>'State of the System - Sumter Co'!AI259</f>
        <v>986</v>
      </c>
      <c r="CI259" s="11">
        <f t="shared" si="330"/>
        <v>0.56000000000000005</v>
      </c>
      <c r="CJ259" s="2" t="str">
        <f t="shared" si="370"/>
        <v>C</v>
      </c>
      <c r="CK259" s="3">
        <f t="shared" si="331"/>
        <v>42984</v>
      </c>
      <c r="CL259" s="11">
        <f t="shared" si="332"/>
        <v>0.54</v>
      </c>
      <c r="CM259" s="11" t="str">
        <f t="shared" si="333"/>
        <v>NOT CONGESTED</v>
      </c>
      <c r="CN259" s="3">
        <f t="shared" si="334"/>
        <v>2160</v>
      </c>
      <c r="CO259" s="11">
        <f t="shared" si="335"/>
        <v>0.51</v>
      </c>
      <c r="CP259" s="156" t="str">
        <f t="shared" si="371"/>
        <v>NOT CONGESTED</v>
      </c>
      <c r="CQ259" s="3"/>
      <c r="CR259" s="3"/>
      <c r="CS259" s="11" t="str">
        <f t="shared" si="337"/>
        <v/>
      </c>
      <c r="CT259" s="11" t="str">
        <f t="shared" si="372"/>
        <v/>
      </c>
      <c r="CU259" s="11" t="str">
        <f t="shared" si="338"/>
        <v/>
      </c>
      <c r="CV259" s="11" t="str">
        <f t="shared" si="339"/>
        <v/>
      </c>
      <c r="CW259" s="2"/>
      <c r="CX259" s="1"/>
      <c r="CY259" s="145" t="str">
        <f t="shared" si="340"/>
        <v/>
      </c>
      <c r="CZ259" s="32" t="str">
        <f t="shared" si="341"/>
        <v/>
      </c>
    </row>
    <row r="260" spans="1:104">
      <c r="A260" s="1">
        <v>400100012</v>
      </c>
      <c r="B260" s="1">
        <f t="shared" si="342"/>
        <v>93</v>
      </c>
      <c r="C260" s="1">
        <v>276</v>
      </c>
      <c r="D260" s="1">
        <f>VLOOKUP(C260,'2022 counts'!$A$6:$B$304,2,FALSE)</f>
        <v>93</v>
      </c>
      <c r="E260" s="1"/>
      <c r="F260" s="2" t="s">
        <v>6</v>
      </c>
      <c r="G260" s="156">
        <v>35</v>
      </c>
      <c r="H260" s="11">
        <v>2.0053669625900001</v>
      </c>
      <c r="I260" s="10" t="s">
        <v>53</v>
      </c>
      <c r="J260" s="10" t="s">
        <v>106</v>
      </c>
      <c r="K260" s="10" t="s">
        <v>107</v>
      </c>
      <c r="L260" s="157">
        <v>2</v>
      </c>
      <c r="M260" s="1">
        <f>'State of the System - Sumter Co'!K260</f>
        <v>2</v>
      </c>
      <c r="N260" s="1" t="str">
        <f>IF('State of the System - Sumter Co'!L260="URBAN","U","R")</f>
        <v>U</v>
      </c>
      <c r="O260" s="1" t="str">
        <f>IF('State of the System - Sumter Co'!M260="UNDIVIDED","U",IF('State of the System - Sumter Co'!M260="DIVIDED","D","F"))</f>
        <v>U</v>
      </c>
      <c r="P260" s="1" t="str">
        <f>'State of the System - Sumter Co'!N260</f>
        <v>INTERRUPTED</v>
      </c>
      <c r="Q260" s="1" t="str">
        <f t="shared" si="300"/>
        <v/>
      </c>
      <c r="R260" s="1" t="str">
        <f>'State of the System - Sumter Co'!O260</f>
        <v/>
      </c>
      <c r="S260" s="1" t="str">
        <f t="shared" si="429"/>
        <v>-2</v>
      </c>
      <c r="T260" s="1" t="str">
        <f t="shared" si="301"/>
        <v>U-2U-2</v>
      </c>
      <c r="U260" s="1" t="str">
        <f t="shared" si="421"/>
        <v>U-2U-2</v>
      </c>
      <c r="V260" s="1" t="s">
        <v>10</v>
      </c>
      <c r="W260" s="1" t="s">
        <v>25</v>
      </c>
      <c r="X260" s="1" t="s">
        <v>21</v>
      </c>
      <c r="Y260" s="1" t="str">
        <f>'State of the System - Sumter Co'!R260</f>
        <v>D</v>
      </c>
      <c r="Z260" s="157" t="str">
        <f t="shared" si="302"/>
        <v>Other CMP Network Roadways</v>
      </c>
      <c r="AA260" s="15">
        <f>VLOOKUP($T260,'2020_CapacityTable'!$B$49:$F$71,2)</f>
        <v>0</v>
      </c>
      <c r="AB260" s="15">
        <f>VLOOKUP($T260,'2020_CapacityTable'!$B$49:$F$71,3)</f>
        <v>7300</v>
      </c>
      <c r="AC260" s="15">
        <f>VLOOKUP($T260,'2020_CapacityTable'!$B$49:$F$71,4)</f>
        <v>14800</v>
      </c>
      <c r="AD260" s="15">
        <f>VLOOKUP($T260,'2020_CapacityTable'!$B$49:$F$71,5)</f>
        <v>15600</v>
      </c>
      <c r="AE260" s="35">
        <f t="shared" si="419"/>
        <v>-0.1</v>
      </c>
      <c r="AF260" s="36" t="str">
        <f t="shared" si="303"/>
        <v/>
      </c>
      <c r="AG260" s="35">
        <v>-0.2</v>
      </c>
      <c r="AH260" s="35" t="str">
        <f>IF(O260="U",IF(L260&gt;2,"LOOK",""),"")</f>
        <v/>
      </c>
      <c r="AI260" s="35"/>
      <c r="AJ260" s="36"/>
      <c r="AK260" s="15">
        <f t="shared" si="304"/>
        <v>0</v>
      </c>
      <c r="AL260" s="15">
        <f t="shared" si="305"/>
        <v>5110</v>
      </c>
      <c r="AM260" s="15">
        <f t="shared" si="306"/>
        <v>10360</v>
      </c>
      <c r="AN260" s="15">
        <f t="shared" si="307"/>
        <v>10920</v>
      </c>
      <c r="AO260" s="3">
        <f t="shared" si="366"/>
        <v>10360</v>
      </c>
      <c r="AP260" s="138">
        <f>VLOOKUP($B260,'2022 counts'!$B$6:$R$304,17,FALSE)</f>
        <v>3938</v>
      </c>
      <c r="AQ260" s="11">
        <f t="shared" si="308"/>
        <v>0.38</v>
      </c>
      <c r="AR260" s="2" t="str">
        <f t="shared" si="309"/>
        <v>C</v>
      </c>
      <c r="AS260" s="26">
        <f t="shared" si="310"/>
        <v>2.88</v>
      </c>
      <c r="AT260" s="15">
        <f>VLOOKUP($T260,'2020_CapacityTable'!$B$23:$F$45,2)</f>
        <v>0</v>
      </c>
      <c r="AU260" s="15">
        <f>VLOOKUP($T260,'2020_CapacityTable'!$B$23:$F$45,3)</f>
        <v>370</v>
      </c>
      <c r="AV260" s="15">
        <f>VLOOKUP($T260,'2020_CapacityTable'!$B$23:$F$45,4)</f>
        <v>750</v>
      </c>
      <c r="AW260" s="15">
        <f>VLOOKUP($T260,'2020_CapacityTable'!$B$23:$F$45,5)</f>
        <v>800</v>
      </c>
      <c r="AX260" s="15">
        <f t="shared" si="311"/>
        <v>0</v>
      </c>
      <c r="AY260" s="15">
        <f t="shared" si="312"/>
        <v>259</v>
      </c>
      <c r="AZ260" s="15">
        <f t="shared" si="313"/>
        <v>525</v>
      </c>
      <c r="BA260" s="15">
        <f t="shared" si="314"/>
        <v>560</v>
      </c>
      <c r="BB260" s="3">
        <f t="shared" si="367"/>
        <v>525</v>
      </c>
      <c r="BC260" s="138">
        <f>VLOOKUP($B260,'2022 counts'!$B$6:$AD$304,28,FALSE)</f>
        <v>192</v>
      </c>
      <c r="BD260" s="138">
        <f>VLOOKUP($B260,'2022 counts'!$B$6:$AD$304,29,FALSE)</f>
        <v>179</v>
      </c>
      <c r="BE260" s="11">
        <f t="shared" ref="BE260" si="433">IF(AND(BC260="-",BD260="-"),"",ROUND(MAX(BC260,BD260)/BB260,2))</f>
        <v>0.37</v>
      </c>
      <c r="BF260" s="2" t="str">
        <f t="shared" si="316"/>
        <v>C</v>
      </c>
      <c r="BG260" s="135">
        <v>2.75E-2</v>
      </c>
      <c r="BH260" s="135">
        <f>IF($AQ260="","",VLOOKUP($B260, '2022 counts'!$B$6:$T$304,19,FALSE))</f>
        <v>2.75E-2</v>
      </c>
      <c r="BI260" s="38">
        <f t="shared" si="317"/>
        <v>2.75E-2</v>
      </c>
      <c r="BJ260" s="39" t="str">
        <f t="shared" si="318"/>
        <v/>
      </c>
      <c r="BK260" s="15">
        <f>VLOOKUP($U260,'2020_CapacityTable'!$B$49:$F$71,2)</f>
        <v>0</v>
      </c>
      <c r="BL260" s="15">
        <f>VLOOKUP($U260,'2020_CapacityTable'!$B$49:$F$71,3)</f>
        <v>7300</v>
      </c>
      <c r="BM260" s="15">
        <f>VLOOKUP($T260,'2020_CapacityTable'!$B$49:$F$71,4)</f>
        <v>14800</v>
      </c>
      <c r="BN260" s="15">
        <f>VLOOKUP($T260,'2020_CapacityTable'!$B$49:$F$71,5)</f>
        <v>15600</v>
      </c>
      <c r="BO260" s="15">
        <f t="shared" si="422"/>
        <v>0</v>
      </c>
      <c r="BP260" s="15">
        <f t="shared" si="375"/>
        <v>5110</v>
      </c>
      <c r="BQ260" s="15">
        <f t="shared" si="376"/>
        <v>10360</v>
      </c>
      <c r="BR260" s="15">
        <f t="shared" si="377"/>
        <v>10920</v>
      </c>
      <c r="BS260" s="3">
        <f t="shared" si="368"/>
        <v>10360</v>
      </c>
      <c r="BT260" s="40">
        <f>'State of the System - Sumter Co'!AD260</f>
        <v>4510</v>
      </c>
      <c r="BU260" s="41">
        <f t="shared" si="423"/>
        <v>0.44</v>
      </c>
      <c r="BV260" s="2" t="str">
        <f t="shared" si="424"/>
        <v>C</v>
      </c>
      <c r="BW260" s="2">
        <f t="shared" si="325"/>
        <v>3.3</v>
      </c>
      <c r="BX260" s="15">
        <f>VLOOKUP($U260,'2020_CapacityTable'!$B$23:$F$45,2)</f>
        <v>0</v>
      </c>
      <c r="BY260" s="15">
        <f>VLOOKUP($U260,'2020_CapacityTable'!$B$23:$F$45,3)</f>
        <v>370</v>
      </c>
      <c r="BZ260" s="15">
        <f>VLOOKUP($U260,'2020_CapacityTable'!$B$23:$F$45,4)</f>
        <v>750</v>
      </c>
      <c r="CA260" s="15">
        <f>VLOOKUP($U260,'2020_CapacityTable'!$B$23:$F$45,5)</f>
        <v>800</v>
      </c>
      <c r="CB260" s="15">
        <f t="shared" si="425"/>
        <v>0</v>
      </c>
      <c r="CC260" s="15">
        <f t="shared" si="426"/>
        <v>259</v>
      </c>
      <c r="CD260" s="15">
        <f t="shared" si="427"/>
        <v>525</v>
      </c>
      <c r="CE260" s="15">
        <f t="shared" si="428"/>
        <v>560</v>
      </c>
      <c r="CF260" s="3">
        <f t="shared" si="369"/>
        <v>525</v>
      </c>
      <c r="CG260" s="2">
        <f>'State of the System - Sumter Co'!AH260</f>
        <v>220</v>
      </c>
      <c r="CH260" s="2">
        <f>'State of the System - Sumter Co'!AI260</f>
        <v>205</v>
      </c>
      <c r="CI260" s="11">
        <f t="shared" ref="CI260" si="434">IF(AND(CG260="",CH260=""),"",ROUND(MAX(CG260,CH260)/CF260,2))</f>
        <v>0.42</v>
      </c>
      <c r="CJ260" s="2" t="str">
        <f t="shared" si="370"/>
        <v>C</v>
      </c>
      <c r="CK260" s="3">
        <f t="shared" si="331"/>
        <v>11794</v>
      </c>
      <c r="CL260" s="11">
        <f t="shared" si="332"/>
        <v>0.38</v>
      </c>
      <c r="CM260" s="11" t="str">
        <f t="shared" si="333"/>
        <v>NOT CONGESTED</v>
      </c>
      <c r="CN260" s="3">
        <f t="shared" si="334"/>
        <v>605</v>
      </c>
      <c r="CO260" s="11">
        <f t="shared" si="335"/>
        <v>0.36</v>
      </c>
      <c r="CP260" s="156" t="str">
        <f t="shared" si="371"/>
        <v>NOT CONGESTED</v>
      </c>
      <c r="CQ260" s="2"/>
      <c r="CR260" s="42"/>
      <c r="CS260" s="11" t="str">
        <f t="shared" si="337"/>
        <v/>
      </c>
      <c r="CT260" s="11" t="str">
        <f t="shared" si="372"/>
        <v/>
      </c>
      <c r="CU260" s="11" t="str">
        <f t="shared" si="338"/>
        <v/>
      </c>
      <c r="CV260" s="11" t="str">
        <f t="shared" si="339"/>
        <v/>
      </c>
      <c r="CW260" s="2"/>
      <c r="CX260" s="1"/>
      <c r="CY260" s="145" t="str">
        <f t="shared" si="340"/>
        <v/>
      </c>
      <c r="CZ260" s="32" t="str">
        <f t="shared" si="341"/>
        <v/>
      </c>
    </row>
    <row r="261" spans="1:104">
      <c r="L261" s="144"/>
      <c r="BK261" s="78"/>
      <c r="BL261" s="78"/>
      <c r="BM261" s="78"/>
      <c r="BN261" s="78"/>
      <c r="BO261" s="78"/>
      <c r="BP261" s="78"/>
      <c r="BQ261" s="78"/>
      <c r="BR261" s="78"/>
      <c r="BS261" s="78"/>
      <c r="CS261" s="28"/>
    </row>
    <row r="262" spans="1:104" ht="14.25" customHeight="1">
      <c r="C262" s="30"/>
      <c r="D262" s="30"/>
      <c r="L262" s="144"/>
      <c r="AJ262" s="30" t="s">
        <v>539</v>
      </c>
      <c r="AS262" s="7">
        <v>2022</v>
      </c>
      <c r="BD262" s="521"/>
      <c r="BE262" s="521"/>
      <c r="BF262" s="521"/>
      <c r="BG262" s="521"/>
      <c r="BH262" s="521"/>
      <c r="BI262" s="521"/>
      <c r="BJ262" s="522" t="s">
        <v>615</v>
      </c>
      <c r="BK262" s="522"/>
      <c r="BL262" s="522"/>
      <c r="BM262" s="522"/>
      <c r="BN262" s="522"/>
      <c r="BO262" s="522"/>
      <c r="BP262" s="79"/>
      <c r="BQ262" s="79"/>
      <c r="BR262" s="27"/>
      <c r="BT262" s="7">
        <v>2027</v>
      </c>
      <c r="BU262" s="7"/>
      <c r="BV262" s="7"/>
      <c r="BW262" s="7"/>
      <c r="CA262" s="79"/>
      <c r="CB262" s="79"/>
      <c r="CC262" s="79"/>
      <c r="CD262" s="79"/>
      <c r="CE262" s="79"/>
      <c r="CF262" s="79"/>
      <c r="CG262" s="79"/>
    </row>
    <row r="263" spans="1:104" ht="15" customHeight="1">
      <c r="L263" s="144"/>
      <c r="AS263" s="7" t="s">
        <v>658</v>
      </c>
      <c r="AT263" s="4" t="s">
        <v>861</v>
      </c>
      <c r="AU263" s="7" t="s">
        <v>584</v>
      </c>
      <c r="AV263" s="7" t="s">
        <v>862</v>
      </c>
      <c r="BD263" s="521"/>
      <c r="BE263" s="521"/>
      <c r="BF263" s="521"/>
      <c r="BG263" s="521"/>
      <c r="BH263" s="521"/>
      <c r="BI263" s="521"/>
      <c r="BJ263" s="522"/>
      <c r="BK263" s="522"/>
      <c r="BL263" s="522"/>
      <c r="BM263" s="522"/>
      <c r="BN263" s="522"/>
      <c r="BO263" s="522"/>
      <c r="BP263" s="79"/>
      <c r="BQ263" s="79"/>
      <c r="BR263" s="27"/>
      <c r="BT263" s="7" t="s">
        <v>658</v>
      </c>
      <c r="BU263" s="4" t="s">
        <v>861</v>
      </c>
      <c r="BV263" s="7" t="s">
        <v>584</v>
      </c>
      <c r="BW263" s="7" t="s">
        <v>862</v>
      </c>
      <c r="CA263" s="79"/>
      <c r="CB263" s="79"/>
      <c r="CC263" s="79"/>
      <c r="CD263" s="79"/>
      <c r="CE263" s="79"/>
      <c r="CF263" s="79"/>
      <c r="CG263" s="79"/>
      <c r="CQ263" s="7" t="s">
        <v>625</v>
      </c>
      <c r="CR263" s="7" t="s">
        <v>584</v>
      </c>
      <c r="CS263" s="45">
        <f>SUMPRODUCT(CS2:CS260,AP2:AP260)*365/1000000</f>
        <v>210.59186521428592</v>
      </c>
      <c r="CT263" s="45">
        <f>SUMPRODUCT(CT2:CT260,$BT2:$BT260)*365/1000000</f>
        <v>405.02436699999998</v>
      </c>
      <c r="CU263" s="45"/>
      <c r="CV263" s="45"/>
      <c r="CX263" s="8" t="s">
        <v>627</v>
      </c>
      <c r="CY263" s="49">
        <f>SUMIF($CX$2:$CX$260,"Truck",CY2:CY260)</f>
        <v>191.86</v>
      </c>
      <c r="CZ263" s="49">
        <f>SUMIF($CX$2:$CX$260,"Truck",CZ2:CZ260)</f>
        <v>334.04999999999995</v>
      </c>
    </row>
    <row r="264" spans="1:104">
      <c r="L264" s="144"/>
      <c r="AR264" s="7" t="s">
        <v>3</v>
      </c>
      <c r="AS264" s="9">
        <f t="shared" ref="AS264:AS268" si="435">SUMIF($AR$2:$AR$260,$AR264,$H$2:$H$260)</f>
        <v>144.89714659638798</v>
      </c>
      <c r="AT264" s="506">
        <f>AS264/SUM($AS$264:$AS$268)</f>
        <v>0.39359054924790138</v>
      </c>
      <c r="AU264" s="9">
        <f>SUMIF($AR$2:$AR$260,$AR264,$AS$2:$AS$260)</f>
        <v>265.63</v>
      </c>
      <c r="AV264" s="369">
        <f>AU264/SUM($AU$264:$AU$268)</f>
        <v>0.14768216338830015</v>
      </c>
      <c r="BI264" s="7"/>
      <c r="BJ264" s="4" t="s">
        <v>1172</v>
      </c>
      <c r="BR264" s="27"/>
      <c r="BS264" s="7" t="s">
        <v>3</v>
      </c>
      <c r="BT264" s="9">
        <f>SUMIF($BV$2:$BV$260,BS264,$H$2:$H$260)</f>
        <v>117.49320610871798</v>
      </c>
      <c r="BU264" s="369">
        <f>BT264/SUM($BT$264:$BT$268)</f>
        <v>0.3248917254363391</v>
      </c>
      <c r="BV264" s="9">
        <f>SUMIF($BV$2:$BV$260,BS264,$BW$2:$BW$260)</f>
        <v>242.9</v>
      </c>
      <c r="BW264" s="369">
        <f>BV264/SUM($BV$264:$BV$268)</f>
        <v>0.12412996596518842</v>
      </c>
      <c r="CQ264" s="7" t="s">
        <v>259</v>
      </c>
      <c r="CR264" s="7" t="s">
        <v>584</v>
      </c>
      <c r="CS264" s="9">
        <f>SUMPRODUCT(H2:H260,AP2:AP260)*365/1000000</f>
        <v>1798.6848239120134</v>
      </c>
      <c r="CT264" s="9">
        <f>SUMPRODUCT(H2:H260,$BT2:$BT260)*365/1000000</f>
        <v>1956.824671889809</v>
      </c>
      <c r="CU264" s="9"/>
      <c r="CV264" s="9"/>
      <c r="CX264" s="8" t="s">
        <v>259</v>
      </c>
      <c r="CY264" s="47">
        <f>SUMIF($CX$2:$CX$260,"Truck",AS2:AS260)</f>
        <v>966.60000000000014</v>
      </c>
      <c r="CZ264" s="47">
        <f>SUMIF($CX$2:$CX$260,"Truck",BW2:BW260)</f>
        <v>1000.1899999999999</v>
      </c>
    </row>
    <row r="265" spans="1:104">
      <c r="L265" s="144"/>
      <c r="AR265" s="7" t="s">
        <v>4</v>
      </c>
      <c r="AS265" s="9">
        <f>SUMIF($AR$2:$AR$260,$AR265,$H$2:$H$260)</f>
        <v>170.4716253121079</v>
      </c>
      <c r="AT265" s="506">
        <f t="shared" ref="AT265:AT268" si="436">AS265/SUM($AS$264:$AS$268)</f>
        <v>0.46305964067512961</v>
      </c>
      <c r="AU265" s="9">
        <f t="shared" ref="AU265:AU268" si="437">SUMIF($AR$2:$AR$260,$AR265,$AS$2:$AS$260)</f>
        <v>1123.2600000000004</v>
      </c>
      <c r="AV265" s="369">
        <f t="shared" ref="AV265:AV268" si="438">AU265/SUM($AU$264:$AU$268)</f>
        <v>0.62449823757686296</v>
      </c>
      <c r="BR265" s="27"/>
      <c r="BS265" s="7" t="s">
        <v>4</v>
      </c>
      <c r="BT265" s="9">
        <f t="shared" ref="BT265:BT269" si="439">SUMIF($BV$2:$BV$260,BS265,$H$2:$H$260)</f>
        <v>171.84857321626589</v>
      </c>
      <c r="BU265" s="369">
        <f t="shared" ref="BU265:BU268" si="440">BT265/SUM($BT$264:$BT$268)</f>
        <v>0.47519496075665374</v>
      </c>
      <c r="BV265" s="9">
        <f t="shared" ref="BV265:BV268" si="441">SUMIF($BV$2:$BV$260,BS265,$BW$2:$BW$260)</f>
        <v>1064.6300000000001</v>
      </c>
      <c r="BW265" s="369">
        <f t="shared" ref="BW265:BW268" si="442">BV265/SUM($BV$264:$BV$268)</f>
        <v>0.54406128310217605</v>
      </c>
      <c r="CQ265" s="7" t="s">
        <v>626</v>
      </c>
      <c r="CS265" s="83">
        <f>CS263/CS264</f>
        <v>0.11708102632247899</v>
      </c>
      <c r="CT265" s="83">
        <f>CT263/CT264</f>
        <v>0.2069804069921331</v>
      </c>
      <c r="CU265" s="83"/>
      <c r="CV265" s="83"/>
      <c r="CX265" s="8" t="s">
        <v>626</v>
      </c>
      <c r="CY265" s="46">
        <f>CY263/CY264</f>
        <v>0.19848955100351748</v>
      </c>
      <c r="CZ265" s="46">
        <f>CZ263/CZ264</f>
        <v>0.33398654255691418</v>
      </c>
    </row>
    <row r="266" spans="1:104">
      <c r="L266" s="144"/>
      <c r="AR266" s="7" t="s">
        <v>5</v>
      </c>
      <c r="AS266" s="9">
        <f t="shared" si="435"/>
        <v>48.228412367682004</v>
      </c>
      <c r="AT266" s="506">
        <f t="shared" si="436"/>
        <v>0.13100497669581737</v>
      </c>
      <c r="AU266" s="9">
        <f t="shared" si="437"/>
        <v>357.71999999999997</v>
      </c>
      <c r="AV266" s="369">
        <f t="shared" si="438"/>
        <v>0.19888138947883419</v>
      </c>
      <c r="BR266" s="27"/>
      <c r="BS266" s="7" t="s">
        <v>5</v>
      </c>
      <c r="BT266" s="9">
        <f t="shared" si="439"/>
        <v>61.301554759165001</v>
      </c>
      <c r="BU266" s="369">
        <f t="shared" si="440"/>
        <v>0.16951080455840542</v>
      </c>
      <c r="BV266" s="9">
        <f t="shared" si="441"/>
        <v>541.81999999999982</v>
      </c>
      <c r="BW266" s="369">
        <f t="shared" si="442"/>
        <v>0.27688801218303155</v>
      </c>
    </row>
    <row r="267" spans="1:104">
      <c r="L267" s="144"/>
      <c r="AR267" s="7" t="s">
        <v>183</v>
      </c>
      <c r="AS267" s="9">
        <f t="shared" si="435"/>
        <v>0.81839821898099996</v>
      </c>
      <c r="AT267" s="506">
        <f t="shared" si="436"/>
        <v>2.2230513994142775E-3</v>
      </c>
      <c r="AU267" s="9">
        <f t="shared" si="437"/>
        <v>27.19</v>
      </c>
      <c r="AV267" s="369">
        <f t="shared" si="438"/>
        <v>1.5116809180167456E-2</v>
      </c>
      <c r="BR267" s="27"/>
      <c r="BS267" s="7" t="s">
        <v>183</v>
      </c>
      <c r="BT267" s="9">
        <f t="shared" si="439"/>
        <v>2.3595141917340001</v>
      </c>
      <c r="BU267" s="369">
        <f t="shared" si="440"/>
        <v>6.5245188409843525E-3</v>
      </c>
      <c r="BV267" s="9">
        <f t="shared" si="441"/>
        <v>13.559999999999999</v>
      </c>
      <c r="BW267" s="369">
        <f t="shared" si="442"/>
        <v>6.9296102860763884E-3</v>
      </c>
      <c r="CR267" s="7" t="s">
        <v>658</v>
      </c>
      <c r="CS267" s="45">
        <f>SUM(CS2:CS260)</f>
        <v>10.27</v>
      </c>
      <c r="CT267" s="45">
        <f>SUM(CT2:CT260)</f>
        <v>23.460000000000004</v>
      </c>
      <c r="CU267" s="45"/>
      <c r="CV267" s="45"/>
      <c r="CX267" s="8" t="s">
        <v>629</v>
      </c>
      <c r="CY267" s="31">
        <f>SUMIF(CW2:CW260,"Yes",CY2:CY260)</f>
        <v>18.690000000000001</v>
      </c>
      <c r="CZ267" s="49">
        <f>SUMIF(CW2:CW260,"Yes",CZ2:CZ260)</f>
        <v>56.44</v>
      </c>
    </row>
    <row r="268" spans="1:104">
      <c r="L268" s="144"/>
      <c r="AR268" s="7" t="s">
        <v>657</v>
      </c>
      <c r="AS268" s="9">
        <f t="shared" si="435"/>
        <v>3.72625138085</v>
      </c>
      <c r="AT268" s="506">
        <f t="shared" si="436"/>
        <v>1.0121781981737537E-2</v>
      </c>
      <c r="AU268" s="9">
        <f t="shared" si="437"/>
        <v>24.86</v>
      </c>
      <c r="AV268" s="369">
        <f t="shared" si="438"/>
        <v>1.3821400375835341E-2</v>
      </c>
      <c r="BR268" s="27"/>
      <c r="BS268" s="7" t="s">
        <v>657</v>
      </c>
      <c r="BT268" s="9">
        <f t="shared" si="439"/>
        <v>8.635189599416</v>
      </c>
      <c r="BU268" s="369">
        <f t="shared" si="440"/>
        <v>2.38779904076175E-2</v>
      </c>
      <c r="BV268" s="9">
        <f t="shared" si="441"/>
        <v>93.91</v>
      </c>
      <c r="BW268" s="369">
        <f t="shared" si="442"/>
        <v>4.7991128463527558E-2</v>
      </c>
      <c r="CQ268" s="7" t="s">
        <v>259</v>
      </c>
      <c r="CR268" s="7" t="s">
        <v>658</v>
      </c>
      <c r="CS268" s="28">
        <f>SUM(H2:H260)</f>
        <v>370.09513233297906</v>
      </c>
      <c r="CT268" s="28">
        <f>SUM(H2:H260)</f>
        <v>370.09513233297906</v>
      </c>
      <c r="CU268" s="28"/>
      <c r="CV268" s="28"/>
      <c r="CX268" s="8" t="s">
        <v>259</v>
      </c>
      <c r="CY268" s="47">
        <f>SUM(CY2:CY260)</f>
        <v>210.55</v>
      </c>
      <c r="CZ268" s="47">
        <f>SUM(CZ2:CZ260)</f>
        <v>404.84999999999997</v>
      </c>
    </row>
    <row r="269" spans="1:104">
      <c r="L269" s="144"/>
      <c r="AQ269" s="27" t="s">
        <v>660</v>
      </c>
      <c r="AR269" s="7" t="str">
        <f>""</f>
        <v/>
      </c>
      <c r="AS269" s="9">
        <f>SUMIF($AR$2:$AR$260,$AR269,$H$2:$H$260)</f>
        <v>1.9532984569699998</v>
      </c>
      <c r="AT269" s="4"/>
      <c r="AU269" s="9">
        <f>SUMIF($AR$2:$AR$260,$AR269,$AS$2:$AS$260)</f>
        <v>0</v>
      </c>
      <c r="BK269" s="77"/>
      <c r="BL269" s="77"/>
      <c r="BM269" s="77"/>
      <c r="BN269" s="77"/>
      <c r="BO269" s="77"/>
      <c r="BP269" s="77"/>
      <c r="BQ269" s="77"/>
      <c r="BR269" s="27" t="s">
        <v>660</v>
      </c>
      <c r="BS269" s="7" t="str">
        <f>""</f>
        <v/>
      </c>
      <c r="BT269" s="9">
        <f t="shared" si="439"/>
        <v>8.4570944576799985</v>
      </c>
      <c r="BV269" s="9">
        <f>SUMIF($BV$2:$BV$260,BS269,$BW$2:$BW$260)</f>
        <v>0</v>
      </c>
      <c r="BW269" s="7"/>
      <c r="CQ269" s="7" t="s">
        <v>626</v>
      </c>
      <c r="CS269" s="83">
        <f>CS267/CS268</f>
        <v>2.7749621928990831E-2</v>
      </c>
      <c r="CT269" s="83">
        <f>CT267/CT268</f>
        <v>6.3389107152300395E-2</v>
      </c>
      <c r="CU269" s="83"/>
      <c r="CV269" s="83"/>
      <c r="CX269" s="8" t="s">
        <v>626</v>
      </c>
      <c r="CY269" s="46">
        <f>CY267/CY268</f>
        <v>8.8767513654713845E-2</v>
      </c>
      <c r="CZ269" s="46">
        <f>CZ267/CZ268</f>
        <v>0.13940965789798693</v>
      </c>
    </row>
    <row r="270" spans="1:104">
      <c r="L270" s="144"/>
      <c r="AR270" s="7" t="s">
        <v>659</v>
      </c>
      <c r="AS270" s="28">
        <f>SUM(H2:H260)</f>
        <v>370.09513233297906</v>
      </c>
      <c r="AT270" s="4"/>
      <c r="AU270" s="28">
        <f>SUM(AS2:AS260)</f>
        <v>1798.660000000001</v>
      </c>
      <c r="BK270" s="77"/>
      <c r="BL270" s="77"/>
      <c r="BM270" s="77"/>
      <c r="BN270" s="77"/>
      <c r="BO270" s="77"/>
      <c r="BP270" s="77"/>
      <c r="BQ270" s="77"/>
      <c r="BR270" s="27"/>
      <c r="BS270" s="7" t="s">
        <v>659</v>
      </c>
      <c r="BT270" s="28">
        <f>SUM(H2:H260)</f>
        <v>370.09513233297906</v>
      </c>
      <c r="BV270" s="28">
        <f>SUM(BW2:BW260)</f>
        <v>1956.8199999999995</v>
      </c>
      <c r="BW270" s="7"/>
    </row>
    <row r="271" spans="1:104">
      <c r="L271" s="144"/>
      <c r="AS271" s="7" t="b">
        <f>AS270=SUM(AS264:AS269)</f>
        <v>1</v>
      </c>
      <c r="AT271" s="4"/>
      <c r="AU271" s="7" t="b">
        <f>AU270=SUM(AU264:AU269)</f>
        <v>1</v>
      </c>
      <c r="BK271" s="77"/>
      <c r="BL271" s="77"/>
      <c r="BM271" s="77"/>
      <c r="BN271" s="77"/>
      <c r="BO271" s="77"/>
      <c r="BP271" s="77"/>
      <c r="BQ271" s="77"/>
      <c r="BR271" s="27"/>
      <c r="BT271" s="7" t="b">
        <f>BT270=SUM(BT264:BT269)</f>
        <v>1</v>
      </c>
      <c r="BV271" s="7" t="b">
        <f>BV270=SUM(BV264:BV269)</f>
        <v>1</v>
      </c>
      <c r="BW271" s="7"/>
      <c r="CQ271" s="84" t="s">
        <v>661</v>
      </c>
      <c r="CR271" s="84" t="s">
        <v>584</v>
      </c>
      <c r="CS271" s="85">
        <f>SUMPRODUCT(CU2:CU260,AP2:AP260)*365/1000000</f>
        <v>6.19259</v>
      </c>
      <c r="CT271" s="85">
        <f>SUMPRODUCT(CV2:CV260,$BT2:$BT260)*365/1000000</f>
        <v>59.026989700000001</v>
      </c>
      <c r="CU271" s="85"/>
      <c r="CV271" s="85"/>
    </row>
    <row r="272" spans="1:104">
      <c r="L272" s="144"/>
      <c r="BK272" s="77"/>
      <c r="BL272" s="77"/>
      <c r="BM272" s="77"/>
      <c r="BN272" s="77"/>
      <c r="BO272" s="77"/>
      <c r="BP272" s="77"/>
      <c r="BQ272" s="77"/>
      <c r="BR272" s="77"/>
      <c r="BS272" s="77"/>
      <c r="CQ272" s="84" t="s">
        <v>259</v>
      </c>
      <c r="CR272" s="84" t="s">
        <v>584</v>
      </c>
      <c r="CS272" s="86">
        <f>SUMPRODUCT(H2:H260,AP2:AP260)*365/1000000</f>
        <v>1798.6848239120134</v>
      </c>
      <c r="CT272" s="86">
        <f>SUMPRODUCT(H2:H260,$BT2:$BT260)*365/1000000</f>
        <v>1956.824671889809</v>
      </c>
      <c r="CU272" s="86"/>
      <c r="CV272" s="86"/>
    </row>
    <row r="273" spans="12:100">
      <c r="L273" s="144"/>
      <c r="AP273" s="9" t="s">
        <v>584</v>
      </c>
      <c r="AQ273" s="370">
        <v>2016</v>
      </c>
      <c r="AR273" s="370">
        <v>2017</v>
      </c>
      <c r="AS273" s="370">
        <v>2018</v>
      </c>
      <c r="AT273" s="370">
        <v>2019</v>
      </c>
      <c r="AU273" s="370">
        <v>2020</v>
      </c>
      <c r="BK273" s="77"/>
      <c r="BL273" s="77"/>
      <c r="BM273" s="77"/>
      <c r="BN273" s="77"/>
      <c r="BO273" s="77"/>
      <c r="BP273" s="77"/>
      <c r="BQ273" s="77"/>
      <c r="BR273" s="77"/>
      <c r="BS273" s="77"/>
      <c r="CQ273" s="84" t="s">
        <v>626</v>
      </c>
      <c r="CR273" s="84"/>
      <c r="CS273" s="87">
        <f>CS271/CS272</f>
        <v>3.4428433028814635E-3</v>
      </c>
      <c r="CT273" s="87">
        <f>CT271/CT272</f>
        <v>3.0164679824378194E-2</v>
      </c>
      <c r="CU273" s="87"/>
      <c r="CV273" s="87"/>
    </row>
    <row r="274" spans="12:100">
      <c r="L274" s="144"/>
      <c r="AQ274" s="9">
        <f>$AU$270*(SUM('2022 counts'!L6:L304)/SUM('Cleanup TMS'!$AP$2:$AP$260))</f>
        <v>1551.6474462515264</v>
      </c>
      <c r="AR274" s="9">
        <f>$AU$270*(SUM('2022 counts'!M6:M304)/SUM('Cleanup TMS'!$AP$2:$AP$260))</f>
        <v>1592.6355844463887</v>
      </c>
      <c r="AS274" s="9">
        <f>$AU$270*(SUM('2022 counts'!N6:N304)/SUM('Cleanup TMS'!$AP$2:$AP$260))</f>
        <v>1579.2303804473731</v>
      </c>
      <c r="AT274" s="7">
        <v>1733</v>
      </c>
      <c r="AU274" s="7">
        <v>1813</v>
      </c>
      <c r="BK274" s="77"/>
      <c r="BL274" s="77"/>
      <c r="BM274" s="77"/>
      <c r="BN274" s="77"/>
      <c r="BO274" s="77"/>
      <c r="BP274" s="77"/>
      <c r="BQ274" s="77"/>
      <c r="BR274" s="77"/>
      <c r="BS274" s="77"/>
      <c r="CQ274" s="84"/>
      <c r="CR274" s="84"/>
      <c r="CS274" s="84"/>
      <c r="CT274" s="84"/>
      <c r="CU274" s="84"/>
      <c r="CV274" s="84"/>
    </row>
    <row r="275" spans="12:100">
      <c r="L275" s="144"/>
      <c r="BK275" s="77"/>
      <c r="BL275" s="77"/>
      <c r="BM275" s="77"/>
      <c r="BN275" s="77"/>
      <c r="BO275" s="77"/>
      <c r="BP275" s="77"/>
      <c r="BQ275" s="77"/>
      <c r="BR275" s="77"/>
      <c r="BS275" s="77"/>
      <c r="CQ275" s="84"/>
      <c r="CR275" s="84" t="s">
        <v>658</v>
      </c>
      <c r="CS275" s="85">
        <f>SUM(CU2:CU260)</f>
        <v>1</v>
      </c>
      <c r="CT275" s="85">
        <f>SUM(CV2:CV260)</f>
        <v>6.6400000000000006</v>
      </c>
      <c r="CU275" s="85"/>
      <c r="CV275" s="85"/>
    </row>
    <row r="276" spans="12:100">
      <c r="L276" s="144"/>
      <c r="BK276" s="77"/>
      <c r="BL276" s="77"/>
      <c r="BM276" s="77"/>
      <c r="BN276" s="77"/>
      <c r="BO276" s="77"/>
      <c r="BP276" s="77"/>
      <c r="BQ276" s="77"/>
      <c r="BR276" s="77"/>
      <c r="BS276" s="77"/>
      <c r="CQ276" s="84" t="s">
        <v>259</v>
      </c>
      <c r="CR276" s="84" t="s">
        <v>658</v>
      </c>
      <c r="CS276" s="88">
        <f>SUM(H2:H260)</f>
        <v>370.09513233297906</v>
      </c>
      <c r="CT276" s="88">
        <f>SUM(H2:H260)</f>
        <v>370.09513233297906</v>
      </c>
      <c r="CU276" s="88"/>
      <c r="CV276" s="88"/>
    </row>
    <row r="277" spans="12:100">
      <c r="L277" s="144"/>
      <c r="BK277" s="77"/>
      <c r="BL277" s="77"/>
      <c r="BM277" s="77"/>
      <c r="BN277" s="77"/>
      <c r="BO277" s="77"/>
      <c r="BP277" s="77"/>
      <c r="BQ277" s="77"/>
      <c r="BR277" s="77"/>
      <c r="BS277" s="77"/>
      <c r="CQ277" s="84" t="s">
        <v>626</v>
      </c>
      <c r="CR277" s="84"/>
      <c r="CS277" s="87">
        <f>CS275/CS276</f>
        <v>2.7020079775064102E-3</v>
      </c>
      <c r="CT277" s="87">
        <f>CT275/CT276</f>
        <v>1.7941332970642564E-2</v>
      </c>
      <c r="CU277" s="87"/>
      <c r="CV277" s="87"/>
    </row>
    <row r="278" spans="12:100">
      <c r="L278" s="144"/>
    </row>
    <row r="279" spans="12:100">
      <c r="L279" s="144"/>
    </row>
    <row r="280" spans="12:100">
      <c r="L280" s="144"/>
    </row>
    <row r="281" spans="12:100">
      <c r="L281" s="144"/>
    </row>
    <row r="282" spans="12:100">
      <c r="L282" s="144"/>
    </row>
    <row r="283" spans="12:100">
      <c r="L283" s="144"/>
    </row>
    <row r="284" spans="12:100">
      <c r="L284" s="144"/>
    </row>
    <row r="285" spans="12:100">
      <c r="L285" s="144"/>
    </row>
    <row r="286" spans="12:100">
      <c r="L286" s="144"/>
    </row>
    <row r="287" spans="12:100">
      <c r="L287" s="144"/>
    </row>
    <row r="288" spans="12:100">
      <c r="L288" s="144"/>
    </row>
    <row r="289" spans="12:12">
      <c r="L289" s="144"/>
    </row>
    <row r="290" spans="12:12">
      <c r="L290" s="144"/>
    </row>
    <row r="291" spans="12:12">
      <c r="L291" s="144"/>
    </row>
    <row r="292" spans="12:12">
      <c r="L292" s="144"/>
    </row>
    <row r="293" spans="12:12">
      <c r="L293" s="144"/>
    </row>
    <row r="294" spans="12:12">
      <c r="L294" s="144"/>
    </row>
    <row r="295" spans="12:12">
      <c r="L295" s="144"/>
    </row>
    <row r="296" spans="12:12">
      <c r="L296" s="144"/>
    </row>
    <row r="297" spans="12:12">
      <c r="L297" s="144"/>
    </row>
    <row r="298" spans="12:12">
      <c r="L298" s="144"/>
    </row>
    <row r="299" spans="12:12">
      <c r="L299" s="144"/>
    </row>
    <row r="300" spans="12:12">
      <c r="L300" s="144"/>
    </row>
    <row r="301" spans="12:12">
      <c r="L301" s="144"/>
    </row>
    <row r="302" spans="12:12">
      <c r="L302" s="144"/>
    </row>
    <row r="303" spans="12:12">
      <c r="L303" s="144"/>
    </row>
    <row r="304" spans="12:12">
      <c r="L304" s="144"/>
    </row>
    <row r="305" spans="12:12">
      <c r="L305" s="144"/>
    </row>
    <row r="306" spans="12:12">
      <c r="L306" s="144"/>
    </row>
    <row r="307" spans="12:12">
      <c r="L307" s="144"/>
    </row>
    <row r="308" spans="12:12">
      <c r="L308" s="144"/>
    </row>
    <row r="309" spans="12:12">
      <c r="L309" s="144"/>
    </row>
    <row r="310" spans="12:12">
      <c r="L310" s="144"/>
    </row>
    <row r="311" spans="12:12">
      <c r="L311" s="144"/>
    </row>
    <row r="312" spans="12:12">
      <c r="L312" s="144"/>
    </row>
    <row r="313" spans="12:12">
      <c r="L313" s="144"/>
    </row>
    <row r="314" spans="12:12">
      <c r="L314" s="144"/>
    </row>
    <row r="315" spans="12:12">
      <c r="L315" s="144"/>
    </row>
    <row r="316" spans="12:12">
      <c r="L316" s="144"/>
    </row>
    <row r="317" spans="12:12">
      <c r="L317" s="144"/>
    </row>
    <row r="318" spans="12:12">
      <c r="L318" s="144"/>
    </row>
    <row r="319" spans="12:12">
      <c r="L319" s="144"/>
    </row>
    <row r="320" spans="12:12">
      <c r="L320" s="144"/>
    </row>
    <row r="321" spans="12:12">
      <c r="L321" s="144"/>
    </row>
    <row r="322" spans="12:12">
      <c r="L322" s="144"/>
    </row>
    <row r="323" spans="12:12">
      <c r="L323" s="144"/>
    </row>
    <row r="401" spans="63:71">
      <c r="BK401" s="4"/>
      <c r="BL401" s="4"/>
      <c r="BM401" s="4"/>
      <c r="BN401" s="4"/>
      <c r="BO401" s="4"/>
      <c r="BP401" s="4"/>
      <c r="BQ401" s="4"/>
      <c r="BR401" s="4"/>
      <c r="BS401" s="4"/>
    </row>
    <row r="402" spans="63:71">
      <c r="BK402" s="4"/>
      <c r="BL402" s="4"/>
      <c r="BM402" s="4"/>
      <c r="BN402" s="4"/>
      <c r="BO402" s="4"/>
      <c r="BP402" s="4"/>
      <c r="BQ402" s="4"/>
      <c r="BR402" s="4"/>
      <c r="BS402" s="4"/>
    </row>
    <row r="403" spans="63:71">
      <c r="BK403" s="4"/>
      <c r="BL403" s="4"/>
      <c r="BM403" s="4"/>
      <c r="BN403" s="4"/>
      <c r="BO403" s="4"/>
      <c r="BP403" s="4"/>
      <c r="BQ403" s="4"/>
      <c r="BR403" s="4"/>
      <c r="BS403" s="4"/>
    </row>
    <row r="404" spans="63:71">
      <c r="BK404" s="4"/>
      <c r="BL404" s="4"/>
      <c r="BM404" s="4"/>
      <c r="BN404" s="4"/>
      <c r="BO404" s="4"/>
      <c r="BP404" s="4"/>
      <c r="BQ404" s="4"/>
      <c r="BR404" s="4"/>
      <c r="BS404" s="4"/>
    </row>
    <row r="405" spans="63:71">
      <c r="BK405" s="4"/>
      <c r="BL405" s="4"/>
      <c r="BM405" s="4"/>
      <c r="BN405" s="4"/>
      <c r="BO405" s="4"/>
      <c r="BP405" s="4"/>
      <c r="BQ405" s="4"/>
      <c r="BR405" s="4"/>
      <c r="BS405" s="4"/>
    </row>
    <row r="406" spans="63:71">
      <c r="BK406" s="4"/>
      <c r="BL406" s="4"/>
      <c r="BM406" s="4"/>
      <c r="BN406" s="4"/>
      <c r="BO406" s="4"/>
      <c r="BP406" s="4"/>
      <c r="BQ406" s="4"/>
      <c r="BR406" s="4"/>
      <c r="BS406" s="4"/>
    </row>
    <row r="407" spans="63:71">
      <c r="BK407" s="4"/>
      <c r="BL407" s="4"/>
      <c r="BM407" s="4"/>
      <c r="BN407" s="4"/>
      <c r="BO407" s="4"/>
      <c r="BP407" s="4"/>
      <c r="BQ407" s="4"/>
      <c r="BR407" s="4"/>
      <c r="BS407" s="4"/>
    </row>
    <row r="408" spans="63:71">
      <c r="BK408" s="4"/>
      <c r="BL408" s="4"/>
      <c r="BM408" s="4"/>
      <c r="BN408" s="4"/>
      <c r="BO408" s="4"/>
      <c r="BP408" s="4"/>
      <c r="BQ408" s="4"/>
      <c r="BR408" s="4"/>
      <c r="BS408" s="4"/>
    </row>
    <row r="409" spans="63:71">
      <c r="BK409" s="4"/>
      <c r="BL409" s="4"/>
      <c r="BM409" s="4"/>
      <c r="BN409" s="4"/>
      <c r="BO409" s="4"/>
      <c r="BP409" s="4"/>
      <c r="BQ409" s="4"/>
      <c r="BR409" s="4"/>
      <c r="BS409" s="4"/>
    </row>
    <row r="410" spans="63:71">
      <c r="BK410" s="4"/>
      <c r="BL410" s="4"/>
      <c r="BM410" s="4"/>
      <c r="BN410" s="4"/>
      <c r="BO410" s="4"/>
      <c r="BP410" s="4"/>
      <c r="BQ410" s="4"/>
      <c r="BR410" s="4"/>
      <c r="BS410" s="4"/>
    </row>
    <row r="411" spans="63:71">
      <c r="BK411" s="4"/>
      <c r="BL411" s="4"/>
      <c r="BM411" s="4"/>
      <c r="BN411" s="4"/>
      <c r="BO411" s="4"/>
      <c r="BP411" s="4"/>
      <c r="BQ411" s="4"/>
      <c r="BR411" s="4"/>
      <c r="BS411" s="4"/>
    </row>
    <row r="412" spans="63:71">
      <c r="BK412" s="4"/>
      <c r="BL412" s="4"/>
      <c r="BM412" s="4"/>
      <c r="BN412" s="4"/>
      <c r="BO412" s="4"/>
      <c r="BP412" s="4"/>
      <c r="BQ412" s="4"/>
      <c r="BR412" s="4"/>
      <c r="BS412" s="4"/>
    </row>
    <row r="413" spans="63:71">
      <c r="BK413" s="4"/>
      <c r="BL413" s="4"/>
      <c r="BM413" s="4"/>
      <c r="BN413" s="4"/>
      <c r="BO413" s="4"/>
      <c r="BP413" s="4"/>
      <c r="BQ413" s="4"/>
      <c r="BR413" s="4"/>
      <c r="BS413" s="4"/>
    </row>
    <row r="414" spans="63:71">
      <c r="BK414" s="4"/>
      <c r="BL414" s="4"/>
      <c r="BM414" s="4"/>
      <c r="BN414" s="4"/>
      <c r="BO414" s="4"/>
      <c r="BP414" s="4"/>
      <c r="BQ414" s="4"/>
      <c r="BR414" s="4"/>
      <c r="BS414" s="4"/>
    </row>
    <row r="415" spans="63:71">
      <c r="BK415" s="4"/>
      <c r="BL415" s="4"/>
      <c r="BM415" s="4"/>
      <c r="BN415" s="4"/>
      <c r="BO415" s="4"/>
      <c r="BP415" s="4"/>
      <c r="BQ415" s="4"/>
      <c r="BR415" s="4"/>
      <c r="BS415" s="4"/>
    </row>
    <row r="416" spans="63:71">
      <c r="BK416" s="4"/>
      <c r="BL416" s="4"/>
      <c r="BM416" s="4"/>
      <c r="BN416" s="4"/>
      <c r="BO416" s="4"/>
      <c r="BP416" s="4"/>
      <c r="BQ416" s="4"/>
      <c r="BR416" s="4"/>
      <c r="BS416" s="4"/>
    </row>
    <row r="417" spans="63:71">
      <c r="BK417" s="4"/>
      <c r="BL417" s="4"/>
      <c r="BM417" s="4"/>
      <c r="BN417" s="4"/>
      <c r="BO417" s="4"/>
      <c r="BP417" s="4"/>
      <c r="BQ417" s="4"/>
      <c r="BR417" s="4"/>
      <c r="BS417" s="4"/>
    </row>
    <row r="418" spans="63:71">
      <c r="BK418" s="4"/>
      <c r="BL418" s="4"/>
      <c r="BM418" s="4"/>
      <c r="BN418" s="4"/>
      <c r="BO418" s="4"/>
      <c r="BP418" s="4"/>
      <c r="BQ418" s="4"/>
      <c r="BR418" s="4"/>
      <c r="BS418" s="4"/>
    </row>
    <row r="419" spans="63:71">
      <c r="BK419" s="4"/>
      <c r="BL419" s="4"/>
      <c r="BM419" s="4"/>
      <c r="BN419" s="4"/>
      <c r="BO419" s="4"/>
      <c r="BP419" s="4"/>
      <c r="BQ419" s="4"/>
      <c r="BR419" s="4"/>
      <c r="BS419" s="4"/>
    </row>
    <row r="420" spans="63:71">
      <c r="BK420" s="4"/>
      <c r="BL420" s="4"/>
      <c r="BM420" s="4"/>
      <c r="BN420" s="4"/>
      <c r="BO420" s="4"/>
      <c r="BP420" s="4"/>
      <c r="BQ420" s="4"/>
      <c r="BR420" s="4"/>
      <c r="BS420" s="4"/>
    </row>
    <row r="421" spans="63:71">
      <c r="BK421" s="4"/>
      <c r="BL421" s="4"/>
      <c r="BM421" s="4"/>
      <c r="BN421" s="4"/>
      <c r="BO421" s="4"/>
      <c r="BP421" s="4"/>
      <c r="BQ421" s="4"/>
      <c r="BR421" s="4"/>
      <c r="BS421" s="4"/>
    </row>
    <row r="422" spans="63:71">
      <c r="BK422" s="4"/>
      <c r="BL422" s="4"/>
      <c r="BM422" s="4"/>
      <c r="BN422" s="4"/>
      <c r="BO422" s="4"/>
      <c r="BP422" s="4"/>
      <c r="BQ422" s="4"/>
      <c r="BR422" s="4"/>
      <c r="BS422" s="4"/>
    </row>
    <row r="423" spans="63:71">
      <c r="BK423" s="4"/>
      <c r="BL423" s="4"/>
      <c r="BM423" s="4"/>
      <c r="BN423" s="4"/>
      <c r="BO423" s="4"/>
      <c r="BP423" s="4"/>
      <c r="BQ423" s="4"/>
      <c r="BR423" s="4"/>
      <c r="BS423" s="4"/>
    </row>
    <row r="424" spans="63:71">
      <c r="BK424" s="4"/>
      <c r="BL424" s="4"/>
      <c r="BM424" s="4"/>
      <c r="BN424" s="4"/>
      <c r="BO424" s="4"/>
      <c r="BP424" s="4"/>
      <c r="BQ424" s="4"/>
      <c r="BR424" s="4"/>
      <c r="BS424" s="4"/>
    </row>
    <row r="425" spans="63:71">
      <c r="BK425" s="4"/>
      <c r="BL425" s="4"/>
      <c r="BM425" s="4"/>
      <c r="BN425" s="4"/>
      <c r="BO425" s="4"/>
      <c r="BP425" s="4"/>
      <c r="BQ425" s="4"/>
      <c r="BR425" s="4"/>
      <c r="BS425" s="4"/>
    </row>
    <row r="426" spans="63:71">
      <c r="BK426" s="4"/>
      <c r="BL426" s="4"/>
      <c r="BM426" s="4"/>
      <c r="BN426" s="4"/>
      <c r="BO426" s="4"/>
      <c r="BP426" s="4"/>
      <c r="BQ426" s="4"/>
      <c r="BR426" s="4"/>
      <c r="BS426" s="4"/>
    </row>
    <row r="427" spans="63:71">
      <c r="BK427" s="4"/>
      <c r="BL427" s="4"/>
      <c r="BM427" s="4"/>
      <c r="BN427" s="4"/>
      <c r="BO427" s="4"/>
      <c r="BP427" s="4"/>
      <c r="BQ427" s="4"/>
      <c r="BR427" s="4"/>
      <c r="BS427" s="4"/>
    </row>
    <row r="428" spans="63:71">
      <c r="BK428" s="4"/>
      <c r="BL428" s="4"/>
      <c r="BM428" s="4"/>
      <c r="BN428" s="4"/>
      <c r="BO428" s="4"/>
      <c r="BP428" s="4"/>
      <c r="BQ428" s="4"/>
      <c r="BR428" s="4"/>
      <c r="BS428" s="4"/>
    </row>
    <row r="429" spans="63:71">
      <c r="BK429" s="4"/>
      <c r="BL429" s="4"/>
      <c r="BM429" s="4"/>
      <c r="BN429" s="4"/>
      <c r="BO429" s="4"/>
      <c r="BP429" s="4"/>
      <c r="BQ429" s="4"/>
      <c r="BR429" s="4"/>
      <c r="BS429" s="4"/>
    </row>
    <row r="430" spans="63:71">
      <c r="BK430" s="4"/>
      <c r="BL430" s="4"/>
      <c r="BM430" s="4"/>
      <c r="BN430" s="4"/>
      <c r="BO430" s="4"/>
      <c r="BP430" s="4"/>
      <c r="BQ430" s="4"/>
      <c r="BR430" s="4"/>
      <c r="BS430" s="4"/>
    </row>
    <row r="431" spans="63:71">
      <c r="BK431" s="4"/>
      <c r="BL431" s="4"/>
      <c r="BM431" s="4"/>
      <c r="BN431" s="4"/>
      <c r="BO431" s="4"/>
      <c r="BP431" s="4"/>
      <c r="BQ431" s="4"/>
      <c r="BR431" s="4"/>
      <c r="BS431" s="4"/>
    </row>
    <row r="432" spans="63:71">
      <c r="BK432" s="4"/>
      <c r="BL432" s="4"/>
      <c r="BM432" s="4"/>
      <c r="BN432" s="4"/>
      <c r="BO432" s="4"/>
      <c r="BP432" s="4"/>
      <c r="BQ432" s="4"/>
      <c r="BR432" s="4"/>
      <c r="BS432" s="4"/>
    </row>
    <row r="433" spans="63:71">
      <c r="BK433" s="4"/>
      <c r="BL433" s="4"/>
      <c r="BM433" s="4"/>
      <c r="BN433" s="4"/>
      <c r="BO433" s="4"/>
      <c r="BP433" s="4"/>
      <c r="BQ433" s="4"/>
      <c r="BR433" s="4"/>
      <c r="BS433" s="4"/>
    </row>
    <row r="434" spans="63:71">
      <c r="BK434" s="4"/>
      <c r="BL434" s="4"/>
      <c r="BM434" s="4"/>
      <c r="BN434" s="4"/>
      <c r="BO434" s="4"/>
      <c r="BP434" s="4"/>
      <c r="BQ434" s="4"/>
      <c r="BR434" s="4"/>
      <c r="BS434" s="4"/>
    </row>
    <row r="435" spans="63:71">
      <c r="BK435" s="4"/>
      <c r="BL435" s="4"/>
      <c r="BM435" s="4"/>
      <c r="BN435" s="4"/>
      <c r="BO435" s="4"/>
      <c r="BP435" s="4"/>
      <c r="BQ435" s="4"/>
      <c r="BR435" s="4"/>
      <c r="BS435" s="4"/>
    </row>
    <row r="436" spans="63:71">
      <c r="BK436" s="4"/>
      <c r="BL436" s="4"/>
      <c r="BM436" s="4"/>
      <c r="BN436" s="4"/>
      <c r="BO436" s="4"/>
      <c r="BP436" s="4"/>
      <c r="BQ436" s="4"/>
      <c r="BR436" s="4"/>
      <c r="BS436" s="4"/>
    </row>
    <row r="437" spans="63:71">
      <c r="BK437" s="4"/>
      <c r="BL437" s="4"/>
      <c r="BM437" s="4"/>
      <c r="BN437" s="4"/>
      <c r="BO437" s="4"/>
      <c r="BP437" s="4"/>
      <c r="BQ437" s="4"/>
      <c r="BR437" s="4"/>
      <c r="BS437" s="4"/>
    </row>
    <row r="438" spans="63:71">
      <c r="BK438" s="4"/>
      <c r="BL438" s="4"/>
      <c r="BM438" s="4"/>
      <c r="BN438" s="4"/>
      <c r="BO438" s="4"/>
      <c r="BP438" s="4"/>
      <c r="BQ438" s="4"/>
      <c r="BR438" s="4"/>
      <c r="BS438" s="4"/>
    </row>
    <row r="439" spans="63:71">
      <c r="BK439" s="4"/>
      <c r="BL439" s="4"/>
      <c r="BM439" s="4"/>
      <c r="BN439" s="4"/>
      <c r="BO439" s="4"/>
      <c r="BP439" s="4"/>
      <c r="BQ439" s="4"/>
      <c r="BR439" s="4"/>
      <c r="BS439" s="4"/>
    </row>
    <row r="440" spans="63:71">
      <c r="BK440" s="4"/>
      <c r="BL440" s="4"/>
      <c r="BM440" s="4"/>
      <c r="BN440" s="4"/>
      <c r="BO440" s="4"/>
      <c r="BP440" s="4"/>
      <c r="BQ440" s="4"/>
      <c r="BR440" s="4"/>
      <c r="BS440" s="4"/>
    </row>
    <row r="441" spans="63:71">
      <c r="BK441" s="4"/>
      <c r="BL441" s="4"/>
      <c r="BM441" s="4"/>
      <c r="BN441" s="4"/>
      <c r="BO441" s="4"/>
      <c r="BP441" s="4"/>
      <c r="BQ441" s="4"/>
      <c r="BR441" s="4"/>
      <c r="BS441" s="4"/>
    </row>
    <row r="442" spans="63:71">
      <c r="BK442" s="4"/>
      <c r="BL442" s="4"/>
      <c r="BM442" s="4"/>
      <c r="BN442" s="4"/>
      <c r="BO442" s="4"/>
      <c r="BP442" s="4"/>
      <c r="BQ442" s="4"/>
      <c r="BR442" s="4"/>
      <c r="BS442" s="4"/>
    </row>
    <row r="443" spans="63:71">
      <c r="BK443" s="4"/>
      <c r="BL443" s="4"/>
      <c r="BM443" s="4"/>
      <c r="BN443" s="4"/>
      <c r="BO443" s="4"/>
      <c r="BP443" s="4"/>
      <c r="BQ443" s="4"/>
      <c r="BR443" s="4"/>
      <c r="BS443" s="4"/>
    </row>
    <row r="444" spans="63:71">
      <c r="BK444" s="4"/>
      <c r="BL444" s="4"/>
      <c r="BM444" s="4"/>
      <c r="BN444" s="4"/>
      <c r="BO444" s="4"/>
      <c r="BP444" s="4"/>
      <c r="BQ444" s="4"/>
      <c r="BR444" s="4"/>
      <c r="BS444" s="4"/>
    </row>
    <row r="445" spans="63:71">
      <c r="BK445" s="4"/>
      <c r="BL445" s="4"/>
      <c r="BM445" s="4"/>
      <c r="BN445" s="4"/>
      <c r="BO445" s="4"/>
      <c r="BP445" s="4"/>
      <c r="BQ445" s="4"/>
      <c r="BR445" s="4"/>
      <c r="BS445" s="4"/>
    </row>
    <row r="446" spans="63:71">
      <c r="BK446" s="4"/>
      <c r="BL446" s="4"/>
      <c r="BM446" s="4"/>
      <c r="BN446" s="4"/>
      <c r="BO446" s="4"/>
      <c r="BP446" s="4"/>
      <c r="BQ446" s="4"/>
      <c r="BR446" s="4"/>
      <c r="BS446" s="4"/>
    </row>
    <row r="447" spans="63:71">
      <c r="BK447" s="4"/>
      <c r="BL447" s="4"/>
      <c r="BM447" s="4"/>
      <c r="BN447" s="4"/>
      <c r="BO447" s="4"/>
      <c r="BP447" s="4"/>
      <c r="BQ447" s="4"/>
      <c r="BR447" s="4"/>
      <c r="BS447" s="4"/>
    </row>
    <row r="448" spans="63:71">
      <c r="BK448" s="4"/>
      <c r="BL448" s="4"/>
      <c r="BM448" s="4"/>
      <c r="BN448" s="4"/>
      <c r="BO448" s="4"/>
      <c r="BP448" s="4"/>
      <c r="BQ448" s="4"/>
      <c r="BR448" s="4"/>
      <c r="BS448" s="4"/>
    </row>
    <row r="449" spans="63:71">
      <c r="BK449" s="4"/>
      <c r="BL449" s="4"/>
      <c r="BM449" s="4"/>
      <c r="BN449" s="4"/>
      <c r="BO449" s="4"/>
      <c r="BP449" s="4"/>
      <c r="BQ449" s="4"/>
      <c r="BR449" s="4"/>
      <c r="BS449" s="4"/>
    </row>
    <row r="450" spans="63:71">
      <c r="BK450" s="4"/>
      <c r="BL450" s="4"/>
      <c r="BM450" s="4"/>
      <c r="BN450" s="4"/>
      <c r="BO450" s="4"/>
      <c r="BP450" s="4"/>
      <c r="BQ450" s="4"/>
      <c r="BR450" s="4"/>
      <c r="BS450" s="4"/>
    </row>
    <row r="451" spans="63:71">
      <c r="BK451" s="4"/>
      <c r="BL451" s="4"/>
      <c r="BM451" s="4"/>
      <c r="BN451" s="4"/>
      <c r="BO451" s="4"/>
      <c r="BP451" s="4"/>
      <c r="BQ451" s="4"/>
      <c r="BR451" s="4"/>
      <c r="BS451" s="4"/>
    </row>
    <row r="452" spans="63:71">
      <c r="BK452" s="4"/>
      <c r="BL452" s="4"/>
      <c r="BM452" s="4"/>
      <c r="BN452" s="4"/>
      <c r="BO452" s="4"/>
      <c r="BP452" s="4"/>
      <c r="BQ452" s="4"/>
      <c r="BR452" s="4"/>
      <c r="BS452" s="4"/>
    </row>
    <row r="453" spans="63:71">
      <c r="BK453" s="4"/>
      <c r="BL453" s="4"/>
      <c r="BM453" s="4"/>
      <c r="BN453" s="4"/>
      <c r="BO453" s="4"/>
      <c r="BP453" s="4"/>
      <c r="BQ453" s="4"/>
      <c r="BR453" s="4"/>
      <c r="BS453" s="4"/>
    </row>
    <row r="454" spans="63:71">
      <c r="BK454" s="4"/>
      <c r="BL454" s="4"/>
      <c r="BM454" s="4"/>
      <c r="BN454" s="4"/>
      <c r="BO454" s="4"/>
      <c r="BP454" s="4"/>
      <c r="BQ454" s="4"/>
      <c r="BR454" s="4"/>
      <c r="BS454" s="4"/>
    </row>
    <row r="455" spans="63:71">
      <c r="BK455" s="4"/>
      <c r="BL455" s="4"/>
      <c r="BM455" s="4"/>
      <c r="BN455" s="4"/>
      <c r="BO455" s="4"/>
      <c r="BP455" s="4"/>
      <c r="BQ455" s="4"/>
      <c r="BR455" s="4"/>
      <c r="BS455" s="4"/>
    </row>
    <row r="456" spans="63:71">
      <c r="BK456" s="4"/>
      <c r="BL456" s="4"/>
      <c r="BM456" s="4"/>
      <c r="BN456" s="4"/>
      <c r="BO456" s="4"/>
      <c r="BP456" s="4"/>
      <c r="BQ456" s="4"/>
      <c r="BR456" s="4"/>
      <c r="BS456" s="4"/>
    </row>
    <row r="457" spans="63:71">
      <c r="BK457" s="4"/>
      <c r="BL457" s="4"/>
      <c r="BM457" s="4"/>
      <c r="BN457" s="4"/>
      <c r="BO457" s="4"/>
      <c r="BP457" s="4"/>
      <c r="BQ457" s="4"/>
      <c r="BR457" s="4"/>
      <c r="BS457" s="4"/>
    </row>
    <row r="458" spans="63:71">
      <c r="BK458" s="4"/>
      <c r="BL458" s="4"/>
      <c r="BM458" s="4"/>
      <c r="BN458" s="4"/>
      <c r="BO458" s="4"/>
      <c r="BP458" s="4"/>
      <c r="BQ458" s="4"/>
      <c r="BR458" s="4"/>
      <c r="BS458" s="4"/>
    </row>
    <row r="459" spans="63:71">
      <c r="BK459" s="4"/>
      <c r="BL459" s="4"/>
      <c r="BM459" s="4"/>
      <c r="BN459" s="4"/>
      <c r="BO459" s="4"/>
      <c r="BP459" s="4"/>
      <c r="BQ459" s="4"/>
      <c r="BR459" s="4"/>
      <c r="BS459" s="4"/>
    </row>
    <row r="460" spans="63:71">
      <c r="BK460" s="4"/>
      <c r="BL460" s="4"/>
      <c r="BM460" s="4"/>
      <c r="BN460" s="4"/>
      <c r="BO460" s="4"/>
      <c r="BP460" s="4"/>
      <c r="BQ460" s="4"/>
      <c r="BR460" s="4"/>
      <c r="BS460" s="4"/>
    </row>
    <row r="461" spans="63:71">
      <c r="BK461" s="4"/>
      <c r="BL461" s="4"/>
      <c r="BM461" s="4"/>
      <c r="BN461" s="4"/>
      <c r="BO461" s="4"/>
      <c r="BP461" s="4"/>
      <c r="BQ461" s="4"/>
      <c r="BR461" s="4"/>
      <c r="BS461" s="4"/>
    </row>
    <row r="462" spans="63:71">
      <c r="BK462" s="4"/>
      <c r="BL462" s="4"/>
      <c r="BM462" s="4"/>
      <c r="BN462" s="4"/>
      <c r="BO462" s="4"/>
      <c r="BP462" s="4"/>
      <c r="BQ462" s="4"/>
      <c r="BR462" s="4"/>
      <c r="BS462" s="4"/>
    </row>
    <row r="463" spans="63:71">
      <c r="BK463" s="4"/>
      <c r="BL463" s="4"/>
      <c r="BM463" s="4"/>
      <c r="BN463" s="4"/>
      <c r="BO463" s="4"/>
      <c r="BP463" s="4"/>
      <c r="BQ463" s="4"/>
      <c r="BR463" s="4"/>
      <c r="BS463" s="4"/>
    </row>
    <row r="464" spans="63:71">
      <c r="BK464" s="4"/>
      <c r="BL464" s="4"/>
      <c r="BM464" s="4"/>
      <c r="BN464" s="4"/>
      <c r="BO464" s="4"/>
      <c r="BP464" s="4"/>
      <c r="BQ464" s="4"/>
      <c r="BR464" s="4"/>
      <c r="BS464" s="4"/>
    </row>
    <row r="465" spans="63:71">
      <c r="BK465" s="4"/>
      <c r="BL465" s="4"/>
      <c r="BM465" s="4"/>
      <c r="BN465" s="4"/>
      <c r="BO465" s="4"/>
      <c r="BP465" s="4"/>
      <c r="BQ465" s="4"/>
      <c r="BR465" s="4"/>
      <c r="BS465" s="4"/>
    </row>
    <row r="466" spans="63:71">
      <c r="BK466" s="4"/>
      <c r="BL466" s="4"/>
      <c r="BM466" s="4"/>
      <c r="BN466" s="4"/>
      <c r="BO466" s="4"/>
      <c r="BP466" s="4"/>
      <c r="BQ466" s="4"/>
      <c r="BR466" s="4"/>
      <c r="BS466" s="4"/>
    </row>
    <row r="467" spans="63:71">
      <c r="BK467" s="4"/>
      <c r="BL467" s="4"/>
      <c r="BM467" s="4"/>
      <c r="BN467" s="4"/>
      <c r="BO467" s="4"/>
      <c r="BP467" s="4"/>
      <c r="BQ467" s="4"/>
      <c r="BR467" s="4"/>
      <c r="BS467" s="4"/>
    </row>
    <row r="468" spans="63:71">
      <c r="BK468" s="4"/>
      <c r="BL468" s="4"/>
      <c r="BM468" s="4"/>
      <c r="BN468" s="4"/>
      <c r="BO468" s="4"/>
      <c r="BP468" s="4"/>
      <c r="BQ468" s="4"/>
      <c r="BR468" s="4"/>
      <c r="BS468" s="4"/>
    </row>
    <row r="469" spans="63:71">
      <c r="BK469" s="4"/>
      <c r="BL469" s="4"/>
      <c r="BM469" s="4"/>
      <c r="BN469" s="4"/>
      <c r="BO469" s="4"/>
      <c r="BP469" s="4"/>
      <c r="BQ469" s="4"/>
      <c r="BR469" s="4"/>
      <c r="BS469" s="4"/>
    </row>
    <row r="470" spans="63:71">
      <c r="BK470" s="4"/>
      <c r="BL470" s="4"/>
      <c r="BM470" s="4"/>
      <c r="BN470" s="4"/>
      <c r="BO470" s="4"/>
      <c r="BP470" s="4"/>
      <c r="BQ470" s="4"/>
      <c r="BR470" s="4"/>
      <c r="BS470" s="4"/>
    </row>
    <row r="471" spans="63:71">
      <c r="BK471" s="4"/>
      <c r="BL471" s="4"/>
      <c r="BM471" s="4"/>
      <c r="BN471" s="4"/>
      <c r="BO471" s="4"/>
      <c r="BP471" s="4"/>
      <c r="BQ471" s="4"/>
      <c r="BR471" s="4"/>
      <c r="BS471" s="4"/>
    </row>
    <row r="472" spans="63:71">
      <c r="BK472" s="4"/>
      <c r="BL472" s="4"/>
      <c r="BM472" s="4"/>
      <c r="BN472" s="4"/>
      <c r="BO472" s="4"/>
      <c r="BP472" s="4"/>
      <c r="BQ472" s="4"/>
      <c r="BR472" s="4"/>
      <c r="BS472" s="4"/>
    </row>
    <row r="473" spans="63:71">
      <c r="BK473" s="4"/>
      <c r="BL473" s="4"/>
      <c r="BM473" s="4"/>
      <c r="BN473" s="4"/>
      <c r="BO473" s="4"/>
      <c r="BP473" s="4"/>
      <c r="BQ473" s="4"/>
      <c r="BR473" s="4"/>
      <c r="BS473" s="4"/>
    </row>
    <row r="474" spans="63:71">
      <c r="BK474" s="4"/>
      <c r="BL474" s="4"/>
      <c r="BM474" s="4"/>
      <c r="BN474" s="4"/>
      <c r="BO474" s="4"/>
      <c r="BP474" s="4"/>
      <c r="BQ474" s="4"/>
      <c r="BR474" s="4"/>
      <c r="BS474" s="4"/>
    </row>
    <row r="475" spans="63:71">
      <c r="BK475" s="4"/>
      <c r="BL475" s="4"/>
      <c r="BM475" s="4"/>
      <c r="BN475" s="4"/>
      <c r="BO475" s="4"/>
      <c r="BP475" s="4"/>
      <c r="BQ475" s="4"/>
      <c r="BR475" s="4"/>
      <c r="BS475" s="4"/>
    </row>
    <row r="476" spans="63:71">
      <c r="BK476" s="4"/>
      <c r="BL476" s="4"/>
      <c r="BM476" s="4"/>
      <c r="BN476" s="4"/>
      <c r="BO476" s="4"/>
      <c r="BP476" s="4"/>
      <c r="BQ476" s="4"/>
      <c r="BR476" s="4"/>
      <c r="BS476" s="4"/>
    </row>
    <row r="477" spans="63:71">
      <c r="BK477" s="4"/>
      <c r="BL477" s="4"/>
      <c r="BM477" s="4"/>
      <c r="BN477" s="4"/>
      <c r="BO477" s="4"/>
      <c r="BP477" s="4"/>
      <c r="BQ477" s="4"/>
      <c r="BR477" s="4"/>
      <c r="BS477" s="4"/>
    </row>
    <row r="478" spans="63:71">
      <c r="BK478" s="4"/>
      <c r="BL478" s="4"/>
      <c r="BM478" s="4"/>
      <c r="BN478" s="4"/>
      <c r="BO478" s="4"/>
      <c r="BP478" s="4"/>
      <c r="BQ478" s="4"/>
      <c r="BR478" s="4"/>
      <c r="BS478" s="4"/>
    </row>
    <row r="479" spans="63:71">
      <c r="BK479" s="4"/>
      <c r="BL479" s="4"/>
      <c r="BM479" s="4"/>
      <c r="BN479" s="4"/>
      <c r="BO479" s="4"/>
      <c r="BP479" s="4"/>
      <c r="BQ479" s="4"/>
      <c r="BR479" s="4"/>
      <c r="BS479" s="4"/>
    </row>
    <row r="480" spans="63:71">
      <c r="BK480" s="4"/>
      <c r="BL480" s="4"/>
      <c r="BM480" s="4"/>
      <c r="BN480" s="4"/>
      <c r="BO480" s="4"/>
      <c r="BP480" s="4"/>
      <c r="BQ480" s="4"/>
      <c r="BR480" s="4"/>
      <c r="BS480" s="4"/>
    </row>
    <row r="481" spans="63:71">
      <c r="BK481" s="4"/>
      <c r="BL481" s="4"/>
      <c r="BM481" s="4"/>
      <c r="BN481" s="4"/>
      <c r="BO481" s="4"/>
      <c r="BP481" s="4"/>
      <c r="BQ481" s="4"/>
      <c r="BR481" s="4"/>
      <c r="BS481" s="4"/>
    </row>
    <row r="482" spans="63:71">
      <c r="BK482" s="4"/>
      <c r="BL482" s="4"/>
      <c r="BM482" s="4"/>
      <c r="BN482" s="4"/>
      <c r="BO482" s="4"/>
      <c r="BP482" s="4"/>
      <c r="BQ482" s="4"/>
      <c r="BR482" s="4"/>
      <c r="BS482" s="4"/>
    </row>
    <row r="483" spans="63:71">
      <c r="BK483" s="4"/>
      <c r="BL483" s="4"/>
      <c r="BM483" s="4"/>
      <c r="BN483" s="4"/>
      <c r="BO483" s="4"/>
      <c r="BP483" s="4"/>
      <c r="BQ483" s="4"/>
      <c r="BR483" s="4"/>
      <c r="BS483" s="4"/>
    </row>
    <row r="484" spans="63:71">
      <c r="BK484" s="4"/>
      <c r="BL484" s="4"/>
      <c r="BM484" s="4"/>
      <c r="BN484" s="4"/>
      <c r="BO484" s="4"/>
      <c r="BP484" s="4"/>
      <c r="BQ484" s="4"/>
      <c r="BR484" s="4"/>
      <c r="BS484" s="4"/>
    </row>
    <row r="485" spans="63:71">
      <c r="BK485" s="4"/>
      <c r="BL485" s="4"/>
      <c r="BM485" s="4"/>
      <c r="BN485" s="4"/>
      <c r="BO485" s="4"/>
      <c r="BP485" s="4"/>
      <c r="BQ485" s="4"/>
      <c r="BR485" s="4"/>
      <c r="BS485" s="4"/>
    </row>
    <row r="486" spans="63:71">
      <c r="BK486" s="4"/>
      <c r="BL486" s="4"/>
      <c r="BM486" s="4"/>
      <c r="BN486" s="4"/>
      <c r="BO486" s="4"/>
      <c r="BP486" s="4"/>
      <c r="BQ486" s="4"/>
      <c r="BR486" s="4"/>
      <c r="BS486" s="4"/>
    </row>
    <row r="487" spans="63:71">
      <c r="BK487" s="4"/>
      <c r="BL487" s="4"/>
      <c r="BM487" s="4"/>
      <c r="BN487" s="4"/>
      <c r="BO487" s="4"/>
      <c r="BP487" s="4"/>
      <c r="BQ487" s="4"/>
      <c r="BR487" s="4"/>
      <c r="BS487" s="4"/>
    </row>
    <row r="488" spans="63:71">
      <c r="BK488" s="4"/>
      <c r="BL488" s="4"/>
      <c r="BM488" s="4"/>
      <c r="BN488" s="4"/>
      <c r="BO488" s="4"/>
      <c r="BP488" s="4"/>
      <c r="BQ488" s="4"/>
      <c r="BR488" s="4"/>
      <c r="BS488" s="4"/>
    </row>
    <row r="489" spans="63:71">
      <c r="BK489" s="4"/>
      <c r="BL489" s="4"/>
      <c r="BM489" s="4"/>
      <c r="BN489" s="4"/>
      <c r="BO489" s="4"/>
      <c r="BP489" s="4"/>
      <c r="BQ489" s="4"/>
      <c r="BR489" s="4"/>
      <c r="BS489" s="4"/>
    </row>
    <row r="490" spans="63:71">
      <c r="BK490" s="4"/>
      <c r="BL490" s="4"/>
      <c r="BM490" s="4"/>
      <c r="BN490" s="4"/>
      <c r="BO490" s="4"/>
      <c r="BP490" s="4"/>
      <c r="BQ490" s="4"/>
      <c r="BR490" s="4"/>
      <c r="BS490" s="4"/>
    </row>
    <row r="491" spans="63:71">
      <c r="BK491" s="4"/>
      <c r="BL491" s="4"/>
      <c r="BM491" s="4"/>
      <c r="BN491" s="4"/>
      <c r="BO491" s="4"/>
      <c r="BP491" s="4"/>
      <c r="BQ491" s="4"/>
      <c r="BR491" s="4"/>
      <c r="BS491" s="4"/>
    </row>
    <row r="492" spans="63:71">
      <c r="BK492" s="4"/>
      <c r="BL492" s="4"/>
      <c r="BM492" s="4"/>
      <c r="BN492" s="4"/>
      <c r="BO492" s="4"/>
      <c r="BP492" s="4"/>
      <c r="BQ492" s="4"/>
      <c r="BR492" s="4"/>
      <c r="BS492" s="4"/>
    </row>
    <row r="493" spans="63:71">
      <c r="BK493" s="4"/>
      <c r="BL493" s="4"/>
      <c r="BM493" s="4"/>
      <c r="BN493" s="4"/>
      <c r="BO493" s="4"/>
      <c r="BP493" s="4"/>
      <c r="BQ493" s="4"/>
      <c r="BR493" s="4"/>
      <c r="BS493" s="4"/>
    </row>
    <row r="494" spans="63:71">
      <c r="BK494" s="4"/>
      <c r="BL494" s="4"/>
      <c r="BM494" s="4"/>
      <c r="BN494" s="4"/>
      <c r="BO494" s="4"/>
      <c r="BP494" s="4"/>
      <c r="BQ494" s="4"/>
      <c r="BR494" s="4"/>
      <c r="BS494" s="4"/>
    </row>
    <row r="495" spans="63:71">
      <c r="BK495" s="4"/>
      <c r="BL495" s="4"/>
      <c r="BM495" s="4"/>
      <c r="BN495" s="4"/>
      <c r="BO495" s="4"/>
      <c r="BP495" s="4"/>
      <c r="BQ495" s="4"/>
      <c r="BR495" s="4"/>
      <c r="BS495" s="4"/>
    </row>
    <row r="496" spans="63:71">
      <c r="BK496" s="4"/>
      <c r="BL496" s="4"/>
      <c r="BM496" s="4"/>
      <c r="BN496" s="4"/>
      <c r="BO496" s="4"/>
      <c r="BP496" s="4"/>
      <c r="BQ496" s="4"/>
      <c r="BR496" s="4"/>
      <c r="BS496" s="4"/>
    </row>
    <row r="497" spans="63:71">
      <c r="BK497" s="4"/>
      <c r="BL497" s="4"/>
      <c r="BM497" s="4"/>
      <c r="BN497" s="4"/>
      <c r="BO497" s="4"/>
      <c r="BP497" s="4"/>
      <c r="BQ497" s="4"/>
      <c r="BR497" s="4"/>
      <c r="BS497" s="4"/>
    </row>
    <row r="498" spans="63:71">
      <c r="BK498" s="4"/>
      <c r="BL498" s="4"/>
      <c r="BM498" s="4"/>
      <c r="BN498" s="4"/>
      <c r="BO498" s="4"/>
      <c r="BP498" s="4"/>
      <c r="BQ498" s="4"/>
      <c r="BR498" s="4"/>
      <c r="BS498" s="4"/>
    </row>
    <row r="499" spans="63:71">
      <c r="BK499" s="4"/>
      <c r="BL499" s="4"/>
      <c r="BM499" s="4"/>
      <c r="BN499" s="4"/>
      <c r="BO499" s="4"/>
      <c r="BP499" s="4"/>
      <c r="BQ499" s="4"/>
      <c r="BR499" s="4"/>
      <c r="BS499" s="4"/>
    </row>
    <row r="500" spans="63:71">
      <c r="BK500" s="4"/>
      <c r="BL500" s="4"/>
      <c r="BM500" s="4"/>
      <c r="BN500" s="4"/>
      <c r="BO500" s="4"/>
      <c r="BP500" s="4"/>
      <c r="BQ500" s="4"/>
      <c r="BR500" s="4"/>
      <c r="BS500" s="4"/>
    </row>
    <row r="501" spans="63:71">
      <c r="BK501" s="4"/>
      <c r="BL501" s="4"/>
      <c r="BM501" s="4"/>
      <c r="BN501" s="4"/>
      <c r="BO501" s="4"/>
      <c r="BP501" s="4"/>
      <c r="BQ501" s="4"/>
      <c r="BR501" s="4"/>
      <c r="BS501" s="4"/>
    </row>
    <row r="502" spans="63:71">
      <c r="BK502" s="4"/>
      <c r="BL502" s="4"/>
      <c r="BM502" s="4"/>
      <c r="BN502" s="4"/>
      <c r="BO502" s="4"/>
      <c r="BP502" s="4"/>
      <c r="BQ502" s="4"/>
      <c r="BR502" s="4"/>
      <c r="BS502" s="4"/>
    </row>
    <row r="503" spans="63:71">
      <c r="BK503" s="4"/>
      <c r="BL503" s="4"/>
      <c r="BM503" s="4"/>
      <c r="BN503" s="4"/>
      <c r="BO503" s="4"/>
      <c r="BP503" s="4"/>
      <c r="BQ503" s="4"/>
      <c r="BR503" s="4"/>
      <c r="BS503" s="4"/>
    </row>
    <row r="504" spans="63:71">
      <c r="BK504" s="4"/>
      <c r="BL504" s="4"/>
      <c r="BM504" s="4"/>
      <c r="BN504" s="4"/>
      <c r="BO504" s="4"/>
      <c r="BP504" s="4"/>
      <c r="BQ504" s="4"/>
      <c r="BR504" s="4"/>
      <c r="BS504" s="4"/>
    </row>
    <row r="505" spans="63:71">
      <c r="BK505" s="4"/>
      <c r="BL505" s="4"/>
      <c r="BM505" s="4"/>
      <c r="BN505" s="4"/>
      <c r="BO505" s="4"/>
      <c r="BP505" s="4"/>
      <c r="BQ505" s="4"/>
      <c r="BR505" s="4"/>
      <c r="BS505" s="4"/>
    </row>
    <row r="506" spans="63:71">
      <c r="BK506" s="4"/>
      <c r="BL506" s="4"/>
      <c r="BM506" s="4"/>
      <c r="BN506" s="4"/>
      <c r="BO506" s="4"/>
      <c r="BP506" s="4"/>
      <c r="BQ506" s="4"/>
      <c r="BR506" s="4"/>
      <c r="BS506" s="4"/>
    </row>
    <row r="507" spans="63:71">
      <c r="BK507" s="4"/>
      <c r="BL507" s="4"/>
      <c r="BM507" s="4"/>
      <c r="BN507" s="4"/>
      <c r="BO507" s="4"/>
      <c r="BP507" s="4"/>
      <c r="BQ507" s="4"/>
      <c r="BR507" s="4"/>
      <c r="BS507" s="4"/>
    </row>
    <row r="508" spans="63:71">
      <c r="BK508" s="4"/>
      <c r="BL508" s="4"/>
      <c r="BM508" s="4"/>
      <c r="BN508" s="4"/>
      <c r="BO508" s="4"/>
      <c r="BP508" s="4"/>
      <c r="BQ508" s="4"/>
      <c r="BR508" s="4"/>
      <c r="BS508" s="4"/>
    </row>
    <row r="509" spans="63:71">
      <c r="BK509" s="4"/>
      <c r="BL509" s="4"/>
      <c r="BM509" s="4"/>
      <c r="BN509" s="4"/>
      <c r="BO509" s="4"/>
      <c r="BP509" s="4"/>
      <c r="BQ509" s="4"/>
      <c r="BR509" s="4"/>
      <c r="BS509" s="4"/>
    </row>
    <row r="510" spans="63:71">
      <c r="BK510" s="4"/>
      <c r="BL510" s="4"/>
      <c r="BM510" s="4"/>
      <c r="BN510" s="4"/>
      <c r="BO510" s="4"/>
      <c r="BP510" s="4"/>
      <c r="BQ510" s="4"/>
      <c r="BR510" s="4"/>
      <c r="BS510" s="4"/>
    </row>
    <row r="511" spans="63:71">
      <c r="BK511" s="4"/>
      <c r="BL511" s="4"/>
      <c r="BM511" s="4"/>
      <c r="BN511" s="4"/>
      <c r="BO511" s="4"/>
      <c r="BP511" s="4"/>
      <c r="BQ511" s="4"/>
      <c r="BR511" s="4"/>
      <c r="BS511" s="4"/>
    </row>
    <row r="512" spans="63:71">
      <c r="BK512" s="4"/>
      <c r="BL512" s="4"/>
      <c r="BM512" s="4"/>
      <c r="BN512" s="4"/>
      <c r="BO512" s="4"/>
      <c r="BP512" s="4"/>
      <c r="BQ512" s="4"/>
      <c r="BR512" s="4"/>
      <c r="BS512" s="4"/>
    </row>
    <row r="513" spans="63:71">
      <c r="BK513" s="4"/>
      <c r="BL513" s="4"/>
      <c r="BM513" s="4"/>
      <c r="BN513" s="4"/>
      <c r="BO513" s="4"/>
      <c r="BP513" s="4"/>
      <c r="BQ513" s="4"/>
      <c r="BR513" s="4"/>
      <c r="BS513" s="4"/>
    </row>
    <row r="514" spans="63:71">
      <c r="BK514" s="4"/>
      <c r="BL514" s="4"/>
      <c r="BM514" s="4"/>
      <c r="BN514" s="4"/>
      <c r="BO514" s="4"/>
      <c r="BP514" s="4"/>
      <c r="BQ514" s="4"/>
      <c r="BR514" s="4"/>
      <c r="BS514" s="4"/>
    </row>
    <row r="515" spans="63:71">
      <c r="BK515" s="4"/>
      <c r="BL515" s="4"/>
      <c r="BM515" s="4"/>
      <c r="BN515" s="4"/>
      <c r="BO515" s="4"/>
      <c r="BP515" s="4"/>
      <c r="BQ515" s="4"/>
      <c r="BR515" s="4"/>
      <c r="BS515" s="4"/>
    </row>
    <row r="516" spans="63:71">
      <c r="BK516" s="4"/>
      <c r="BL516" s="4"/>
      <c r="BM516" s="4"/>
      <c r="BN516" s="4"/>
      <c r="BO516" s="4"/>
      <c r="BP516" s="4"/>
      <c r="BQ516" s="4"/>
      <c r="BR516" s="4"/>
      <c r="BS516" s="4"/>
    </row>
    <row r="517" spans="63:71">
      <c r="BK517" s="4"/>
      <c r="BL517" s="4"/>
      <c r="BM517" s="4"/>
      <c r="BN517" s="4"/>
      <c r="BO517" s="4"/>
      <c r="BP517" s="4"/>
      <c r="BQ517" s="4"/>
      <c r="BR517" s="4"/>
      <c r="BS517" s="4"/>
    </row>
    <row r="518" spans="63:71">
      <c r="BK518" s="4"/>
      <c r="BL518" s="4"/>
      <c r="BM518" s="4"/>
      <c r="BN518" s="4"/>
      <c r="BO518" s="4"/>
      <c r="BP518" s="4"/>
      <c r="BQ518" s="4"/>
      <c r="BR518" s="4"/>
      <c r="BS518" s="4"/>
    </row>
    <row r="519" spans="63:71">
      <c r="BK519" s="4"/>
      <c r="BL519" s="4"/>
      <c r="BM519" s="4"/>
      <c r="BN519" s="4"/>
      <c r="BO519" s="4"/>
      <c r="BP519" s="4"/>
      <c r="BQ519" s="4"/>
      <c r="BR519" s="4"/>
      <c r="BS519" s="4"/>
    </row>
    <row r="520" spans="63:71">
      <c r="BK520" s="4"/>
      <c r="BL520" s="4"/>
      <c r="BM520" s="4"/>
      <c r="BN520" s="4"/>
      <c r="BO520" s="4"/>
      <c r="BP520" s="4"/>
      <c r="BQ520" s="4"/>
      <c r="BR520" s="4"/>
      <c r="BS520" s="4"/>
    </row>
    <row r="521" spans="63:71">
      <c r="BK521" s="4"/>
      <c r="BL521" s="4"/>
      <c r="BM521" s="4"/>
      <c r="BN521" s="4"/>
      <c r="BO521" s="4"/>
      <c r="BP521" s="4"/>
      <c r="BQ521" s="4"/>
      <c r="BR521" s="4"/>
      <c r="BS521" s="4"/>
    </row>
    <row r="522" spans="63:71">
      <c r="BK522" s="4"/>
      <c r="BL522" s="4"/>
      <c r="BM522" s="4"/>
      <c r="BN522" s="4"/>
      <c r="BO522" s="4"/>
      <c r="BP522" s="4"/>
      <c r="BQ522" s="4"/>
      <c r="BR522" s="4"/>
      <c r="BS522" s="4"/>
    </row>
    <row r="523" spans="63:71">
      <c r="BK523" s="4"/>
      <c r="BL523" s="4"/>
      <c r="BM523" s="4"/>
      <c r="BN523" s="4"/>
      <c r="BO523" s="4"/>
      <c r="BP523" s="4"/>
      <c r="BQ523" s="4"/>
      <c r="BR523" s="4"/>
      <c r="BS523" s="4"/>
    </row>
    <row r="524" spans="63:71">
      <c r="BK524" s="4"/>
      <c r="BL524" s="4"/>
      <c r="BM524" s="4"/>
      <c r="BN524" s="4"/>
      <c r="BO524" s="4"/>
      <c r="BP524" s="4"/>
      <c r="BQ524" s="4"/>
      <c r="BR524" s="4"/>
      <c r="BS524" s="4"/>
    </row>
    <row r="525" spans="63:71">
      <c r="BK525" s="4"/>
      <c r="BL525" s="4"/>
      <c r="BM525" s="4"/>
      <c r="BN525" s="4"/>
      <c r="BO525" s="4"/>
      <c r="BP525" s="4"/>
      <c r="BQ525" s="4"/>
      <c r="BR525" s="4"/>
      <c r="BS525" s="4"/>
    </row>
    <row r="526" spans="63:71">
      <c r="BK526" s="4"/>
      <c r="BL526" s="4"/>
      <c r="BM526" s="4"/>
      <c r="BN526" s="4"/>
      <c r="BO526" s="4"/>
      <c r="BP526" s="4"/>
      <c r="BQ526" s="4"/>
      <c r="BR526" s="4"/>
      <c r="BS526" s="4"/>
    </row>
    <row r="527" spans="63:71">
      <c r="BK527" s="4"/>
      <c r="BL527" s="4"/>
      <c r="BM527" s="4"/>
      <c r="BN527" s="4"/>
      <c r="BO527" s="4"/>
      <c r="BP527" s="4"/>
      <c r="BQ527" s="4"/>
      <c r="BR527" s="4"/>
      <c r="BS527" s="4"/>
    </row>
    <row r="528" spans="63:71">
      <c r="BK528" s="4"/>
      <c r="BL528" s="4"/>
      <c r="BM528" s="4"/>
      <c r="BN528" s="4"/>
      <c r="BO528" s="4"/>
      <c r="BP528" s="4"/>
      <c r="BQ528" s="4"/>
      <c r="BR528" s="4"/>
      <c r="BS528" s="4"/>
    </row>
    <row r="529" spans="63:71">
      <c r="BK529" s="4"/>
      <c r="BL529" s="4"/>
      <c r="BM529" s="4"/>
      <c r="BN529" s="4"/>
      <c r="BO529" s="4"/>
      <c r="BP529" s="4"/>
      <c r="BQ529" s="4"/>
      <c r="BR529" s="4"/>
      <c r="BS529" s="4"/>
    </row>
    <row r="530" spans="63:71">
      <c r="BK530" s="4"/>
      <c r="BL530" s="4"/>
      <c r="BM530" s="4"/>
      <c r="BN530" s="4"/>
      <c r="BO530" s="4"/>
      <c r="BP530" s="4"/>
      <c r="BQ530" s="4"/>
      <c r="BR530" s="4"/>
      <c r="BS530" s="4"/>
    </row>
    <row r="531" spans="63:71">
      <c r="BK531" s="4"/>
      <c r="BL531" s="4"/>
      <c r="BM531" s="4"/>
      <c r="BN531" s="4"/>
      <c r="BO531" s="4"/>
      <c r="BP531" s="4"/>
      <c r="BQ531" s="4"/>
      <c r="BR531" s="4"/>
      <c r="BS531" s="4"/>
    </row>
    <row r="532" spans="63:71">
      <c r="BK532" s="4"/>
      <c r="BL532" s="4"/>
      <c r="BM532" s="4"/>
      <c r="BN532" s="4"/>
      <c r="BO532" s="4"/>
      <c r="BP532" s="4"/>
      <c r="BQ532" s="4"/>
      <c r="BR532" s="4"/>
      <c r="BS532" s="4"/>
    </row>
    <row r="533" spans="63:71">
      <c r="BK533" s="4"/>
      <c r="BL533" s="4"/>
      <c r="BM533" s="4"/>
      <c r="BN533" s="4"/>
      <c r="BO533" s="4"/>
      <c r="BP533" s="4"/>
      <c r="BQ533" s="4"/>
      <c r="BR533" s="4"/>
      <c r="BS533" s="4"/>
    </row>
    <row r="534" spans="63:71">
      <c r="BK534" s="4"/>
      <c r="BL534" s="4"/>
      <c r="BM534" s="4"/>
      <c r="BN534" s="4"/>
      <c r="BO534" s="4"/>
      <c r="BP534" s="4"/>
      <c r="BQ534" s="4"/>
      <c r="BR534" s="4"/>
      <c r="BS534" s="4"/>
    </row>
    <row r="535" spans="63:71">
      <c r="BK535" s="4"/>
      <c r="BL535" s="4"/>
      <c r="BM535" s="4"/>
      <c r="BN535" s="4"/>
      <c r="BO535" s="4"/>
      <c r="BP535" s="4"/>
      <c r="BQ535" s="4"/>
      <c r="BR535" s="4"/>
      <c r="BS535" s="4"/>
    </row>
    <row r="536" spans="63:71">
      <c r="BK536" s="4"/>
      <c r="BL536" s="4"/>
      <c r="BM536" s="4"/>
      <c r="BN536" s="4"/>
      <c r="BO536" s="4"/>
      <c r="BP536" s="4"/>
      <c r="BQ536" s="4"/>
      <c r="BR536" s="4"/>
      <c r="BS536" s="4"/>
    </row>
    <row r="537" spans="63:71">
      <c r="BK537" s="4"/>
      <c r="BL537" s="4"/>
      <c r="BM537" s="4"/>
      <c r="BN537" s="4"/>
      <c r="BO537" s="4"/>
      <c r="BP537" s="4"/>
      <c r="BQ537" s="4"/>
      <c r="BR537" s="4"/>
      <c r="BS537" s="4"/>
    </row>
    <row r="538" spans="63:71">
      <c r="BK538" s="4"/>
      <c r="BL538" s="4"/>
      <c r="BM538" s="4"/>
      <c r="BN538" s="4"/>
      <c r="BO538" s="4"/>
      <c r="BP538" s="4"/>
      <c r="BQ538" s="4"/>
      <c r="BR538" s="4"/>
      <c r="BS538" s="4"/>
    </row>
    <row r="539" spans="63:71">
      <c r="BK539" s="4"/>
      <c r="BL539" s="4"/>
      <c r="BM539" s="4"/>
      <c r="BN539" s="4"/>
      <c r="BO539" s="4"/>
      <c r="BP539" s="4"/>
      <c r="BQ539" s="4"/>
      <c r="BR539" s="4"/>
      <c r="BS539" s="4"/>
    </row>
    <row r="540" spans="63:71">
      <c r="BK540" s="4"/>
      <c r="BL540" s="4"/>
      <c r="BM540" s="4"/>
      <c r="BN540" s="4"/>
      <c r="BO540" s="4"/>
      <c r="BP540" s="4"/>
      <c r="BQ540" s="4"/>
      <c r="BR540" s="4"/>
      <c r="BS540" s="4"/>
    </row>
    <row r="541" spans="63:71">
      <c r="BK541" s="4"/>
      <c r="BL541" s="4"/>
      <c r="BM541" s="4"/>
      <c r="BN541" s="4"/>
      <c r="BO541" s="4"/>
      <c r="BP541" s="4"/>
      <c r="BQ541" s="4"/>
      <c r="BR541" s="4"/>
      <c r="BS541" s="4"/>
    </row>
    <row r="542" spans="63:71">
      <c r="BK542" s="4"/>
      <c r="BL542" s="4"/>
      <c r="BM542" s="4"/>
      <c r="BN542" s="4"/>
      <c r="BO542" s="4"/>
      <c r="BP542" s="4"/>
      <c r="BQ542" s="4"/>
      <c r="BR542" s="4"/>
      <c r="BS542" s="4"/>
    </row>
    <row r="543" spans="63:71">
      <c r="BK543" s="4"/>
      <c r="BL543" s="4"/>
      <c r="BM543" s="4"/>
      <c r="BN543" s="4"/>
      <c r="BO543" s="4"/>
      <c r="BP543" s="4"/>
      <c r="BQ543" s="4"/>
      <c r="BR543" s="4"/>
      <c r="BS543" s="4"/>
    </row>
    <row r="544" spans="63:71">
      <c r="BK544" s="4"/>
      <c r="BL544" s="4"/>
      <c r="BM544" s="4"/>
      <c r="BN544" s="4"/>
      <c r="BO544" s="4"/>
      <c r="BP544" s="4"/>
      <c r="BQ544" s="4"/>
      <c r="BR544" s="4"/>
      <c r="BS544" s="4"/>
    </row>
    <row r="545" spans="63:71">
      <c r="BK545" s="4"/>
      <c r="BL545" s="4"/>
      <c r="BM545" s="4"/>
      <c r="BN545" s="4"/>
      <c r="BO545" s="4"/>
      <c r="BP545" s="4"/>
      <c r="BQ545" s="4"/>
      <c r="BR545" s="4"/>
      <c r="BS545" s="4"/>
    </row>
    <row r="546" spans="63:71">
      <c r="BK546" s="4"/>
      <c r="BL546" s="4"/>
      <c r="BM546" s="4"/>
      <c r="BN546" s="4"/>
      <c r="BO546" s="4"/>
      <c r="BP546" s="4"/>
      <c r="BQ546" s="4"/>
      <c r="BR546" s="4"/>
      <c r="BS546" s="4"/>
    </row>
    <row r="547" spans="63:71">
      <c r="BK547" s="4"/>
      <c r="BL547" s="4"/>
      <c r="BM547" s="4"/>
      <c r="BN547" s="4"/>
      <c r="BO547" s="4"/>
      <c r="BP547" s="4"/>
      <c r="BQ547" s="4"/>
      <c r="BR547" s="4"/>
      <c r="BS547" s="4"/>
    </row>
    <row r="548" spans="63:71">
      <c r="BK548" s="4"/>
      <c r="BL548" s="4"/>
      <c r="BM548" s="4"/>
      <c r="BN548" s="4"/>
      <c r="BO548" s="4"/>
      <c r="BP548" s="4"/>
      <c r="BQ548" s="4"/>
      <c r="BR548" s="4"/>
      <c r="BS548" s="4"/>
    </row>
    <row r="549" spans="63:71">
      <c r="BK549" s="4"/>
      <c r="BL549" s="4"/>
      <c r="BM549" s="4"/>
      <c r="BN549" s="4"/>
      <c r="BO549" s="4"/>
      <c r="BP549" s="4"/>
      <c r="BQ549" s="4"/>
      <c r="BR549" s="4"/>
      <c r="BS549" s="4"/>
    </row>
    <row r="550" spans="63:71">
      <c r="BK550" s="4"/>
      <c r="BL550" s="4"/>
      <c r="BM550" s="4"/>
      <c r="BN550" s="4"/>
      <c r="BO550" s="4"/>
      <c r="BP550" s="4"/>
      <c r="BQ550" s="4"/>
      <c r="BR550" s="4"/>
      <c r="BS550" s="4"/>
    </row>
    <row r="551" spans="63:71">
      <c r="BK551" s="4"/>
      <c r="BL551" s="4"/>
      <c r="BM551" s="4"/>
      <c r="BN551" s="4"/>
      <c r="BO551" s="4"/>
      <c r="BP551" s="4"/>
      <c r="BQ551" s="4"/>
      <c r="BR551" s="4"/>
      <c r="BS551" s="4"/>
    </row>
    <row r="552" spans="63:71">
      <c r="BK552" s="4"/>
      <c r="BL552" s="4"/>
      <c r="BM552" s="4"/>
      <c r="BN552" s="4"/>
      <c r="BO552" s="4"/>
      <c r="BP552" s="4"/>
      <c r="BQ552" s="4"/>
      <c r="BR552" s="4"/>
      <c r="BS552" s="4"/>
    </row>
    <row r="553" spans="63:71">
      <c r="BK553" s="4"/>
      <c r="BL553" s="4"/>
      <c r="BM553" s="4"/>
      <c r="BN553" s="4"/>
      <c r="BO553" s="4"/>
      <c r="BP553" s="4"/>
      <c r="BQ553" s="4"/>
      <c r="BR553" s="4"/>
      <c r="BS553" s="4"/>
    </row>
    <row r="554" spans="63:71">
      <c r="BK554" s="4"/>
      <c r="BL554" s="4"/>
      <c r="BM554" s="4"/>
      <c r="BN554" s="4"/>
      <c r="BO554" s="4"/>
      <c r="BP554" s="4"/>
      <c r="BQ554" s="4"/>
      <c r="BR554" s="4"/>
      <c r="BS554" s="4"/>
    </row>
    <row r="555" spans="63:71">
      <c r="BK555" s="4"/>
      <c r="BL555" s="4"/>
      <c r="BM555" s="4"/>
      <c r="BN555" s="4"/>
      <c r="BO555" s="4"/>
      <c r="BP555" s="4"/>
      <c r="BQ555" s="4"/>
      <c r="BR555" s="4"/>
      <c r="BS555" s="4"/>
    </row>
    <row r="556" spans="63:71">
      <c r="BK556" s="4"/>
      <c r="BL556" s="4"/>
      <c r="BM556" s="4"/>
      <c r="BN556" s="4"/>
      <c r="BO556" s="4"/>
      <c r="BP556" s="4"/>
      <c r="BQ556" s="4"/>
      <c r="BR556" s="4"/>
      <c r="BS556" s="4"/>
    </row>
    <row r="557" spans="63:71">
      <c r="BK557" s="4"/>
      <c r="BL557" s="4"/>
      <c r="BM557" s="4"/>
      <c r="BN557" s="4"/>
      <c r="BO557" s="4"/>
      <c r="BP557" s="4"/>
      <c r="BQ557" s="4"/>
      <c r="BR557" s="4"/>
      <c r="BS557" s="4"/>
    </row>
    <row r="558" spans="63:71">
      <c r="BK558" s="4"/>
      <c r="BL558" s="4"/>
      <c r="BM558" s="4"/>
      <c r="BN558" s="4"/>
      <c r="BO558" s="4"/>
      <c r="BP558" s="4"/>
      <c r="BQ558" s="4"/>
      <c r="BR558" s="4"/>
      <c r="BS558" s="4"/>
    </row>
    <row r="559" spans="63:71">
      <c r="BK559" s="4"/>
      <c r="BL559" s="4"/>
      <c r="BM559" s="4"/>
      <c r="BN559" s="4"/>
      <c r="BO559" s="4"/>
      <c r="BP559" s="4"/>
      <c r="BQ559" s="4"/>
      <c r="BR559" s="4"/>
      <c r="BS559" s="4"/>
    </row>
    <row r="560" spans="63:71">
      <c r="BK560" s="4"/>
      <c r="BL560" s="4"/>
      <c r="BM560" s="4"/>
      <c r="BN560" s="4"/>
      <c r="BO560" s="4"/>
      <c r="BP560" s="4"/>
      <c r="BQ560" s="4"/>
      <c r="BR560" s="4"/>
      <c r="BS560" s="4"/>
    </row>
    <row r="561" spans="63:71">
      <c r="BK561" s="4"/>
      <c r="BL561" s="4"/>
      <c r="BM561" s="4"/>
      <c r="BN561" s="4"/>
      <c r="BO561" s="4"/>
      <c r="BP561" s="4"/>
      <c r="BQ561" s="4"/>
      <c r="BR561" s="4"/>
      <c r="BS561" s="4"/>
    </row>
    <row r="562" spans="63:71">
      <c r="BK562" s="4"/>
      <c r="BL562" s="4"/>
      <c r="BM562" s="4"/>
      <c r="BN562" s="4"/>
      <c r="BO562" s="4"/>
      <c r="BP562" s="4"/>
      <c r="BQ562" s="4"/>
      <c r="BR562" s="4"/>
      <c r="BS562" s="4"/>
    </row>
    <row r="563" spans="63:71">
      <c r="BK563" s="4"/>
      <c r="BL563" s="4"/>
      <c r="BM563" s="4"/>
      <c r="BN563" s="4"/>
      <c r="BO563" s="4"/>
      <c r="BP563" s="4"/>
      <c r="BQ563" s="4"/>
      <c r="BR563" s="4"/>
      <c r="BS563" s="4"/>
    </row>
    <row r="564" spans="63:71">
      <c r="BK564" s="4"/>
      <c r="BL564" s="4"/>
      <c r="BM564" s="4"/>
      <c r="BN564" s="4"/>
      <c r="BO564" s="4"/>
      <c r="BP564" s="4"/>
      <c r="BQ564" s="4"/>
      <c r="BR564" s="4"/>
      <c r="BS564" s="4"/>
    </row>
    <row r="565" spans="63:71">
      <c r="BK565" s="4"/>
      <c r="BL565" s="4"/>
      <c r="BM565" s="4"/>
      <c r="BN565" s="4"/>
      <c r="BO565" s="4"/>
      <c r="BP565" s="4"/>
      <c r="BQ565" s="4"/>
      <c r="BR565" s="4"/>
      <c r="BS565" s="4"/>
    </row>
    <row r="566" spans="63:71">
      <c r="BK566" s="4"/>
      <c r="BL566" s="4"/>
      <c r="BM566" s="4"/>
      <c r="BN566" s="4"/>
      <c r="BO566" s="4"/>
      <c r="BP566" s="4"/>
      <c r="BQ566" s="4"/>
      <c r="BR566" s="4"/>
      <c r="BS566" s="4"/>
    </row>
    <row r="567" spans="63:71">
      <c r="BK567" s="4"/>
      <c r="BL567" s="4"/>
      <c r="BM567" s="4"/>
      <c r="BN567" s="4"/>
      <c r="BO567" s="4"/>
      <c r="BP567" s="4"/>
      <c r="BQ567" s="4"/>
      <c r="BR567" s="4"/>
      <c r="BS567" s="4"/>
    </row>
    <row r="568" spans="63:71">
      <c r="BK568" s="4"/>
      <c r="BL568" s="4"/>
      <c r="BM568" s="4"/>
      <c r="BN568" s="4"/>
      <c r="BO568" s="4"/>
      <c r="BP568" s="4"/>
      <c r="BQ568" s="4"/>
      <c r="BR568" s="4"/>
      <c r="BS568" s="4"/>
    </row>
    <row r="569" spans="63:71">
      <c r="BK569" s="4"/>
      <c r="BL569" s="4"/>
      <c r="BM569" s="4"/>
      <c r="BN569" s="4"/>
      <c r="BO569" s="4"/>
      <c r="BP569" s="4"/>
      <c r="BQ569" s="4"/>
      <c r="BR569" s="4"/>
      <c r="BS569" s="4"/>
    </row>
    <row r="570" spans="63:71">
      <c r="BK570" s="4"/>
      <c r="BL570" s="4"/>
      <c r="BM570" s="4"/>
      <c r="BN570" s="4"/>
      <c r="BO570" s="4"/>
      <c r="BP570" s="4"/>
      <c r="BQ570" s="4"/>
      <c r="BR570" s="4"/>
      <c r="BS570" s="4"/>
    </row>
    <row r="571" spans="63:71">
      <c r="BK571" s="4"/>
      <c r="BL571" s="4"/>
      <c r="BM571" s="4"/>
      <c r="BN571" s="4"/>
      <c r="BO571" s="4"/>
      <c r="BP571" s="4"/>
      <c r="BQ571" s="4"/>
      <c r="BR571" s="4"/>
      <c r="BS571" s="4"/>
    </row>
    <row r="572" spans="63:71">
      <c r="BK572" s="4"/>
      <c r="BL572" s="4"/>
      <c r="BM572" s="4"/>
      <c r="BN572" s="4"/>
      <c r="BO572" s="4"/>
      <c r="BP572" s="4"/>
      <c r="BQ572" s="4"/>
      <c r="BR572" s="4"/>
      <c r="BS572" s="4"/>
    </row>
    <row r="573" spans="63:71">
      <c r="BK573" s="4"/>
      <c r="BL573" s="4"/>
      <c r="BM573" s="4"/>
      <c r="BN573" s="4"/>
      <c r="BO573" s="4"/>
      <c r="BP573" s="4"/>
      <c r="BQ573" s="4"/>
      <c r="BR573" s="4"/>
      <c r="BS573" s="4"/>
    </row>
    <row r="574" spans="63:71">
      <c r="BK574" s="4"/>
      <c r="BL574" s="4"/>
      <c r="BM574" s="4"/>
      <c r="BN574" s="4"/>
      <c r="BO574" s="4"/>
      <c r="BP574" s="4"/>
      <c r="BQ574" s="4"/>
      <c r="BR574" s="4"/>
      <c r="BS574" s="4"/>
    </row>
    <row r="575" spans="63:71">
      <c r="BK575" s="4"/>
      <c r="BL575" s="4"/>
      <c r="BM575" s="4"/>
      <c r="BN575" s="4"/>
      <c r="BO575" s="4"/>
      <c r="BP575" s="4"/>
      <c r="BQ575" s="4"/>
      <c r="BR575" s="4"/>
      <c r="BS575" s="4"/>
    </row>
    <row r="576" spans="63:71">
      <c r="BK576" s="4"/>
      <c r="BL576" s="4"/>
      <c r="BM576" s="4"/>
      <c r="BN576" s="4"/>
      <c r="BO576" s="4"/>
      <c r="BP576" s="4"/>
      <c r="BQ576" s="4"/>
      <c r="BR576" s="4"/>
      <c r="BS576" s="4"/>
    </row>
    <row r="577" spans="63:71">
      <c r="BK577" s="4"/>
      <c r="BL577" s="4"/>
      <c r="BM577" s="4"/>
      <c r="BN577" s="4"/>
      <c r="BO577" s="4"/>
      <c r="BP577" s="4"/>
      <c r="BQ577" s="4"/>
      <c r="BR577" s="4"/>
      <c r="BS577" s="4"/>
    </row>
    <row r="578" spans="63:71">
      <c r="BK578" s="4"/>
      <c r="BL578" s="4"/>
      <c r="BM578" s="4"/>
      <c r="BN578" s="4"/>
      <c r="BO578" s="4"/>
      <c r="BP578" s="4"/>
      <c r="BQ578" s="4"/>
      <c r="BR578" s="4"/>
      <c r="BS578" s="4"/>
    </row>
    <row r="579" spans="63:71">
      <c r="BK579" s="4"/>
      <c r="BL579" s="4"/>
      <c r="BM579" s="4"/>
      <c r="BN579" s="4"/>
      <c r="BO579" s="4"/>
      <c r="BP579" s="4"/>
      <c r="BQ579" s="4"/>
      <c r="BR579" s="4"/>
      <c r="BS579" s="4"/>
    </row>
    <row r="580" spans="63:71">
      <c r="BK580" s="4"/>
      <c r="BL580" s="4"/>
      <c r="BM580" s="4"/>
      <c r="BN580" s="4"/>
      <c r="BO580" s="4"/>
      <c r="BP580" s="4"/>
      <c r="BQ580" s="4"/>
      <c r="BR580" s="4"/>
      <c r="BS580" s="4"/>
    </row>
    <row r="581" spans="63:71">
      <c r="BK581" s="4"/>
      <c r="BL581" s="4"/>
      <c r="BM581" s="4"/>
      <c r="BN581" s="4"/>
      <c r="BO581" s="4"/>
      <c r="BP581" s="4"/>
      <c r="BQ581" s="4"/>
      <c r="BR581" s="4"/>
      <c r="BS581" s="4"/>
    </row>
    <row r="582" spans="63:71">
      <c r="BK582" s="4"/>
      <c r="BL582" s="4"/>
      <c r="BM582" s="4"/>
      <c r="BN582" s="4"/>
      <c r="BO582" s="4"/>
      <c r="BP582" s="4"/>
      <c r="BQ582" s="4"/>
      <c r="BR582" s="4"/>
      <c r="BS582" s="4"/>
    </row>
    <row r="583" spans="63:71">
      <c r="BK583" s="4"/>
      <c r="BL583" s="4"/>
      <c r="BM583" s="4"/>
      <c r="BN583" s="4"/>
      <c r="BO583" s="4"/>
      <c r="BP583" s="4"/>
      <c r="BQ583" s="4"/>
      <c r="BR583" s="4"/>
      <c r="BS583" s="4"/>
    </row>
    <row r="584" spans="63:71">
      <c r="BK584" s="4"/>
      <c r="BL584" s="4"/>
      <c r="BM584" s="4"/>
      <c r="BN584" s="4"/>
      <c r="BO584" s="4"/>
      <c r="BP584" s="4"/>
      <c r="BQ584" s="4"/>
      <c r="BR584" s="4"/>
      <c r="BS584" s="4"/>
    </row>
    <row r="585" spans="63:71">
      <c r="BK585" s="4"/>
      <c r="BL585" s="4"/>
      <c r="BM585" s="4"/>
      <c r="BN585" s="4"/>
      <c r="BO585" s="4"/>
      <c r="BP585" s="4"/>
      <c r="BQ585" s="4"/>
      <c r="BR585" s="4"/>
      <c r="BS585" s="4"/>
    </row>
    <row r="586" spans="63:71">
      <c r="BK586" s="4"/>
      <c r="BL586" s="4"/>
      <c r="BM586" s="4"/>
      <c r="BN586" s="4"/>
      <c r="BO586" s="4"/>
      <c r="BP586" s="4"/>
      <c r="BQ586" s="4"/>
      <c r="BR586" s="4"/>
      <c r="BS586" s="4"/>
    </row>
    <row r="587" spans="63:71">
      <c r="BK587" s="4"/>
      <c r="BL587" s="4"/>
      <c r="BM587" s="4"/>
      <c r="BN587" s="4"/>
      <c r="BO587" s="4"/>
      <c r="BP587" s="4"/>
      <c r="BQ587" s="4"/>
      <c r="BR587" s="4"/>
      <c r="BS587" s="4"/>
    </row>
    <row r="588" spans="63:71">
      <c r="BK588" s="4"/>
      <c r="BL588" s="4"/>
      <c r="BM588" s="4"/>
      <c r="BN588" s="4"/>
      <c r="BO588" s="4"/>
      <c r="BP588" s="4"/>
      <c r="BQ588" s="4"/>
      <c r="BR588" s="4"/>
      <c r="BS588" s="4"/>
    </row>
    <row r="589" spans="63:71">
      <c r="BK589" s="4"/>
      <c r="BL589" s="4"/>
      <c r="BM589" s="4"/>
      <c r="BN589" s="4"/>
      <c r="BO589" s="4"/>
      <c r="BP589" s="4"/>
      <c r="BQ589" s="4"/>
      <c r="BR589" s="4"/>
      <c r="BS589" s="4"/>
    </row>
    <row r="590" spans="63:71">
      <c r="BK590" s="4"/>
      <c r="BL590" s="4"/>
      <c r="BM590" s="4"/>
      <c r="BN590" s="4"/>
      <c r="BO590" s="4"/>
      <c r="BP590" s="4"/>
      <c r="BQ590" s="4"/>
      <c r="BR590" s="4"/>
      <c r="BS590" s="4"/>
    </row>
    <row r="591" spans="63:71">
      <c r="BK591" s="4"/>
      <c r="BL591" s="4"/>
      <c r="BM591" s="4"/>
      <c r="BN591" s="4"/>
      <c r="BO591" s="4"/>
      <c r="BP591" s="4"/>
      <c r="BQ591" s="4"/>
      <c r="BR591" s="4"/>
      <c r="BS591" s="4"/>
    </row>
    <row r="592" spans="63:71">
      <c r="BK592" s="4"/>
      <c r="BL592" s="4"/>
      <c r="BM592" s="4"/>
      <c r="BN592" s="4"/>
      <c r="BO592" s="4"/>
      <c r="BP592" s="4"/>
      <c r="BQ592" s="4"/>
      <c r="BR592" s="4"/>
      <c r="BS592" s="4"/>
    </row>
    <row r="593" spans="63:71">
      <c r="BK593" s="4"/>
      <c r="BL593" s="4"/>
      <c r="BM593" s="4"/>
      <c r="BN593" s="4"/>
      <c r="BO593" s="4"/>
      <c r="BP593" s="4"/>
      <c r="BQ593" s="4"/>
      <c r="BR593" s="4"/>
      <c r="BS593" s="4"/>
    </row>
    <row r="594" spans="63:71">
      <c r="BK594" s="4"/>
      <c r="BL594" s="4"/>
      <c r="BM594" s="4"/>
      <c r="BN594" s="4"/>
      <c r="BO594" s="4"/>
      <c r="BP594" s="4"/>
      <c r="BQ594" s="4"/>
      <c r="BR594" s="4"/>
      <c r="BS594" s="4"/>
    </row>
    <row r="595" spans="63:71">
      <c r="BK595" s="4"/>
      <c r="BL595" s="4"/>
      <c r="BM595" s="4"/>
      <c r="BN595" s="4"/>
      <c r="BO595" s="4"/>
      <c r="BP595" s="4"/>
      <c r="BQ595" s="4"/>
      <c r="BR595" s="4"/>
      <c r="BS595" s="4"/>
    </row>
    <row r="596" spans="63:71">
      <c r="BK596" s="4"/>
      <c r="BL596" s="4"/>
      <c r="BM596" s="4"/>
      <c r="BN596" s="4"/>
      <c r="BO596" s="4"/>
      <c r="BP596" s="4"/>
      <c r="BQ596" s="4"/>
      <c r="BR596" s="4"/>
      <c r="BS596" s="4"/>
    </row>
    <row r="597" spans="63:71">
      <c r="BK597" s="4"/>
      <c r="BL597" s="4"/>
      <c r="BM597" s="4"/>
      <c r="BN597" s="4"/>
      <c r="BO597" s="4"/>
      <c r="BP597" s="4"/>
      <c r="BQ597" s="4"/>
      <c r="BR597" s="4"/>
      <c r="BS597" s="4"/>
    </row>
    <row r="598" spans="63:71">
      <c r="BK598" s="4"/>
      <c r="BL598" s="4"/>
      <c r="BM598" s="4"/>
      <c r="BN598" s="4"/>
      <c r="BO598" s="4"/>
      <c r="BP598" s="4"/>
      <c r="BQ598" s="4"/>
      <c r="BR598" s="4"/>
      <c r="BS598" s="4"/>
    </row>
    <row r="599" spans="63:71">
      <c r="BK599" s="4"/>
      <c r="BL599" s="4"/>
      <c r="BM599" s="4"/>
      <c r="BN599" s="4"/>
      <c r="BO599" s="4"/>
      <c r="BP599" s="4"/>
      <c r="BQ599" s="4"/>
      <c r="BR599" s="4"/>
      <c r="BS599" s="4"/>
    </row>
    <row r="600" spans="63:71">
      <c r="BK600" s="4"/>
      <c r="BL600" s="4"/>
      <c r="BM600" s="4"/>
      <c r="BN600" s="4"/>
      <c r="BO600" s="4"/>
      <c r="BP600" s="4"/>
      <c r="BQ600" s="4"/>
      <c r="BR600" s="4"/>
      <c r="BS600" s="4"/>
    </row>
    <row r="601" spans="63:71">
      <c r="BK601" s="4"/>
      <c r="BL601" s="4"/>
      <c r="BM601" s="4"/>
      <c r="BN601" s="4"/>
      <c r="BO601" s="4"/>
      <c r="BP601" s="4"/>
      <c r="BQ601" s="4"/>
      <c r="BR601" s="4"/>
      <c r="BS601" s="4"/>
    </row>
    <row r="602" spans="63:71">
      <c r="BK602" s="4"/>
      <c r="BL602" s="4"/>
      <c r="BM602" s="4"/>
      <c r="BN602" s="4"/>
      <c r="BO602" s="4"/>
      <c r="BP602" s="4"/>
      <c r="BQ602" s="4"/>
      <c r="BR602" s="4"/>
      <c r="BS602" s="4"/>
    </row>
    <row r="603" spans="63:71">
      <c r="BK603" s="4"/>
      <c r="BL603" s="4"/>
      <c r="BM603" s="4"/>
      <c r="BN603" s="4"/>
      <c r="BO603" s="4"/>
      <c r="BP603" s="4"/>
      <c r="BQ603" s="4"/>
      <c r="BR603" s="4"/>
      <c r="BS603" s="4"/>
    </row>
    <row r="604" spans="63:71">
      <c r="BK604" s="4"/>
      <c r="BL604" s="4"/>
      <c r="BM604" s="4"/>
      <c r="BN604" s="4"/>
      <c r="BO604" s="4"/>
      <c r="BP604" s="4"/>
      <c r="BQ604" s="4"/>
      <c r="BR604" s="4"/>
      <c r="BS604" s="4"/>
    </row>
    <row r="605" spans="63:71">
      <c r="BK605" s="4"/>
      <c r="BL605" s="4"/>
      <c r="BM605" s="4"/>
      <c r="BN605" s="4"/>
      <c r="BO605" s="4"/>
      <c r="BP605" s="4"/>
      <c r="BQ605" s="4"/>
      <c r="BR605" s="4"/>
      <c r="BS605" s="4"/>
    </row>
    <row r="606" spans="63:71">
      <c r="BK606" s="4"/>
      <c r="BL606" s="4"/>
      <c r="BM606" s="4"/>
      <c r="BN606" s="4"/>
      <c r="BO606" s="4"/>
      <c r="BP606" s="4"/>
      <c r="BQ606" s="4"/>
      <c r="BR606" s="4"/>
      <c r="BS606" s="4"/>
    </row>
    <row r="607" spans="63:71">
      <c r="BK607" s="4"/>
      <c r="BL607" s="4"/>
      <c r="BM607" s="4"/>
      <c r="BN607" s="4"/>
      <c r="BO607" s="4"/>
      <c r="BP607" s="4"/>
      <c r="BQ607" s="4"/>
      <c r="BR607" s="4"/>
      <c r="BS607" s="4"/>
    </row>
    <row r="608" spans="63:71">
      <c r="BK608" s="4"/>
      <c r="BL608" s="4"/>
      <c r="BM608" s="4"/>
      <c r="BN608" s="4"/>
      <c r="BO608" s="4"/>
      <c r="BP608" s="4"/>
      <c r="BQ608" s="4"/>
      <c r="BR608" s="4"/>
      <c r="BS608" s="4"/>
    </row>
    <row r="609" spans="63:71">
      <c r="BK609" s="4"/>
      <c r="BL609" s="4"/>
      <c r="BM609" s="4"/>
      <c r="BN609" s="4"/>
      <c r="BO609" s="4"/>
      <c r="BP609" s="4"/>
      <c r="BQ609" s="4"/>
      <c r="BR609" s="4"/>
      <c r="BS609" s="4"/>
    </row>
    <row r="610" spans="63:71">
      <c r="BK610" s="4"/>
      <c r="BL610" s="4"/>
      <c r="BM610" s="4"/>
      <c r="BN610" s="4"/>
      <c r="BO610" s="4"/>
      <c r="BP610" s="4"/>
      <c r="BQ610" s="4"/>
      <c r="BR610" s="4"/>
      <c r="BS610" s="4"/>
    </row>
    <row r="611" spans="63:71">
      <c r="BK611" s="4"/>
      <c r="BL611" s="4"/>
      <c r="BM611" s="4"/>
      <c r="BN611" s="4"/>
      <c r="BO611" s="4"/>
      <c r="BP611" s="4"/>
      <c r="BQ611" s="4"/>
      <c r="BR611" s="4"/>
      <c r="BS611" s="4"/>
    </row>
    <row r="612" spans="63:71">
      <c r="BK612" s="4"/>
      <c r="BL612" s="4"/>
      <c r="BM612" s="4"/>
      <c r="BN612" s="4"/>
      <c r="BO612" s="4"/>
      <c r="BP612" s="4"/>
      <c r="BQ612" s="4"/>
      <c r="BR612" s="4"/>
      <c r="BS612" s="4"/>
    </row>
    <row r="613" spans="63:71">
      <c r="BK613" s="4"/>
      <c r="BL613" s="4"/>
      <c r="BM613" s="4"/>
      <c r="BN613" s="4"/>
      <c r="BO613" s="4"/>
      <c r="BP613" s="4"/>
      <c r="BQ613" s="4"/>
      <c r="BR613" s="4"/>
      <c r="BS613" s="4"/>
    </row>
    <row r="614" spans="63:71">
      <c r="BK614" s="4"/>
      <c r="BL614" s="4"/>
      <c r="BM614" s="4"/>
      <c r="BN614" s="4"/>
      <c r="BO614" s="4"/>
      <c r="BP614" s="4"/>
      <c r="BQ614" s="4"/>
      <c r="BR614" s="4"/>
      <c r="BS614" s="4"/>
    </row>
    <row r="615" spans="63:71">
      <c r="BK615" s="4"/>
      <c r="BL615" s="4"/>
      <c r="BM615" s="4"/>
      <c r="BN615" s="4"/>
      <c r="BO615" s="4"/>
      <c r="BP615" s="4"/>
      <c r="BQ615" s="4"/>
      <c r="BR615" s="4"/>
      <c r="BS615" s="4"/>
    </row>
    <row r="616" spans="63:71">
      <c r="BK616" s="4"/>
      <c r="BL616" s="4"/>
      <c r="BM616" s="4"/>
      <c r="BN616" s="4"/>
      <c r="BO616" s="4"/>
      <c r="BP616" s="4"/>
      <c r="BQ616" s="4"/>
      <c r="BR616" s="4"/>
      <c r="BS616" s="4"/>
    </row>
    <row r="617" spans="63:71">
      <c r="BK617" s="4"/>
      <c r="BL617" s="4"/>
      <c r="BM617" s="4"/>
      <c r="BN617" s="4"/>
      <c r="BO617" s="4"/>
      <c r="BP617" s="4"/>
      <c r="BQ617" s="4"/>
      <c r="BR617" s="4"/>
      <c r="BS617" s="4"/>
    </row>
    <row r="618" spans="63:71">
      <c r="BK618" s="4"/>
      <c r="BL618" s="4"/>
      <c r="BM618" s="4"/>
      <c r="BN618" s="4"/>
      <c r="BO618" s="4"/>
      <c r="BP618" s="4"/>
      <c r="BQ618" s="4"/>
      <c r="BR618" s="4"/>
      <c r="BS618" s="4"/>
    </row>
    <row r="619" spans="63:71">
      <c r="BK619" s="4"/>
      <c r="BL619" s="4"/>
      <c r="BM619" s="4"/>
      <c r="BN619" s="4"/>
      <c r="BO619" s="4"/>
      <c r="BP619" s="4"/>
      <c r="BQ619" s="4"/>
      <c r="BR619" s="4"/>
      <c r="BS619" s="4"/>
    </row>
    <row r="620" spans="63:71">
      <c r="BK620" s="4"/>
      <c r="BL620" s="4"/>
      <c r="BM620" s="4"/>
      <c r="BN620" s="4"/>
      <c r="BO620" s="4"/>
      <c r="BP620" s="4"/>
      <c r="BQ620" s="4"/>
      <c r="BR620" s="4"/>
      <c r="BS620" s="4"/>
    </row>
    <row r="621" spans="63:71">
      <c r="BK621" s="4"/>
      <c r="BL621" s="4"/>
      <c r="BM621" s="4"/>
      <c r="BN621" s="4"/>
      <c r="BO621" s="4"/>
      <c r="BP621" s="4"/>
      <c r="BQ621" s="4"/>
      <c r="BR621" s="4"/>
      <c r="BS621" s="4"/>
    </row>
    <row r="622" spans="63:71">
      <c r="BK622" s="4"/>
      <c r="BL622" s="4"/>
      <c r="BM622" s="4"/>
      <c r="BN622" s="4"/>
      <c r="BO622" s="4"/>
      <c r="BP622" s="4"/>
      <c r="BQ622" s="4"/>
      <c r="BR622" s="4"/>
      <c r="BS622" s="4"/>
    </row>
    <row r="623" spans="63:71">
      <c r="BK623" s="4"/>
      <c r="BL623" s="4"/>
      <c r="BM623" s="4"/>
      <c r="BN623" s="4"/>
      <c r="BO623" s="4"/>
      <c r="BP623" s="4"/>
      <c r="BQ623" s="4"/>
      <c r="BR623" s="4"/>
      <c r="BS623" s="4"/>
    </row>
    <row r="624" spans="63:71">
      <c r="BK624" s="4"/>
      <c r="BL624" s="4"/>
      <c r="BM624" s="4"/>
      <c r="BN624" s="4"/>
      <c r="BO624" s="4"/>
      <c r="BP624" s="4"/>
      <c r="BQ624" s="4"/>
      <c r="BR624" s="4"/>
      <c r="BS624" s="4"/>
    </row>
    <row r="625" spans="63:71">
      <c r="BK625" s="4"/>
      <c r="BL625" s="4"/>
      <c r="BM625" s="4"/>
      <c r="BN625" s="4"/>
      <c r="BO625" s="4"/>
      <c r="BP625" s="4"/>
      <c r="BQ625" s="4"/>
      <c r="BR625" s="4"/>
      <c r="BS625" s="4"/>
    </row>
    <row r="626" spans="63:71">
      <c r="BK626" s="4"/>
      <c r="BL626" s="4"/>
      <c r="BM626" s="4"/>
      <c r="BN626" s="4"/>
      <c r="BO626" s="4"/>
      <c r="BP626" s="4"/>
      <c r="BQ626" s="4"/>
      <c r="BR626" s="4"/>
      <c r="BS626" s="4"/>
    </row>
    <row r="627" spans="63:71">
      <c r="BK627" s="4"/>
      <c r="BL627" s="4"/>
      <c r="BM627" s="4"/>
      <c r="BN627" s="4"/>
      <c r="BO627" s="4"/>
      <c r="BP627" s="4"/>
      <c r="BQ627" s="4"/>
      <c r="BR627" s="4"/>
      <c r="BS627" s="4"/>
    </row>
    <row r="628" spans="63:71">
      <c r="BK628" s="4"/>
      <c r="BL628" s="4"/>
      <c r="BM628" s="4"/>
      <c r="BN628" s="4"/>
      <c r="BO628" s="4"/>
      <c r="BP628" s="4"/>
      <c r="BQ628" s="4"/>
      <c r="BR628" s="4"/>
      <c r="BS628" s="4"/>
    </row>
    <row r="629" spans="63:71">
      <c r="BK629" s="4"/>
      <c r="BL629" s="4"/>
      <c r="BM629" s="4"/>
      <c r="BN629" s="4"/>
      <c r="BO629" s="4"/>
      <c r="BP629" s="4"/>
      <c r="BQ629" s="4"/>
      <c r="BR629" s="4"/>
      <c r="BS629" s="4"/>
    </row>
    <row r="630" spans="63:71">
      <c r="BK630" s="4"/>
      <c r="BL630" s="4"/>
      <c r="BM630" s="4"/>
      <c r="BN630" s="4"/>
      <c r="BO630" s="4"/>
      <c r="BP630" s="4"/>
      <c r="BQ630" s="4"/>
      <c r="BR630" s="4"/>
      <c r="BS630" s="4"/>
    </row>
    <row r="631" spans="63:71">
      <c r="BK631" s="4"/>
      <c r="BL631" s="4"/>
      <c r="BM631" s="4"/>
      <c r="BN631" s="4"/>
      <c r="BO631" s="4"/>
      <c r="BP631" s="4"/>
      <c r="BQ631" s="4"/>
      <c r="BR631" s="4"/>
      <c r="BS631" s="4"/>
    </row>
    <row r="632" spans="63:71">
      <c r="BK632" s="4"/>
      <c r="BL632" s="4"/>
      <c r="BM632" s="4"/>
      <c r="BN632" s="4"/>
      <c r="BO632" s="4"/>
      <c r="BP632" s="4"/>
      <c r="BQ632" s="4"/>
      <c r="BR632" s="4"/>
      <c r="BS632" s="4"/>
    </row>
    <row r="633" spans="63:71">
      <c r="BK633" s="4"/>
      <c r="BL633" s="4"/>
      <c r="BM633" s="4"/>
      <c r="BN633" s="4"/>
      <c r="BO633" s="4"/>
      <c r="BP633" s="4"/>
      <c r="BQ633" s="4"/>
      <c r="BR633" s="4"/>
      <c r="BS633" s="4"/>
    </row>
    <row r="634" spans="63:71">
      <c r="BK634" s="4"/>
      <c r="BL634" s="4"/>
      <c r="BM634" s="4"/>
      <c r="BN634" s="4"/>
      <c r="BO634" s="4"/>
      <c r="BP634" s="4"/>
      <c r="BQ634" s="4"/>
      <c r="BR634" s="4"/>
      <c r="BS634" s="4"/>
    </row>
    <row r="635" spans="63:71">
      <c r="BK635" s="4"/>
      <c r="BL635" s="4"/>
      <c r="BM635" s="4"/>
      <c r="BN635" s="4"/>
      <c r="BO635" s="4"/>
      <c r="BP635" s="4"/>
      <c r="BQ635" s="4"/>
      <c r="BR635" s="4"/>
      <c r="BS635" s="4"/>
    </row>
    <row r="636" spans="63:71">
      <c r="BK636" s="4"/>
      <c r="BL636" s="4"/>
      <c r="BM636" s="4"/>
      <c r="BN636" s="4"/>
      <c r="BO636" s="4"/>
      <c r="BP636" s="4"/>
      <c r="BQ636" s="4"/>
      <c r="BR636" s="4"/>
      <c r="BS636" s="4"/>
    </row>
    <row r="637" spans="63:71">
      <c r="BK637" s="4"/>
      <c r="BL637" s="4"/>
      <c r="BM637" s="4"/>
      <c r="BN637" s="4"/>
      <c r="BO637" s="4"/>
      <c r="BP637" s="4"/>
      <c r="BQ637" s="4"/>
      <c r="BR637" s="4"/>
      <c r="BS637" s="4"/>
    </row>
    <row r="638" spans="63:71">
      <c r="BK638" s="4"/>
      <c r="BL638" s="4"/>
      <c r="BM638" s="4"/>
      <c r="BN638" s="4"/>
      <c r="BO638" s="4"/>
      <c r="BP638" s="4"/>
      <c r="BQ638" s="4"/>
      <c r="BR638" s="4"/>
      <c r="BS638" s="4"/>
    </row>
    <row r="639" spans="63:71">
      <c r="BK639" s="4"/>
      <c r="BL639" s="4"/>
      <c r="BM639" s="4"/>
      <c r="BN639" s="4"/>
      <c r="BO639" s="4"/>
      <c r="BP639" s="4"/>
      <c r="BQ639" s="4"/>
      <c r="BR639" s="4"/>
      <c r="BS639" s="4"/>
    </row>
    <row r="640" spans="63:71">
      <c r="BK640" s="4"/>
      <c r="BL640" s="4"/>
      <c r="BM640" s="4"/>
      <c r="BN640" s="4"/>
      <c r="BO640" s="4"/>
      <c r="BP640" s="4"/>
      <c r="BQ640" s="4"/>
      <c r="BR640" s="4"/>
      <c r="BS640" s="4"/>
    </row>
    <row r="641" spans="63:71">
      <c r="BK641" s="4"/>
      <c r="BL641" s="4"/>
      <c r="BM641" s="4"/>
      <c r="BN641" s="4"/>
      <c r="BO641" s="4"/>
      <c r="BP641" s="4"/>
      <c r="BQ641" s="4"/>
      <c r="BR641" s="4"/>
      <c r="BS641" s="4"/>
    </row>
    <row r="642" spans="63:71">
      <c r="BK642" s="4"/>
      <c r="BL642" s="4"/>
      <c r="BM642" s="4"/>
      <c r="BN642" s="4"/>
      <c r="BO642" s="4"/>
      <c r="BP642" s="4"/>
      <c r="BQ642" s="4"/>
      <c r="BR642" s="4"/>
      <c r="BS642" s="4"/>
    </row>
    <row r="643" spans="63:71">
      <c r="BK643" s="4"/>
      <c r="BL643" s="4"/>
      <c r="BM643" s="4"/>
      <c r="BN643" s="4"/>
      <c r="BO643" s="4"/>
      <c r="BP643" s="4"/>
      <c r="BQ643" s="4"/>
      <c r="BR643" s="4"/>
      <c r="BS643" s="4"/>
    </row>
    <row r="644" spans="63:71">
      <c r="BK644" s="4"/>
      <c r="BL644" s="4"/>
      <c r="BM644" s="4"/>
      <c r="BN644" s="4"/>
      <c r="BO644" s="4"/>
      <c r="BP644" s="4"/>
      <c r="BQ644" s="4"/>
      <c r="BR644" s="4"/>
      <c r="BS644" s="4"/>
    </row>
    <row r="645" spans="63:71">
      <c r="BK645" s="4"/>
      <c r="BL645" s="4"/>
      <c r="BM645" s="4"/>
      <c r="BN645" s="4"/>
      <c r="BO645" s="4"/>
      <c r="BP645" s="4"/>
      <c r="BQ645" s="4"/>
      <c r="BR645" s="4"/>
      <c r="BS645" s="4"/>
    </row>
    <row r="646" spans="63:71">
      <c r="BK646" s="4"/>
      <c r="BL646" s="4"/>
      <c r="BM646" s="4"/>
      <c r="BN646" s="4"/>
      <c r="BO646" s="4"/>
      <c r="BP646" s="4"/>
      <c r="BQ646" s="4"/>
      <c r="BR646" s="4"/>
      <c r="BS646" s="4"/>
    </row>
    <row r="647" spans="63:71">
      <c r="BK647" s="4"/>
      <c r="BL647" s="4"/>
      <c r="BM647" s="4"/>
      <c r="BN647" s="4"/>
      <c r="BO647" s="4"/>
      <c r="BP647" s="4"/>
      <c r="BQ647" s="4"/>
      <c r="BR647" s="4"/>
      <c r="BS647" s="4"/>
    </row>
    <row r="648" spans="63:71">
      <c r="BK648" s="4"/>
      <c r="BL648" s="4"/>
      <c r="BM648" s="4"/>
      <c r="BN648" s="4"/>
      <c r="BO648" s="4"/>
      <c r="BP648" s="4"/>
      <c r="BQ648" s="4"/>
      <c r="BR648" s="4"/>
      <c r="BS648" s="4"/>
    </row>
    <row r="649" spans="63:71">
      <c r="BK649" s="4"/>
      <c r="BL649" s="4"/>
      <c r="BM649" s="4"/>
      <c r="BN649" s="4"/>
      <c r="BO649" s="4"/>
      <c r="BP649" s="4"/>
      <c r="BQ649" s="4"/>
      <c r="BR649" s="4"/>
      <c r="BS649" s="4"/>
    </row>
    <row r="650" spans="63:71">
      <c r="BK650" s="4"/>
      <c r="BL650" s="4"/>
      <c r="BM650" s="4"/>
      <c r="BN650" s="4"/>
      <c r="BO650" s="4"/>
      <c r="BP650" s="4"/>
      <c r="BQ650" s="4"/>
      <c r="BR650" s="4"/>
      <c r="BS650" s="4"/>
    </row>
  </sheetData>
  <autoFilter ref="A1:CZ260" xr:uid="{1A3E73AF-626B-4261-B748-BA5DCA3AD937}"/>
  <mergeCells count="2">
    <mergeCell ref="BD262:BI263"/>
    <mergeCell ref="BJ262:BO263"/>
  </mergeCells>
  <phoneticPr fontId="52" type="noConversion"/>
  <conditionalFormatting sqref="AT272:BA1048576 AA1:AN1048576 AT1:BA262 AU263:BA263 AU269:BA271 AU264:AU268 AW264:BA268">
    <cfRule type="containsText" dxfId="47" priority="31" operator="containsText" text="false">
      <formula>NOT(ISERROR(SEARCH("false",AA1)))</formula>
    </cfRule>
  </conditionalFormatting>
  <conditionalFormatting sqref="AQ2:AQ260">
    <cfRule type="cellIs" dxfId="46" priority="22" stopIfTrue="1" operator="greaterThan">
      <formula>1</formula>
    </cfRule>
  </conditionalFormatting>
  <conditionalFormatting sqref="CL2:CL260">
    <cfRule type="cellIs" dxfId="45" priority="23" operator="greaterThan">
      <formula>1</formula>
    </cfRule>
  </conditionalFormatting>
  <conditionalFormatting sqref="AQ2:AQ260">
    <cfRule type="cellIs" dxfId="44" priority="24" operator="greaterThan">
      <formula>0.9</formula>
    </cfRule>
  </conditionalFormatting>
  <conditionalFormatting sqref="BE2:BE260">
    <cfRule type="cellIs" dxfId="43" priority="14" stopIfTrue="1" operator="greaterThan">
      <formula>1</formula>
    </cfRule>
  </conditionalFormatting>
  <conditionalFormatting sqref="BE2:BE260">
    <cfRule type="cellIs" dxfId="42" priority="15" operator="greaterThan">
      <formula>0.9</formula>
    </cfRule>
  </conditionalFormatting>
  <conditionalFormatting sqref="CI2:CI260">
    <cfRule type="cellIs" dxfId="41" priority="11" stopIfTrue="1" operator="greaterThan">
      <formula>1</formula>
    </cfRule>
    <cfRule type="cellIs" dxfId="40" priority="12" operator="greaterThan">
      <formula>0.9</formula>
    </cfRule>
  </conditionalFormatting>
  <conditionalFormatting sqref="CO2:CO260">
    <cfRule type="cellIs" dxfId="39" priority="10" operator="greaterThan">
      <formula>1</formula>
    </cfRule>
  </conditionalFormatting>
  <conditionalFormatting sqref="F1:F1048576">
    <cfRule type="containsText" dxfId="38" priority="8" operator="containsText" text="NO COUNT">
      <formula>NOT(ISERROR(SEARCH("NO COUNT",F1)))</formula>
    </cfRule>
  </conditionalFormatting>
  <conditionalFormatting sqref="BX2:CA260">
    <cfRule type="containsText" dxfId="37" priority="7" operator="containsText" text="false">
      <formula>NOT(ISERROR(SEARCH("false",BX2)))</formula>
    </cfRule>
  </conditionalFormatting>
  <conditionalFormatting sqref="CB2:CE260">
    <cfRule type="containsText" dxfId="36" priority="6" operator="containsText" text="false">
      <formula>NOT(ISERROR(SEARCH("false",CB2)))</formula>
    </cfRule>
  </conditionalFormatting>
  <conditionalFormatting sqref="BU262:BW262 BV263:BW263 BV270:BW271 BW269 BV264:BV269">
    <cfRule type="containsText" dxfId="35" priority="1" operator="containsText" text="false">
      <formula>NOT(ISERROR(SEARCH("false",BU262)))</formula>
    </cfRule>
  </conditionalFormatting>
  <printOptions horizontalCentered="1"/>
  <pageMargins left="0.75" right="0.75" top="0.5" bottom="1" header="0.5" footer="0.5"/>
  <pageSetup paperSize="17" scale="43" fitToHeight="0" orientation="landscape" r:id="rId1"/>
  <headerFooter alignWithMargins="0">
    <oddFooter>&amp;R&amp;"-,Bold"&amp;16Page &amp;P of &amp;N</oddFooter>
  </headerFooter>
  <ignoredErrors>
    <ignoredError sqref="E126:E127 E256:E258 C256:C259" numberStoredAsText="1"/>
    <ignoredError sqref="E215:E237 E207:E213 C213:C214 C215:C237 C207:C212" 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B296A-3E26-4440-A9A5-DA5B16B49FDA}">
  <dimension ref="A1:E260"/>
  <sheetViews>
    <sheetView topLeftCell="A228" workbookViewId="0">
      <selection activeCell="Q226" sqref="Q226"/>
    </sheetView>
  </sheetViews>
  <sheetFormatPr defaultRowHeight="15"/>
  <cols>
    <col min="1" max="1" width="12.85546875" style="155" customWidth="1"/>
    <col min="2" max="2" width="26.85546875" bestFit="1" customWidth="1"/>
    <col min="3" max="3" width="12" bestFit="1" customWidth="1"/>
    <col min="4" max="4" width="20.5703125" bestFit="1" customWidth="1"/>
    <col min="5" max="5" width="11.5703125" bestFit="1" customWidth="1"/>
  </cols>
  <sheetData>
    <row r="1" spans="1:5" ht="25.5">
      <c r="A1" s="154" t="s">
        <v>885</v>
      </c>
      <c r="B1" t="s">
        <v>886</v>
      </c>
      <c r="C1" t="s">
        <v>790</v>
      </c>
      <c r="D1" t="s">
        <v>1144</v>
      </c>
      <c r="E1" t="s">
        <v>796</v>
      </c>
    </row>
    <row r="2" spans="1:5">
      <c r="A2" s="143">
        <v>4000</v>
      </c>
      <c r="B2" t="s">
        <v>865</v>
      </c>
      <c r="C2">
        <v>4351</v>
      </c>
      <c r="D2">
        <v>0.01</v>
      </c>
      <c r="E2">
        <v>0.4</v>
      </c>
    </row>
    <row r="3" spans="1:5">
      <c r="A3" s="143">
        <v>4010</v>
      </c>
      <c r="B3" t="s">
        <v>865</v>
      </c>
      <c r="C3">
        <v>7803</v>
      </c>
      <c r="D3">
        <v>0.01</v>
      </c>
      <c r="E3">
        <v>0.63</v>
      </c>
    </row>
    <row r="4" spans="1:5">
      <c r="A4" s="143">
        <v>4020</v>
      </c>
      <c r="B4" t="s">
        <v>865</v>
      </c>
      <c r="C4">
        <v>10553</v>
      </c>
      <c r="D4">
        <v>0.01</v>
      </c>
      <c r="E4">
        <v>0.82</v>
      </c>
    </row>
    <row r="5" spans="1:5">
      <c r="A5" s="143">
        <v>4030</v>
      </c>
      <c r="B5" t="s">
        <v>865</v>
      </c>
      <c r="C5">
        <v>3195</v>
      </c>
      <c r="D5">
        <v>2.75E-2</v>
      </c>
      <c r="E5">
        <v>0.35</v>
      </c>
    </row>
    <row r="6" spans="1:5">
      <c r="A6" s="143">
        <v>4040</v>
      </c>
      <c r="B6" t="s">
        <v>865</v>
      </c>
      <c r="C6">
        <v>4477</v>
      </c>
      <c r="D6">
        <v>0.01</v>
      </c>
      <c r="E6">
        <v>0.51</v>
      </c>
    </row>
    <row r="7" spans="1:5">
      <c r="A7" s="143">
        <v>4050</v>
      </c>
      <c r="B7" t="s">
        <v>865</v>
      </c>
      <c r="C7">
        <v>3669</v>
      </c>
      <c r="D7">
        <v>0.01</v>
      </c>
      <c r="E7">
        <v>0.41</v>
      </c>
    </row>
    <row r="8" spans="1:5">
      <c r="A8" s="143">
        <v>4060</v>
      </c>
      <c r="B8" t="s">
        <v>865</v>
      </c>
      <c r="C8">
        <v>4808</v>
      </c>
      <c r="D8">
        <v>0.01</v>
      </c>
      <c r="E8">
        <v>0.54</v>
      </c>
    </row>
    <row r="9" spans="1:5">
      <c r="A9" s="143">
        <v>4070</v>
      </c>
      <c r="B9" t="s">
        <v>865</v>
      </c>
      <c r="C9">
        <v>3314.75</v>
      </c>
      <c r="D9">
        <v>0.01</v>
      </c>
      <c r="E9">
        <v>0.35</v>
      </c>
    </row>
    <row r="10" spans="1:5">
      <c r="A10" s="141">
        <v>4830</v>
      </c>
      <c r="B10" t="s">
        <v>865</v>
      </c>
      <c r="C10">
        <v>7135</v>
      </c>
      <c r="D10">
        <v>0.01</v>
      </c>
      <c r="E10">
        <v>0.61</v>
      </c>
    </row>
    <row r="11" spans="1:5">
      <c r="A11" s="141">
        <v>4835</v>
      </c>
      <c r="B11" t="s">
        <v>865</v>
      </c>
      <c r="C11">
        <v>5823</v>
      </c>
      <c r="D11">
        <v>0.01</v>
      </c>
      <c r="E11">
        <v>0.4</v>
      </c>
    </row>
    <row r="12" spans="1:5">
      <c r="A12" s="141">
        <v>4860</v>
      </c>
      <c r="B12" t="s">
        <v>865</v>
      </c>
      <c r="C12">
        <v>3613</v>
      </c>
      <c r="D12">
        <v>0.01</v>
      </c>
      <c r="E12">
        <v>0.37</v>
      </c>
    </row>
    <row r="13" spans="1:5">
      <c r="A13" s="141">
        <v>4870</v>
      </c>
      <c r="B13" t="s">
        <v>865</v>
      </c>
      <c r="C13">
        <v>3624</v>
      </c>
      <c r="D13">
        <v>5.5E-2</v>
      </c>
      <c r="E13">
        <v>0.35</v>
      </c>
    </row>
    <row r="14" spans="1:5">
      <c r="A14" s="141">
        <v>4880</v>
      </c>
      <c r="B14" t="s">
        <v>865</v>
      </c>
      <c r="C14">
        <v>7777</v>
      </c>
      <c r="D14">
        <v>0.01</v>
      </c>
      <c r="E14">
        <v>0.63</v>
      </c>
    </row>
    <row r="15" spans="1:5">
      <c r="A15" s="141">
        <v>4885</v>
      </c>
      <c r="B15" t="s">
        <v>866</v>
      </c>
      <c r="C15">
        <v>9591</v>
      </c>
      <c r="D15">
        <v>0.01</v>
      </c>
      <c r="E15">
        <v>0.85</v>
      </c>
    </row>
    <row r="16" spans="1:5">
      <c r="A16" s="141">
        <v>4890</v>
      </c>
      <c r="B16" t="s">
        <v>865</v>
      </c>
      <c r="C16">
        <v>3602</v>
      </c>
      <c r="D16">
        <v>2.5000000000000001E-2</v>
      </c>
      <c r="E16">
        <v>0.36</v>
      </c>
    </row>
    <row r="17" spans="1:5">
      <c r="A17" s="141">
        <v>4910</v>
      </c>
      <c r="B17" t="s">
        <v>547</v>
      </c>
      <c r="C17" t="s">
        <v>243</v>
      </c>
      <c r="D17" t="s">
        <v>547</v>
      </c>
      <c r="E17" t="s">
        <v>547</v>
      </c>
    </row>
    <row r="18" spans="1:5">
      <c r="A18" s="141">
        <v>4915</v>
      </c>
      <c r="B18" t="s">
        <v>865</v>
      </c>
      <c r="C18">
        <v>4800</v>
      </c>
      <c r="D18">
        <v>0.01</v>
      </c>
      <c r="E18">
        <v>0.23</v>
      </c>
    </row>
    <row r="19" spans="1:5">
      <c r="A19" s="143">
        <v>4920</v>
      </c>
      <c r="B19" t="s">
        <v>865</v>
      </c>
      <c r="C19">
        <v>4388</v>
      </c>
      <c r="D19">
        <v>0.01</v>
      </c>
      <c r="E19">
        <v>0.44</v>
      </c>
    </row>
    <row r="20" spans="1:5">
      <c r="A20" s="143">
        <v>4930</v>
      </c>
      <c r="B20" t="s">
        <v>865</v>
      </c>
      <c r="C20">
        <v>1318</v>
      </c>
      <c r="D20">
        <v>2.5000000000000001E-2</v>
      </c>
      <c r="E20">
        <v>0.13</v>
      </c>
    </row>
    <row r="21" spans="1:5">
      <c r="A21" s="143">
        <v>5000</v>
      </c>
      <c r="B21" t="s">
        <v>865</v>
      </c>
      <c r="C21">
        <v>10390</v>
      </c>
      <c r="D21">
        <v>0.01</v>
      </c>
      <c r="E21">
        <v>0.79</v>
      </c>
    </row>
    <row r="22" spans="1:5">
      <c r="A22" s="143">
        <v>5010</v>
      </c>
      <c r="B22" t="s">
        <v>865</v>
      </c>
      <c r="C22">
        <v>9635</v>
      </c>
      <c r="D22">
        <v>0.01</v>
      </c>
      <c r="E22">
        <v>0.71</v>
      </c>
    </row>
    <row r="23" spans="1:5">
      <c r="A23" s="143">
        <v>5020</v>
      </c>
      <c r="B23" t="s">
        <v>865</v>
      </c>
      <c r="C23">
        <v>3822</v>
      </c>
      <c r="D23">
        <v>0.01</v>
      </c>
      <c r="E23">
        <v>0.3</v>
      </c>
    </row>
    <row r="24" spans="1:5">
      <c r="A24" s="143">
        <v>5030</v>
      </c>
      <c r="B24" t="s">
        <v>865</v>
      </c>
      <c r="C24">
        <v>5620</v>
      </c>
      <c r="D24">
        <v>0.01</v>
      </c>
      <c r="E24">
        <v>0.41</v>
      </c>
    </row>
    <row r="25" spans="1:5">
      <c r="A25" s="141">
        <v>5080</v>
      </c>
      <c r="B25" t="s">
        <v>865</v>
      </c>
      <c r="C25">
        <v>716</v>
      </c>
      <c r="D25">
        <v>0.01</v>
      </c>
      <c r="E25">
        <v>0.09</v>
      </c>
    </row>
    <row r="26" spans="1:5">
      <c r="A26" s="143">
        <v>6000</v>
      </c>
      <c r="B26" t="s">
        <v>865</v>
      </c>
      <c r="C26">
        <v>490</v>
      </c>
      <c r="D26">
        <v>0.01</v>
      </c>
      <c r="E26">
        <v>0.06</v>
      </c>
    </row>
    <row r="27" spans="1:5">
      <c r="A27" s="143">
        <v>12500</v>
      </c>
      <c r="B27" t="s">
        <v>865</v>
      </c>
      <c r="C27">
        <v>5632</v>
      </c>
      <c r="D27">
        <v>0.01</v>
      </c>
      <c r="E27">
        <v>0.38</v>
      </c>
    </row>
    <row r="28" spans="1:5">
      <c r="A28" s="143">
        <v>325310</v>
      </c>
      <c r="B28" t="s">
        <v>866</v>
      </c>
      <c r="C28">
        <v>6370</v>
      </c>
      <c r="D28">
        <v>0.06</v>
      </c>
      <c r="E28">
        <v>0.74</v>
      </c>
    </row>
    <row r="29" spans="1:5">
      <c r="A29" s="143">
        <v>3221000</v>
      </c>
      <c r="B29" t="s">
        <v>865</v>
      </c>
      <c r="C29">
        <v>1310</v>
      </c>
      <c r="D29">
        <v>0.01</v>
      </c>
      <c r="E29">
        <v>0.15</v>
      </c>
    </row>
    <row r="30" spans="1:5">
      <c r="A30" s="143">
        <v>3223000</v>
      </c>
      <c r="B30" t="s">
        <v>865</v>
      </c>
      <c r="C30">
        <v>2224</v>
      </c>
      <c r="D30">
        <v>0.03</v>
      </c>
      <c r="E30">
        <v>0.14000000000000001</v>
      </c>
    </row>
    <row r="31" spans="1:5">
      <c r="A31" s="143">
        <v>3224000</v>
      </c>
      <c r="B31" t="s">
        <v>865</v>
      </c>
      <c r="C31">
        <v>3550</v>
      </c>
      <c r="D31">
        <v>4.7500000000000001E-2</v>
      </c>
      <c r="E31">
        <v>0.45</v>
      </c>
    </row>
    <row r="32" spans="1:5">
      <c r="A32" s="143">
        <v>3229000</v>
      </c>
      <c r="B32" t="s">
        <v>865</v>
      </c>
      <c r="C32">
        <v>159</v>
      </c>
      <c r="D32">
        <v>0.01</v>
      </c>
      <c r="E32">
        <v>0.02</v>
      </c>
    </row>
    <row r="33" spans="1:5">
      <c r="A33" s="143">
        <v>3231000</v>
      </c>
      <c r="B33" t="s">
        <v>865</v>
      </c>
      <c r="C33">
        <v>438</v>
      </c>
      <c r="D33">
        <v>0.01</v>
      </c>
      <c r="E33">
        <v>0.05</v>
      </c>
    </row>
    <row r="34" spans="1:5">
      <c r="A34" s="143">
        <v>3245100</v>
      </c>
      <c r="B34" t="s">
        <v>865</v>
      </c>
      <c r="C34">
        <v>3826</v>
      </c>
      <c r="D34">
        <v>0.01</v>
      </c>
      <c r="E34">
        <v>0.3</v>
      </c>
    </row>
    <row r="35" spans="1:5">
      <c r="A35" s="143">
        <v>3245110</v>
      </c>
      <c r="B35" t="s">
        <v>865</v>
      </c>
      <c r="C35">
        <v>3725</v>
      </c>
      <c r="D35">
        <v>0.01</v>
      </c>
      <c r="E35">
        <v>0.17</v>
      </c>
    </row>
    <row r="36" spans="1:5">
      <c r="A36" s="143">
        <v>3248000</v>
      </c>
      <c r="B36" t="s">
        <v>865</v>
      </c>
      <c r="C36">
        <v>7944</v>
      </c>
      <c r="D36">
        <v>1.2500000000000001E-2</v>
      </c>
      <c r="E36">
        <v>0.27</v>
      </c>
    </row>
    <row r="37" spans="1:5">
      <c r="A37" s="143">
        <v>3248102</v>
      </c>
      <c r="B37" t="s">
        <v>865</v>
      </c>
      <c r="C37">
        <v>1200</v>
      </c>
      <c r="D37">
        <v>0.01</v>
      </c>
      <c r="E37">
        <v>0.15</v>
      </c>
    </row>
    <row r="38" spans="1:5">
      <c r="A38" s="143">
        <v>3248105</v>
      </c>
      <c r="B38" t="s">
        <v>865</v>
      </c>
      <c r="C38">
        <v>1948</v>
      </c>
      <c r="D38">
        <v>0.01</v>
      </c>
      <c r="E38">
        <v>0.23</v>
      </c>
    </row>
    <row r="39" spans="1:5">
      <c r="A39" s="143">
        <v>3248110</v>
      </c>
      <c r="B39" t="s">
        <v>865</v>
      </c>
      <c r="C39">
        <v>1948</v>
      </c>
      <c r="D39">
        <v>0.01</v>
      </c>
      <c r="E39">
        <v>0.27</v>
      </c>
    </row>
    <row r="40" spans="1:5">
      <c r="A40" s="143">
        <v>3248400</v>
      </c>
      <c r="B40" t="s">
        <v>867</v>
      </c>
      <c r="C40">
        <v>3265</v>
      </c>
      <c r="D40">
        <v>6.5000000000000002E-2</v>
      </c>
      <c r="E40">
        <v>0.91</v>
      </c>
    </row>
    <row r="41" spans="1:5">
      <c r="A41" s="143">
        <v>3253100</v>
      </c>
      <c r="B41" t="s">
        <v>865</v>
      </c>
      <c r="C41">
        <v>4710</v>
      </c>
      <c r="D41">
        <v>1.4999999999999999E-2</v>
      </c>
      <c r="E41">
        <v>0.54</v>
      </c>
    </row>
    <row r="42" spans="1:5">
      <c r="A42" s="143">
        <v>3253110</v>
      </c>
      <c r="B42" t="s">
        <v>865</v>
      </c>
      <c r="C42">
        <v>4100</v>
      </c>
      <c r="D42">
        <v>0.01</v>
      </c>
      <c r="E42">
        <v>0.37</v>
      </c>
    </row>
    <row r="43" spans="1:5">
      <c r="A43" s="143">
        <v>3253130</v>
      </c>
      <c r="B43" t="s">
        <v>867</v>
      </c>
      <c r="C43">
        <v>10730</v>
      </c>
      <c r="D43">
        <v>3.2500000000000001E-2</v>
      </c>
      <c r="E43">
        <v>0.93</v>
      </c>
    </row>
    <row r="44" spans="1:5">
      <c r="A44" s="143">
        <v>3253140</v>
      </c>
      <c r="B44" t="s">
        <v>865</v>
      </c>
      <c r="C44">
        <v>6090</v>
      </c>
      <c r="D44">
        <v>1.2500000000000001E-2</v>
      </c>
      <c r="E44">
        <v>0.48</v>
      </c>
    </row>
    <row r="45" spans="1:5">
      <c r="A45" s="143">
        <v>3253150</v>
      </c>
      <c r="B45" t="s">
        <v>865</v>
      </c>
      <c r="C45">
        <v>10730</v>
      </c>
      <c r="D45">
        <v>3.2500000000000001E-2</v>
      </c>
      <c r="E45">
        <v>0.28999999999999998</v>
      </c>
    </row>
    <row r="46" spans="1:5">
      <c r="A46" s="143">
        <v>3253170</v>
      </c>
      <c r="B46" t="s">
        <v>865</v>
      </c>
      <c r="C46">
        <v>5380</v>
      </c>
      <c r="D46">
        <v>0.01</v>
      </c>
      <c r="E46">
        <v>0.32</v>
      </c>
    </row>
    <row r="47" spans="1:5">
      <c r="A47" s="143">
        <v>3253180</v>
      </c>
      <c r="B47" t="s">
        <v>866</v>
      </c>
      <c r="C47">
        <v>14620</v>
      </c>
      <c r="D47">
        <v>2.75E-2</v>
      </c>
      <c r="E47">
        <v>0.82</v>
      </c>
    </row>
    <row r="48" spans="1:5">
      <c r="A48" s="143">
        <v>3253190</v>
      </c>
      <c r="B48" t="s">
        <v>865</v>
      </c>
      <c r="C48">
        <v>8830</v>
      </c>
      <c r="D48">
        <v>0.05</v>
      </c>
      <c r="E48">
        <v>0.57999999999999996</v>
      </c>
    </row>
    <row r="49" spans="1:5">
      <c r="A49" s="143">
        <v>3253200</v>
      </c>
      <c r="B49" t="s">
        <v>868</v>
      </c>
      <c r="C49">
        <v>13850</v>
      </c>
      <c r="D49">
        <v>6.7500000000000004E-2</v>
      </c>
      <c r="E49">
        <v>1.02</v>
      </c>
    </row>
    <row r="50" spans="1:5">
      <c r="A50" s="143">
        <v>3253210</v>
      </c>
      <c r="B50" t="s">
        <v>869</v>
      </c>
      <c r="C50">
        <v>18870</v>
      </c>
      <c r="D50">
        <v>7.7499999999999999E-2</v>
      </c>
      <c r="E50">
        <v>1.1100000000000001</v>
      </c>
    </row>
    <row r="51" spans="1:5">
      <c r="A51" s="143">
        <v>3253220</v>
      </c>
      <c r="B51" t="s">
        <v>866</v>
      </c>
      <c r="C51">
        <v>19965</v>
      </c>
      <c r="D51">
        <v>5.5E-2</v>
      </c>
      <c r="E51">
        <v>0.71</v>
      </c>
    </row>
    <row r="52" spans="1:5">
      <c r="A52" s="143">
        <v>3253230</v>
      </c>
      <c r="B52" t="s">
        <v>865</v>
      </c>
      <c r="C52">
        <v>21060</v>
      </c>
      <c r="D52">
        <v>3.2500000000000001E-2</v>
      </c>
      <c r="E52">
        <v>0.38</v>
      </c>
    </row>
    <row r="53" spans="1:5">
      <c r="A53" s="143">
        <v>3253240</v>
      </c>
      <c r="B53" t="s">
        <v>865</v>
      </c>
      <c r="C53">
        <v>24550</v>
      </c>
      <c r="D53">
        <v>0.01</v>
      </c>
      <c r="E53">
        <v>0.49</v>
      </c>
    </row>
    <row r="54" spans="1:5">
      <c r="A54" s="143">
        <v>3253250</v>
      </c>
      <c r="B54" t="s">
        <v>865</v>
      </c>
      <c r="C54">
        <v>23200</v>
      </c>
      <c r="D54">
        <v>2.2499999999999999E-2</v>
      </c>
      <c r="E54">
        <v>0.7</v>
      </c>
    </row>
    <row r="55" spans="1:5">
      <c r="A55" s="143">
        <v>3253270</v>
      </c>
      <c r="B55" t="s">
        <v>866</v>
      </c>
      <c r="C55">
        <v>27390</v>
      </c>
      <c r="D55">
        <v>7.4999999999999997E-2</v>
      </c>
      <c r="E55">
        <v>0.67</v>
      </c>
    </row>
    <row r="56" spans="1:5">
      <c r="A56" s="143">
        <v>3253280</v>
      </c>
      <c r="B56" t="s">
        <v>865</v>
      </c>
      <c r="C56">
        <v>27170</v>
      </c>
      <c r="D56">
        <v>0.04</v>
      </c>
      <c r="E56">
        <v>0.65</v>
      </c>
    </row>
    <row r="57" spans="1:5">
      <c r="A57" s="143">
        <v>3253290</v>
      </c>
      <c r="B57" t="s">
        <v>865</v>
      </c>
      <c r="C57">
        <v>26950</v>
      </c>
      <c r="D57">
        <v>0.01</v>
      </c>
      <c r="E57">
        <v>0.62</v>
      </c>
    </row>
    <row r="58" spans="1:5">
      <c r="A58" s="143">
        <v>3269100</v>
      </c>
      <c r="B58" t="s">
        <v>865</v>
      </c>
      <c r="C58">
        <v>719</v>
      </c>
      <c r="D58">
        <v>1.4999999999999999E-2</v>
      </c>
      <c r="E58">
        <v>0.08</v>
      </c>
    </row>
    <row r="59" spans="1:5">
      <c r="A59" s="143">
        <v>3290000</v>
      </c>
      <c r="B59" t="s">
        <v>865</v>
      </c>
      <c r="C59">
        <v>14460</v>
      </c>
      <c r="D59">
        <v>7.7499999999999999E-2</v>
      </c>
      <c r="E59">
        <v>0.48</v>
      </c>
    </row>
    <row r="60" spans="1:5">
      <c r="A60" s="143">
        <v>3293100</v>
      </c>
      <c r="B60" t="s">
        <v>865</v>
      </c>
      <c r="C60">
        <v>639</v>
      </c>
      <c r="D60">
        <v>0.01</v>
      </c>
      <c r="E60">
        <v>0.09</v>
      </c>
    </row>
    <row r="61" spans="1:5">
      <c r="A61" s="143">
        <v>3293110</v>
      </c>
      <c r="B61" t="s">
        <v>865</v>
      </c>
      <c r="C61">
        <v>1549</v>
      </c>
      <c r="D61">
        <v>5.7500000000000002E-2</v>
      </c>
      <c r="E61">
        <v>0.15</v>
      </c>
    </row>
    <row r="62" spans="1:5">
      <c r="A62" s="143">
        <v>3297000</v>
      </c>
      <c r="B62" t="s">
        <v>865</v>
      </c>
      <c r="C62">
        <v>384</v>
      </c>
      <c r="D62">
        <v>0.01</v>
      </c>
      <c r="E62">
        <v>0.06</v>
      </c>
    </row>
    <row r="63" spans="1:5">
      <c r="A63" s="143">
        <v>3300000</v>
      </c>
      <c r="B63" t="s">
        <v>865</v>
      </c>
      <c r="C63">
        <v>18749</v>
      </c>
      <c r="D63">
        <v>0.01</v>
      </c>
      <c r="E63">
        <v>0.57999999999999996</v>
      </c>
    </row>
    <row r="64" spans="1:5">
      <c r="A64" s="143">
        <v>3301000</v>
      </c>
      <c r="B64" t="s">
        <v>865</v>
      </c>
      <c r="C64">
        <v>4329</v>
      </c>
      <c r="D64">
        <v>2.5000000000000001E-2</v>
      </c>
      <c r="E64">
        <v>0.35</v>
      </c>
    </row>
    <row r="65" spans="1:5">
      <c r="A65" s="143">
        <v>3525100</v>
      </c>
      <c r="B65" t="s">
        <v>865</v>
      </c>
      <c r="C65">
        <v>5130</v>
      </c>
      <c r="D65">
        <v>0.06</v>
      </c>
      <c r="E65">
        <v>0.24</v>
      </c>
    </row>
    <row r="66" spans="1:5">
      <c r="A66" s="143">
        <v>3525110</v>
      </c>
      <c r="B66" t="s">
        <v>865</v>
      </c>
      <c r="C66">
        <v>5585.7000000000698</v>
      </c>
      <c r="D66">
        <v>8.7500000000000008E-2</v>
      </c>
      <c r="E66">
        <v>0.28999999999999998</v>
      </c>
    </row>
    <row r="67" spans="1:5">
      <c r="A67" s="143">
        <v>3526000</v>
      </c>
      <c r="B67" t="s">
        <v>865</v>
      </c>
      <c r="C67">
        <v>3846</v>
      </c>
      <c r="D67">
        <v>7.2499999999999995E-2</v>
      </c>
      <c r="E67">
        <v>0.49</v>
      </c>
    </row>
    <row r="68" spans="1:5">
      <c r="A68" s="143">
        <v>3528120</v>
      </c>
      <c r="B68" t="s">
        <v>865</v>
      </c>
      <c r="C68">
        <v>3025</v>
      </c>
      <c r="D68">
        <v>0.01</v>
      </c>
      <c r="E68">
        <v>0.23</v>
      </c>
    </row>
    <row r="69" spans="1:5">
      <c r="A69" s="143">
        <v>3529000</v>
      </c>
      <c r="B69" t="s">
        <v>865</v>
      </c>
      <c r="C69">
        <v>679</v>
      </c>
      <c r="D69">
        <v>0.01</v>
      </c>
      <c r="E69">
        <v>0.04</v>
      </c>
    </row>
    <row r="70" spans="1:5">
      <c r="A70" s="143">
        <v>3530000</v>
      </c>
      <c r="B70" t="s">
        <v>865</v>
      </c>
      <c r="C70">
        <v>3854</v>
      </c>
      <c r="D70">
        <v>0.01</v>
      </c>
      <c r="E70">
        <v>0.18</v>
      </c>
    </row>
    <row r="71" spans="1:5">
      <c r="A71" s="143">
        <v>3532000</v>
      </c>
      <c r="B71" t="s">
        <v>865</v>
      </c>
      <c r="C71">
        <v>658</v>
      </c>
      <c r="D71">
        <v>1.7500000000000002E-2</v>
      </c>
      <c r="E71">
        <v>0.09</v>
      </c>
    </row>
    <row r="72" spans="1:5">
      <c r="A72" s="143">
        <v>3533100</v>
      </c>
      <c r="B72" t="s">
        <v>865</v>
      </c>
      <c r="C72">
        <v>10671</v>
      </c>
      <c r="D72">
        <v>0.01</v>
      </c>
      <c r="E72">
        <v>0.7</v>
      </c>
    </row>
    <row r="73" spans="1:5">
      <c r="A73" s="143">
        <v>3534100</v>
      </c>
      <c r="B73" t="s">
        <v>865</v>
      </c>
      <c r="C73">
        <v>1590</v>
      </c>
      <c r="D73">
        <v>0.01</v>
      </c>
      <c r="E73">
        <v>7.0000000000000007E-2</v>
      </c>
    </row>
    <row r="74" spans="1:5">
      <c r="A74" s="143">
        <v>3534110</v>
      </c>
      <c r="B74" t="s">
        <v>865</v>
      </c>
      <c r="C74">
        <v>1028</v>
      </c>
      <c r="D74">
        <v>0.01</v>
      </c>
      <c r="E74">
        <v>0.06</v>
      </c>
    </row>
    <row r="75" spans="1:5">
      <c r="A75" s="143">
        <v>3535100</v>
      </c>
      <c r="B75" t="s">
        <v>865</v>
      </c>
      <c r="C75">
        <v>2081</v>
      </c>
      <c r="D75">
        <v>0.01</v>
      </c>
      <c r="E75">
        <v>0.1</v>
      </c>
    </row>
    <row r="76" spans="1:5">
      <c r="A76" s="143">
        <v>3535110</v>
      </c>
      <c r="B76" t="s">
        <v>547</v>
      </c>
      <c r="C76" t="s">
        <v>243</v>
      </c>
      <c r="D76" t="s">
        <v>547</v>
      </c>
    </row>
    <row r="77" spans="1:5">
      <c r="A77" s="143">
        <v>3537100</v>
      </c>
      <c r="B77" t="s">
        <v>865</v>
      </c>
      <c r="C77">
        <v>5834.2999999999884</v>
      </c>
      <c r="D77">
        <v>1.4999999999999999E-2</v>
      </c>
      <c r="E77">
        <v>0.25</v>
      </c>
    </row>
    <row r="78" spans="1:5">
      <c r="A78" s="143">
        <v>3537120</v>
      </c>
      <c r="B78" t="s">
        <v>865</v>
      </c>
      <c r="C78">
        <v>6111</v>
      </c>
      <c r="D78">
        <v>7.7499999999999999E-2</v>
      </c>
      <c r="E78">
        <v>0.25</v>
      </c>
    </row>
    <row r="79" spans="1:5">
      <c r="A79" s="143">
        <v>3537130</v>
      </c>
      <c r="B79" t="s">
        <v>865</v>
      </c>
      <c r="C79">
        <v>8946</v>
      </c>
      <c r="D79">
        <v>2.5000000000000001E-2</v>
      </c>
      <c r="E79">
        <v>0.7</v>
      </c>
    </row>
    <row r="80" spans="1:5">
      <c r="A80" s="143">
        <v>3537140</v>
      </c>
      <c r="B80" t="s">
        <v>865</v>
      </c>
      <c r="C80">
        <v>25054</v>
      </c>
      <c r="D80">
        <v>0.01</v>
      </c>
      <c r="E80">
        <v>0.71</v>
      </c>
    </row>
    <row r="81" spans="1:5">
      <c r="A81" s="143">
        <v>3537150</v>
      </c>
      <c r="B81" t="s">
        <v>865</v>
      </c>
      <c r="C81">
        <v>22767</v>
      </c>
      <c r="D81">
        <v>0.01</v>
      </c>
      <c r="E81">
        <v>0.6</v>
      </c>
    </row>
    <row r="82" spans="1:5">
      <c r="A82" s="143">
        <v>3537160</v>
      </c>
      <c r="B82" t="s">
        <v>865</v>
      </c>
      <c r="C82">
        <v>22600</v>
      </c>
      <c r="D82">
        <v>0.01</v>
      </c>
      <c r="E82">
        <v>0.6</v>
      </c>
    </row>
    <row r="83" spans="1:5">
      <c r="A83" s="143">
        <v>3537170</v>
      </c>
      <c r="B83" t="s">
        <v>865</v>
      </c>
      <c r="C83">
        <v>24581</v>
      </c>
      <c r="D83">
        <v>0.01</v>
      </c>
      <c r="E83">
        <v>0.67</v>
      </c>
    </row>
    <row r="84" spans="1:5">
      <c r="A84" s="143">
        <v>3537180</v>
      </c>
      <c r="B84" t="s">
        <v>865</v>
      </c>
      <c r="C84">
        <v>30363</v>
      </c>
      <c r="D84">
        <v>0.01</v>
      </c>
      <c r="E84">
        <v>0.79</v>
      </c>
    </row>
    <row r="85" spans="1:5">
      <c r="A85" s="143">
        <v>3537200</v>
      </c>
      <c r="B85" t="s">
        <v>865</v>
      </c>
      <c r="C85">
        <v>7972</v>
      </c>
      <c r="D85">
        <v>0.05</v>
      </c>
      <c r="E85">
        <v>0.38</v>
      </c>
    </row>
    <row r="86" spans="1:5">
      <c r="A86" s="143">
        <v>3538000</v>
      </c>
      <c r="B86" t="s">
        <v>865</v>
      </c>
      <c r="C86">
        <v>1804.4000000000015</v>
      </c>
      <c r="D86">
        <v>0.01</v>
      </c>
      <c r="E86">
        <v>0.09</v>
      </c>
    </row>
    <row r="87" spans="1:5">
      <c r="A87" s="143">
        <v>3539100</v>
      </c>
      <c r="B87" t="s">
        <v>865</v>
      </c>
      <c r="C87">
        <v>600</v>
      </c>
      <c r="D87">
        <v>0.01</v>
      </c>
      <c r="E87">
        <v>0.06</v>
      </c>
    </row>
    <row r="88" spans="1:5">
      <c r="A88" s="143">
        <v>3539120</v>
      </c>
      <c r="B88" t="s">
        <v>865</v>
      </c>
      <c r="C88">
        <v>739</v>
      </c>
      <c r="D88">
        <v>0.01</v>
      </c>
      <c r="E88">
        <v>0.1</v>
      </c>
    </row>
    <row r="89" spans="1:5">
      <c r="A89" s="143">
        <v>3540100</v>
      </c>
      <c r="B89" t="s">
        <v>865</v>
      </c>
      <c r="C89">
        <v>2749</v>
      </c>
      <c r="D89">
        <v>0.01</v>
      </c>
      <c r="E89">
        <v>0.13</v>
      </c>
    </row>
    <row r="90" spans="1:5">
      <c r="A90" s="143">
        <v>3540110</v>
      </c>
      <c r="B90" t="s">
        <v>865</v>
      </c>
      <c r="C90">
        <v>2137</v>
      </c>
      <c r="D90">
        <v>0.01</v>
      </c>
      <c r="E90">
        <v>0.1</v>
      </c>
    </row>
    <row r="91" spans="1:5">
      <c r="A91" s="143">
        <v>3541110</v>
      </c>
      <c r="B91" t="s">
        <v>681</v>
      </c>
      <c r="C91">
        <v>11417</v>
      </c>
      <c r="D91">
        <v>4.4999999999999998E-2</v>
      </c>
      <c r="E91">
        <v>0</v>
      </c>
    </row>
    <row r="92" spans="1:5">
      <c r="A92" s="143">
        <v>3542100</v>
      </c>
      <c r="B92" t="s">
        <v>865</v>
      </c>
      <c r="C92">
        <v>780</v>
      </c>
      <c r="D92">
        <v>0.01</v>
      </c>
      <c r="E92">
        <v>0.05</v>
      </c>
    </row>
    <row r="93" spans="1:5">
      <c r="A93" s="143">
        <v>3542120</v>
      </c>
      <c r="B93" t="s">
        <v>865</v>
      </c>
      <c r="C93">
        <v>1612</v>
      </c>
      <c r="D93">
        <v>0.01</v>
      </c>
      <c r="E93">
        <v>0.1</v>
      </c>
    </row>
    <row r="94" spans="1:5">
      <c r="A94" s="143">
        <v>3542130</v>
      </c>
      <c r="B94" t="s">
        <v>865</v>
      </c>
      <c r="C94">
        <v>3037</v>
      </c>
      <c r="D94">
        <v>4.7500000000000001E-2</v>
      </c>
      <c r="E94">
        <v>0.16</v>
      </c>
    </row>
    <row r="95" spans="1:5">
      <c r="A95" s="143">
        <v>3542150</v>
      </c>
      <c r="B95" t="s">
        <v>865</v>
      </c>
      <c r="C95">
        <v>3255</v>
      </c>
      <c r="D95">
        <v>0.01</v>
      </c>
      <c r="E95">
        <v>0.18</v>
      </c>
    </row>
    <row r="96" spans="1:5">
      <c r="A96" s="143">
        <v>3543100</v>
      </c>
      <c r="B96" t="s">
        <v>865</v>
      </c>
      <c r="C96">
        <v>5584</v>
      </c>
      <c r="D96">
        <v>2.75E-2</v>
      </c>
      <c r="E96">
        <v>0.38</v>
      </c>
    </row>
    <row r="97" spans="1:5">
      <c r="A97" s="143">
        <v>3545100</v>
      </c>
      <c r="B97" t="s">
        <v>867</v>
      </c>
      <c r="C97">
        <v>48620</v>
      </c>
      <c r="D97">
        <v>2.2499999999999999E-2</v>
      </c>
      <c r="E97">
        <v>0.99</v>
      </c>
    </row>
    <row r="98" spans="1:5">
      <c r="A98" s="143">
        <v>3545110</v>
      </c>
      <c r="B98" t="s">
        <v>681</v>
      </c>
      <c r="C98">
        <v>53840</v>
      </c>
      <c r="D98">
        <v>2.75E-2</v>
      </c>
      <c r="E98">
        <v>1.1000000000000001</v>
      </c>
    </row>
    <row r="99" spans="1:5">
      <c r="A99" s="143">
        <v>3546100</v>
      </c>
      <c r="B99" t="s">
        <v>865</v>
      </c>
      <c r="C99">
        <v>48150</v>
      </c>
      <c r="D99">
        <v>0.01</v>
      </c>
      <c r="E99">
        <v>0.72</v>
      </c>
    </row>
    <row r="100" spans="1:5">
      <c r="A100" s="143">
        <v>3546120</v>
      </c>
      <c r="B100" t="s">
        <v>865</v>
      </c>
      <c r="C100">
        <v>48700.100000000093</v>
      </c>
      <c r="D100">
        <v>0.01</v>
      </c>
      <c r="E100">
        <v>0.56000000000000005</v>
      </c>
    </row>
    <row r="101" spans="1:5">
      <c r="A101" s="143">
        <v>3546130</v>
      </c>
      <c r="B101" t="s">
        <v>865</v>
      </c>
      <c r="C101">
        <v>49250.199999999953</v>
      </c>
      <c r="D101">
        <v>0.01</v>
      </c>
      <c r="E101">
        <v>0.71</v>
      </c>
    </row>
    <row r="102" spans="1:5">
      <c r="A102" s="143">
        <v>3546140</v>
      </c>
      <c r="B102" t="s">
        <v>865</v>
      </c>
      <c r="C102">
        <v>52680.300000000047</v>
      </c>
      <c r="D102">
        <v>0.01</v>
      </c>
      <c r="E102">
        <v>0.76</v>
      </c>
    </row>
    <row r="103" spans="1:5">
      <c r="A103" s="143">
        <v>3546150</v>
      </c>
      <c r="B103" t="s">
        <v>868</v>
      </c>
      <c r="C103">
        <v>91650</v>
      </c>
      <c r="D103">
        <v>4.4999999999999998E-2</v>
      </c>
      <c r="E103">
        <v>1.32</v>
      </c>
    </row>
    <row r="104" spans="1:5">
      <c r="A104" s="143">
        <v>3546180</v>
      </c>
      <c r="B104" t="s">
        <v>681</v>
      </c>
      <c r="C104">
        <v>87500</v>
      </c>
      <c r="D104">
        <v>2.5000000000000001E-2</v>
      </c>
      <c r="E104">
        <v>1.26</v>
      </c>
    </row>
    <row r="105" spans="1:5">
      <c r="A105" s="143">
        <v>3547105</v>
      </c>
      <c r="B105" t="s">
        <v>865</v>
      </c>
      <c r="C105">
        <v>38300</v>
      </c>
      <c r="D105">
        <v>0.01</v>
      </c>
      <c r="E105">
        <v>0.62</v>
      </c>
    </row>
    <row r="106" spans="1:5">
      <c r="A106" s="143">
        <v>3547120</v>
      </c>
      <c r="B106" t="s">
        <v>865</v>
      </c>
      <c r="C106">
        <v>38300</v>
      </c>
      <c r="D106">
        <v>0.01</v>
      </c>
      <c r="E106">
        <v>0.62</v>
      </c>
    </row>
    <row r="107" spans="1:5">
      <c r="A107" s="143">
        <v>3549100</v>
      </c>
      <c r="B107" t="s">
        <v>865</v>
      </c>
      <c r="C107">
        <v>4213</v>
      </c>
      <c r="D107">
        <v>0.06</v>
      </c>
      <c r="E107">
        <v>0.28000000000000003</v>
      </c>
    </row>
    <row r="108" spans="1:5">
      <c r="A108" s="143">
        <v>3549110</v>
      </c>
      <c r="B108" t="s">
        <v>865</v>
      </c>
      <c r="C108">
        <v>4619</v>
      </c>
      <c r="D108">
        <v>1.7500000000000002E-2</v>
      </c>
      <c r="E108">
        <v>0.28999999999999998</v>
      </c>
    </row>
    <row r="109" spans="1:5">
      <c r="A109" s="143">
        <v>3549120</v>
      </c>
      <c r="B109" t="s">
        <v>865</v>
      </c>
      <c r="C109">
        <v>4232</v>
      </c>
      <c r="D109">
        <v>0.01</v>
      </c>
      <c r="E109">
        <v>0.28000000000000003</v>
      </c>
    </row>
    <row r="110" spans="1:5">
      <c r="A110" s="143">
        <v>3549130</v>
      </c>
      <c r="B110" t="s">
        <v>865</v>
      </c>
      <c r="C110">
        <v>4883</v>
      </c>
      <c r="D110">
        <v>1.2500000000000001E-2</v>
      </c>
      <c r="E110">
        <v>0.25</v>
      </c>
    </row>
    <row r="111" spans="1:5">
      <c r="A111" s="143">
        <v>3549140</v>
      </c>
      <c r="B111" t="s">
        <v>865</v>
      </c>
      <c r="C111">
        <v>5246</v>
      </c>
      <c r="D111">
        <v>0.02</v>
      </c>
      <c r="E111">
        <v>0.27</v>
      </c>
    </row>
    <row r="112" spans="1:5">
      <c r="A112" s="143">
        <v>3549160</v>
      </c>
      <c r="B112" t="s">
        <v>865</v>
      </c>
      <c r="C112">
        <v>5021</v>
      </c>
      <c r="D112">
        <v>0.02</v>
      </c>
      <c r="E112">
        <v>0.52</v>
      </c>
    </row>
    <row r="113" spans="1:5">
      <c r="A113" s="143">
        <v>3550100</v>
      </c>
      <c r="B113" t="s">
        <v>865</v>
      </c>
      <c r="C113">
        <v>6635</v>
      </c>
      <c r="D113">
        <v>0.01</v>
      </c>
      <c r="E113">
        <v>0.32</v>
      </c>
    </row>
    <row r="114" spans="1:5">
      <c r="A114" s="143">
        <v>3550110</v>
      </c>
      <c r="B114" t="s">
        <v>865</v>
      </c>
      <c r="C114">
        <v>10971</v>
      </c>
      <c r="D114">
        <v>0.01</v>
      </c>
      <c r="E114">
        <v>0.5</v>
      </c>
    </row>
    <row r="115" spans="1:5">
      <c r="A115" s="143">
        <v>3551100</v>
      </c>
      <c r="B115" t="s">
        <v>865</v>
      </c>
      <c r="C115">
        <v>16190</v>
      </c>
      <c r="D115">
        <v>0.01</v>
      </c>
      <c r="E115">
        <v>0.38</v>
      </c>
    </row>
    <row r="116" spans="1:5">
      <c r="A116" s="143">
        <v>3551130</v>
      </c>
      <c r="B116" t="s">
        <v>865</v>
      </c>
      <c r="C116">
        <v>18210</v>
      </c>
      <c r="D116">
        <v>0.01</v>
      </c>
      <c r="E116">
        <v>0.45</v>
      </c>
    </row>
    <row r="117" spans="1:5">
      <c r="A117" s="143">
        <v>3552100</v>
      </c>
      <c r="B117" t="s">
        <v>865</v>
      </c>
      <c r="C117">
        <v>13660</v>
      </c>
      <c r="D117">
        <v>0.01</v>
      </c>
      <c r="E117">
        <v>0.34</v>
      </c>
    </row>
    <row r="118" spans="1:5">
      <c r="A118" s="143">
        <v>3552110</v>
      </c>
      <c r="B118" t="s">
        <v>865</v>
      </c>
      <c r="C118">
        <v>12310</v>
      </c>
      <c r="D118">
        <v>0.01</v>
      </c>
      <c r="E118">
        <v>0.27</v>
      </c>
    </row>
    <row r="119" spans="1:5">
      <c r="A119" s="143">
        <v>3552120</v>
      </c>
      <c r="B119" t="s">
        <v>865</v>
      </c>
      <c r="C119">
        <v>10600</v>
      </c>
      <c r="D119">
        <v>0.01</v>
      </c>
      <c r="E119">
        <v>0.23</v>
      </c>
    </row>
    <row r="120" spans="1:5">
      <c r="A120" s="143">
        <v>3552130</v>
      </c>
      <c r="B120" t="s">
        <v>865</v>
      </c>
      <c r="C120">
        <v>18210</v>
      </c>
      <c r="D120">
        <v>0.01</v>
      </c>
      <c r="E120">
        <v>0.28999999999999998</v>
      </c>
    </row>
    <row r="121" spans="1:5">
      <c r="A121" s="143">
        <v>3553100</v>
      </c>
      <c r="B121" t="s">
        <v>865</v>
      </c>
      <c r="C121">
        <v>6881.5999999999767</v>
      </c>
      <c r="D121">
        <v>2.5000000000000001E-2</v>
      </c>
      <c r="E121">
        <v>0.3</v>
      </c>
    </row>
    <row r="122" spans="1:5">
      <c r="A122" s="143">
        <v>3553130</v>
      </c>
      <c r="B122" t="s">
        <v>865</v>
      </c>
      <c r="C122">
        <v>3696</v>
      </c>
      <c r="D122">
        <v>0.01</v>
      </c>
      <c r="E122">
        <v>0.36</v>
      </c>
    </row>
    <row r="123" spans="1:5">
      <c r="A123" s="143">
        <v>3553140</v>
      </c>
      <c r="B123" t="s">
        <v>865</v>
      </c>
      <c r="C123">
        <v>3165</v>
      </c>
      <c r="D123">
        <v>0.01</v>
      </c>
      <c r="E123">
        <v>0.27</v>
      </c>
    </row>
    <row r="124" spans="1:5">
      <c r="A124" s="143">
        <v>3553150</v>
      </c>
      <c r="B124" t="s">
        <v>865</v>
      </c>
      <c r="C124">
        <v>2986</v>
      </c>
      <c r="D124">
        <v>0.01</v>
      </c>
      <c r="E124">
        <v>0.19</v>
      </c>
    </row>
    <row r="125" spans="1:5">
      <c r="A125" s="143">
        <v>3553160</v>
      </c>
      <c r="B125" t="s">
        <v>865</v>
      </c>
      <c r="C125">
        <v>7478</v>
      </c>
      <c r="D125">
        <v>2.5000000000000001E-2</v>
      </c>
      <c r="E125">
        <v>0.34</v>
      </c>
    </row>
    <row r="126" spans="1:5">
      <c r="A126" s="143">
        <v>3553170</v>
      </c>
      <c r="B126" t="s">
        <v>865</v>
      </c>
      <c r="C126">
        <v>6766</v>
      </c>
      <c r="D126">
        <v>1.2500000000000001E-2</v>
      </c>
      <c r="E126">
        <v>0.3</v>
      </c>
    </row>
    <row r="127" spans="1:5">
      <c r="A127" s="143">
        <v>3553180</v>
      </c>
      <c r="B127" t="s">
        <v>865</v>
      </c>
      <c r="C127">
        <v>5748</v>
      </c>
      <c r="D127">
        <v>1.2500000000000001E-2</v>
      </c>
      <c r="E127">
        <v>0.27</v>
      </c>
    </row>
    <row r="128" spans="1:5">
      <c r="A128" s="143">
        <v>3553190</v>
      </c>
      <c r="B128" t="s">
        <v>865</v>
      </c>
      <c r="C128">
        <v>5889</v>
      </c>
      <c r="D128">
        <v>2.2499999999999999E-2</v>
      </c>
      <c r="E128">
        <v>0.25</v>
      </c>
    </row>
    <row r="129" spans="1:5">
      <c r="A129" s="143">
        <v>3553200</v>
      </c>
      <c r="B129" t="s">
        <v>865</v>
      </c>
      <c r="C129">
        <v>6009</v>
      </c>
      <c r="D129">
        <v>0.01</v>
      </c>
      <c r="E129">
        <v>0.27</v>
      </c>
    </row>
    <row r="130" spans="1:5">
      <c r="A130" s="143">
        <v>3553210</v>
      </c>
      <c r="B130" t="s">
        <v>865</v>
      </c>
      <c r="C130">
        <v>6009</v>
      </c>
      <c r="D130">
        <v>0.01</v>
      </c>
      <c r="E130">
        <v>0.27</v>
      </c>
    </row>
    <row r="131" spans="1:5">
      <c r="A131" s="143">
        <v>3554120</v>
      </c>
      <c r="B131" t="s">
        <v>865</v>
      </c>
      <c r="C131">
        <v>11870</v>
      </c>
      <c r="D131">
        <v>3.7499999999999999E-2</v>
      </c>
      <c r="E131">
        <v>0.36</v>
      </c>
    </row>
    <row r="132" spans="1:5">
      <c r="A132" s="143">
        <v>3554130</v>
      </c>
      <c r="B132" t="s">
        <v>865</v>
      </c>
      <c r="C132">
        <v>12542</v>
      </c>
      <c r="D132">
        <v>0.01</v>
      </c>
      <c r="E132">
        <v>0.38</v>
      </c>
    </row>
    <row r="133" spans="1:5">
      <c r="A133" s="143">
        <v>3554140</v>
      </c>
      <c r="B133" t="s">
        <v>865</v>
      </c>
      <c r="C133">
        <v>9833</v>
      </c>
      <c r="D133">
        <v>0.01</v>
      </c>
      <c r="E133">
        <v>0.24</v>
      </c>
    </row>
    <row r="134" spans="1:5">
      <c r="A134" s="143">
        <v>3555100</v>
      </c>
      <c r="B134" t="s">
        <v>865</v>
      </c>
      <c r="C134">
        <v>3490</v>
      </c>
      <c r="D134">
        <v>0.01</v>
      </c>
      <c r="E134">
        <v>0.4</v>
      </c>
    </row>
    <row r="135" spans="1:5">
      <c r="A135" s="143">
        <v>3555110</v>
      </c>
      <c r="B135" t="s">
        <v>865</v>
      </c>
      <c r="C135">
        <v>4113</v>
      </c>
      <c r="D135">
        <v>0.01</v>
      </c>
      <c r="E135">
        <v>0.46</v>
      </c>
    </row>
    <row r="136" spans="1:5">
      <c r="A136" s="143">
        <v>3555120</v>
      </c>
      <c r="B136" t="s">
        <v>865</v>
      </c>
      <c r="C136">
        <v>5617</v>
      </c>
      <c r="D136">
        <v>0.01</v>
      </c>
      <c r="E136">
        <v>0.25</v>
      </c>
    </row>
    <row r="137" spans="1:5">
      <c r="A137" s="143">
        <v>3555130</v>
      </c>
      <c r="B137" t="s">
        <v>865</v>
      </c>
      <c r="C137">
        <v>7392.5999999999767</v>
      </c>
      <c r="D137">
        <v>0.01</v>
      </c>
      <c r="E137">
        <v>0.19</v>
      </c>
    </row>
    <row r="138" spans="1:5">
      <c r="A138" s="143">
        <v>3556100</v>
      </c>
      <c r="B138" t="s">
        <v>865</v>
      </c>
      <c r="C138">
        <v>3722</v>
      </c>
      <c r="D138">
        <v>0.01</v>
      </c>
      <c r="E138">
        <v>0.17</v>
      </c>
    </row>
    <row r="139" spans="1:5">
      <c r="A139" s="143">
        <v>3556110</v>
      </c>
      <c r="B139" t="s">
        <v>865</v>
      </c>
      <c r="C139">
        <v>3426</v>
      </c>
      <c r="D139">
        <v>5.7500000000000002E-2</v>
      </c>
      <c r="E139">
        <v>0.16</v>
      </c>
    </row>
    <row r="140" spans="1:5">
      <c r="A140" s="143">
        <v>3557110</v>
      </c>
      <c r="B140" t="s">
        <v>865</v>
      </c>
      <c r="C140">
        <v>9252</v>
      </c>
      <c r="D140">
        <v>8.2500000000000004E-2</v>
      </c>
      <c r="E140">
        <v>0.33</v>
      </c>
    </row>
    <row r="141" spans="1:5">
      <c r="A141" s="143">
        <v>3557120</v>
      </c>
      <c r="B141" t="s">
        <v>865</v>
      </c>
      <c r="C141">
        <v>13647.899999999907</v>
      </c>
      <c r="D141">
        <v>0.10250000000000001</v>
      </c>
      <c r="E141">
        <v>0.39</v>
      </c>
    </row>
    <row r="142" spans="1:5">
      <c r="A142" s="143">
        <v>3557130</v>
      </c>
      <c r="B142" t="s">
        <v>865</v>
      </c>
      <c r="C142">
        <v>11047</v>
      </c>
      <c r="D142">
        <v>0.06</v>
      </c>
      <c r="E142">
        <v>0.35</v>
      </c>
    </row>
    <row r="143" spans="1:5">
      <c r="A143" s="143">
        <v>3557140</v>
      </c>
      <c r="B143" t="s">
        <v>865</v>
      </c>
      <c r="C143">
        <v>12506</v>
      </c>
      <c r="D143">
        <v>5.2499999999999998E-2</v>
      </c>
      <c r="E143">
        <v>0.32</v>
      </c>
    </row>
    <row r="144" spans="1:5">
      <c r="A144" s="143">
        <v>3558110</v>
      </c>
      <c r="B144" t="s">
        <v>865</v>
      </c>
      <c r="C144">
        <v>7710</v>
      </c>
      <c r="D144">
        <v>5.7500000000000002E-2</v>
      </c>
      <c r="E144">
        <v>0.33</v>
      </c>
    </row>
    <row r="145" spans="1:5">
      <c r="A145" s="143">
        <v>3558120</v>
      </c>
      <c r="B145" t="s">
        <v>865</v>
      </c>
      <c r="C145">
        <v>7940</v>
      </c>
      <c r="D145">
        <v>1.4999999999999999E-2</v>
      </c>
      <c r="E145">
        <v>0.3</v>
      </c>
    </row>
    <row r="146" spans="1:5">
      <c r="A146" s="143">
        <v>3558140</v>
      </c>
      <c r="B146" t="s">
        <v>865</v>
      </c>
      <c r="C146">
        <v>7940</v>
      </c>
      <c r="D146">
        <v>1.4999999999999999E-2</v>
      </c>
      <c r="E146">
        <v>0.3</v>
      </c>
    </row>
    <row r="147" spans="1:5">
      <c r="A147" s="143">
        <v>3558150</v>
      </c>
      <c r="B147" t="s">
        <v>865</v>
      </c>
      <c r="C147">
        <v>6390</v>
      </c>
      <c r="D147">
        <v>1.7500000000000002E-2</v>
      </c>
      <c r="E147">
        <v>0.28000000000000003</v>
      </c>
    </row>
    <row r="148" spans="1:5">
      <c r="A148" s="143">
        <v>3558170</v>
      </c>
      <c r="B148" t="s">
        <v>865</v>
      </c>
      <c r="C148">
        <v>6525.714285714319</v>
      </c>
      <c r="D148">
        <v>0.04</v>
      </c>
      <c r="E148">
        <v>0.66</v>
      </c>
    </row>
    <row r="149" spans="1:5">
      <c r="A149" s="372">
        <v>3558180</v>
      </c>
      <c r="B149" t="s">
        <v>865</v>
      </c>
      <c r="C149">
        <v>7710</v>
      </c>
      <c r="D149">
        <v>5.7500000000000002E-2</v>
      </c>
      <c r="E149">
        <v>0.33</v>
      </c>
    </row>
    <row r="150" spans="1:5">
      <c r="A150" s="143">
        <v>3558190</v>
      </c>
      <c r="B150" t="s">
        <v>865</v>
      </c>
      <c r="C150">
        <v>7710</v>
      </c>
      <c r="D150">
        <v>5.7500000000000002E-2</v>
      </c>
      <c r="E150">
        <v>0.33</v>
      </c>
    </row>
    <row r="151" spans="1:5">
      <c r="A151" s="143">
        <v>3559100</v>
      </c>
      <c r="B151" t="s">
        <v>865</v>
      </c>
      <c r="C151">
        <v>6710</v>
      </c>
      <c r="D151">
        <v>0.01</v>
      </c>
      <c r="E151">
        <v>0.78</v>
      </c>
    </row>
    <row r="152" spans="1:5">
      <c r="A152" s="143">
        <v>3559110</v>
      </c>
      <c r="B152" t="s">
        <v>865</v>
      </c>
      <c r="C152">
        <v>6830</v>
      </c>
      <c r="D152">
        <v>0.01</v>
      </c>
      <c r="E152">
        <v>0.79</v>
      </c>
    </row>
    <row r="153" spans="1:5">
      <c r="A153" s="143">
        <v>3560110</v>
      </c>
      <c r="B153" t="s">
        <v>866</v>
      </c>
      <c r="C153">
        <v>7990</v>
      </c>
      <c r="D153">
        <v>1.4999999999999999E-2</v>
      </c>
      <c r="E153">
        <v>0.92</v>
      </c>
    </row>
    <row r="154" spans="1:5">
      <c r="A154" s="143">
        <v>3560120</v>
      </c>
      <c r="B154" t="s">
        <v>681</v>
      </c>
      <c r="C154">
        <v>10730</v>
      </c>
      <c r="D154">
        <v>0.03</v>
      </c>
      <c r="E154">
        <v>1.24</v>
      </c>
    </row>
    <row r="155" spans="1:5">
      <c r="A155" s="143">
        <v>4000100</v>
      </c>
      <c r="B155" t="s">
        <v>865</v>
      </c>
      <c r="C155">
        <v>1401</v>
      </c>
      <c r="D155">
        <v>0.06</v>
      </c>
      <c r="E155">
        <v>0.08</v>
      </c>
    </row>
    <row r="156" spans="1:5">
      <c r="A156" s="143">
        <v>4002000</v>
      </c>
      <c r="B156" t="s">
        <v>865</v>
      </c>
      <c r="C156">
        <v>4555</v>
      </c>
      <c r="D156">
        <v>0.03</v>
      </c>
      <c r="E156">
        <v>0.22</v>
      </c>
    </row>
    <row r="157" spans="1:5">
      <c r="A157" s="143">
        <v>4008000</v>
      </c>
      <c r="B157" t="s">
        <v>865</v>
      </c>
      <c r="C157">
        <v>381</v>
      </c>
      <c r="D157">
        <v>0.01</v>
      </c>
      <c r="E157">
        <v>0.04</v>
      </c>
    </row>
    <row r="158" spans="1:5">
      <c r="A158" s="143">
        <v>4009000</v>
      </c>
      <c r="B158" t="s">
        <v>865</v>
      </c>
      <c r="C158">
        <v>5379</v>
      </c>
      <c r="D158">
        <v>9.7500000000000003E-2</v>
      </c>
      <c r="E158">
        <v>0.49</v>
      </c>
    </row>
    <row r="159" spans="1:5">
      <c r="A159" s="143">
        <v>5000000</v>
      </c>
      <c r="B159" t="s">
        <v>865</v>
      </c>
      <c r="C159">
        <v>15314</v>
      </c>
      <c r="D159">
        <v>0.01</v>
      </c>
      <c r="E159">
        <v>0.48</v>
      </c>
    </row>
    <row r="160" spans="1:5">
      <c r="A160" s="143">
        <v>5000110</v>
      </c>
      <c r="B160" t="s">
        <v>865</v>
      </c>
      <c r="C160">
        <v>10502</v>
      </c>
      <c r="D160">
        <v>0.01</v>
      </c>
      <c r="E160">
        <v>0.37</v>
      </c>
    </row>
    <row r="161" spans="1:5">
      <c r="A161" s="143">
        <v>5000300</v>
      </c>
      <c r="B161" t="s">
        <v>865</v>
      </c>
      <c r="C161">
        <v>16152</v>
      </c>
      <c r="D161">
        <v>0.01</v>
      </c>
      <c r="E161">
        <v>0.49</v>
      </c>
    </row>
    <row r="162" spans="1:5">
      <c r="A162" s="143">
        <v>5000390</v>
      </c>
      <c r="B162" t="s">
        <v>865</v>
      </c>
      <c r="C162">
        <v>18366</v>
      </c>
      <c r="D162">
        <v>0.01</v>
      </c>
      <c r="E162">
        <v>0.75</v>
      </c>
    </row>
    <row r="163" spans="1:5">
      <c r="A163" s="143">
        <v>5000420</v>
      </c>
      <c r="B163" t="s">
        <v>681</v>
      </c>
      <c r="C163">
        <v>10995</v>
      </c>
      <c r="D163">
        <v>0.01</v>
      </c>
      <c r="E163">
        <v>0</v>
      </c>
    </row>
    <row r="164" spans="1:5">
      <c r="A164" s="143">
        <v>5000430</v>
      </c>
      <c r="B164" t="s">
        <v>869</v>
      </c>
      <c r="C164">
        <v>19318</v>
      </c>
      <c r="D164">
        <v>0.01</v>
      </c>
      <c r="E164">
        <v>0</v>
      </c>
    </row>
    <row r="165" spans="1:5">
      <c r="A165" s="143">
        <v>5000500</v>
      </c>
      <c r="B165" t="s">
        <v>865</v>
      </c>
      <c r="C165">
        <v>7558</v>
      </c>
      <c r="D165">
        <v>0.01</v>
      </c>
      <c r="E165">
        <v>0.7</v>
      </c>
    </row>
    <row r="166" spans="1:5">
      <c r="A166" s="141">
        <v>5000700</v>
      </c>
      <c r="B166" t="s">
        <v>866</v>
      </c>
      <c r="C166">
        <v>13110</v>
      </c>
      <c r="D166">
        <v>0.01</v>
      </c>
      <c r="E166">
        <v>0.85</v>
      </c>
    </row>
    <row r="167" spans="1:5">
      <c r="A167" s="141">
        <v>5999990</v>
      </c>
      <c r="B167" t="s">
        <v>865</v>
      </c>
      <c r="C167">
        <v>12419</v>
      </c>
      <c r="D167">
        <v>0.01</v>
      </c>
      <c r="E167">
        <v>0.41</v>
      </c>
    </row>
    <row r="168" spans="1:5">
      <c r="A168" s="141">
        <v>6000001</v>
      </c>
      <c r="B168" t="s">
        <v>865</v>
      </c>
      <c r="C168">
        <v>12814</v>
      </c>
      <c r="D168">
        <v>0.1075</v>
      </c>
      <c r="E168">
        <v>0.37</v>
      </c>
    </row>
    <row r="169" spans="1:5">
      <c r="A169" s="141">
        <v>6000002</v>
      </c>
      <c r="B169" t="s">
        <v>865</v>
      </c>
      <c r="C169">
        <v>14776</v>
      </c>
      <c r="D169">
        <v>0.05</v>
      </c>
      <c r="E169">
        <v>0.4</v>
      </c>
    </row>
    <row r="170" spans="1:5">
      <c r="A170" s="143">
        <v>6000003</v>
      </c>
      <c r="B170" t="s">
        <v>865</v>
      </c>
      <c r="C170">
        <v>13428</v>
      </c>
      <c r="D170">
        <v>5.5E-2</v>
      </c>
      <c r="E170">
        <v>0.46</v>
      </c>
    </row>
    <row r="171" spans="1:5">
      <c r="A171" s="143">
        <v>6000004</v>
      </c>
      <c r="B171" t="s">
        <v>865</v>
      </c>
      <c r="C171">
        <v>15670</v>
      </c>
      <c r="D171">
        <v>0.01</v>
      </c>
      <c r="E171">
        <v>0.52</v>
      </c>
    </row>
    <row r="172" spans="1:5">
      <c r="A172" s="143">
        <v>6000005</v>
      </c>
      <c r="B172" t="s">
        <v>865</v>
      </c>
      <c r="C172">
        <v>21052</v>
      </c>
      <c r="D172">
        <v>2.75E-2</v>
      </c>
      <c r="E172">
        <v>0.7</v>
      </c>
    </row>
    <row r="173" spans="1:5">
      <c r="A173" s="143">
        <v>6000010</v>
      </c>
      <c r="B173" t="s">
        <v>865</v>
      </c>
      <c r="C173">
        <v>5884</v>
      </c>
      <c r="D173">
        <v>6.7500000000000004E-2</v>
      </c>
      <c r="E173">
        <v>0.19</v>
      </c>
    </row>
    <row r="174" spans="1:5">
      <c r="A174" s="143">
        <v>6000015</v>
      </c>
      <c r="B174" t="s">
        <v>865</v>
      </c>
      <c r="C174">
        <v>12098</v>
      </c>
      <c r="D174">
        <v>0.01</v>
      </c>
      <c r="E174">
        <v>0.4</v>
      </c>
    </row>
    <row r="175" spans="1:5">
      <c r="A175" s="143">
        <v>6000020</v>
      </c>
      <c r="B175" t="s">
        <v>547</v>
      </c>
      <c r="C175" t="s">
        <v>243</v>
      </c>
      <c r="D175" t="s">
        <v>547</v>
      </c>
    </row>
    <row r="176" spans="1:5">
      <c r="A176" s="143">
        <v>6000030</v>
      </c>
      <c r="B176" t="s">
        <v>865</v>
      </c>
      <c r="C176">
        <v>9125</v>
      </c>
      <c r="D176">
        <v>1.4999999999999999E-2</v>
      </c>
      <c r="E176">
        <v>0.8</v>
      </c>
    </row>
    <row r="177" spans="1:5">
      <c r="A177" s="143">
        <v>6000035</v>
      </c>
      <c r="B177" t="s">
        <v>865</v>
      </c>
      <c r="C177">
        <v>7571</v>
      </c>
      <c r="D177">
        <v>0.01</v>
      </c>
      <c r="E177">
        <v>0.62</v>
      </c>
    </row>
    <row r="178" spans="1:5">
      <c r="A178" s="143">
        <v>6000045</v>
      </c>
      <c r="B178" t="s">
        <v>865</v>
      </c>
      <c r="C178">
        <v>5554</v>
      </c>
      <c r="D178">
        <v>5.7500000000000002E-2</v>
      </c>
      <c r="E178">
        <v>0.44</v>
      </c>
    </row>
    <row r="179" spans="1:5">
      <c r="A179" s="143">
        <v>6000050</v>
      </c>
      <c r="B179" t="s">
        <v>865</v>
      </c>
      <c r="C179">
        <v>4595</v>
      </c>
      <c r="D179">
        <v>0.01</v>
      </c>
      <c r="E179">
        <v>0.36</v>
      </c>
    </row>
    <row r="180" spans="1:5">
      <c r="A180" s="143">
        <v>6000055</v>
      </c>
      <c r="B180" t="s">
        <v>865</v>
      </c>
      <c r="C180">
        <v>3590</v>
      </c>
      <c r="D180">
        <v>0.01</v>
      </c>
      <c r="E180">
        <v>0.3</v>
      </c>
    </row>
    <row r="181" spans="1:5">
      <c r="A181" s="143">
        <v>6000060</v>
      </c>
      <c r="B181" t="s">
        <v>865</v>
      </c>
      <c r="C181">
        <v>4955</v>
      </c>
      <c r="D181">
        <v>0.01</v>
      </c>
      <c r="E181">
        <v>0.39</v>
      </c>
    </row>
    <row r="182" spans="1:5">
      <c r="A182" s="143">
        <v>6000065</v>
      </c>
      <c r="B182" t="s">
        <v>865</v>
      </c>
      <c r="C182">
        <v>7002</v>
      </c>
      <c r="D182">
        <v>0.01</v>
      </c>
      <c r="E182">
        <v>0.56999999999999995</v>
      </c>
    </row>
    <row r="183" spans="1:5">
      <c r="A183" s="143">
        <v>6000070</v>
      </c>
      <c r="B183" t="s">
        <v>865</v>
      </c>
      <c r="C183">
        <v>5687.5999999999767</v>
      </c>
      <c r="D183">
        <v>2.2499999999999999E-2</v>
      </c>
      <c r="E183">
        <v>0.41</v>
      </c>
    </row>
    <row r="184" spans="1:5">
      <c r="A184" s="143">
        <v>6000080</v>
      </c>
      <c r="B184" t="s">
        <v>547</v>
      </c>
      <c r="C184" t="s">
        <v>243</v>
      </c>
      <c r="D184" t="s">
        <v>547</v>
      </c>
    </row>
    <row r="185" spans="1:5">
      <c r="A185" s="143">
        <v>6000085</v>
      </c>
      <c r="B185" t="s">
        <v>865</v>
      </c>
      <c r="C185">
        <v>2445</v>
      </c>
      <c r="D185">
        <v>8.7500000000000008E-2</v>
      </c>
      <c r="E185">
        <v>0.28000000000000003</v>
      </c>
    </row>
    <row r="186" spans="1:5">
      <c r="A186" s="143">
        <v>6000090</v>
      </c>
      <c r="B186" t="s">
        <v>865</v>
      </c>
      <c r="C186">
        <v>2220</v>
      </c>
      <c r="D186">
        <v>0.01</v>
      </c>
      <c r="E186">
        <v>0.16</v>
      </c>
    </row>
    <row r="187" spans="1:5">
      <c r="A187" s="143">
        <v>6000095</v>
      </c>
      <c r="B187" t="s">
        <v>547</v>
      </c>
      <c r="C187" t="s">
        <v>243</v>
      </c>
      <c r="D187" t="s">
        <v>547</v>
      </c>
    </row>
    <row r="188" spans="1:5">
      <c r="A188" s="143">
        <v>6000100</v>
      </c>
      <c r="B188" t="s">
        <v>865</v>
      </c>
      <c r="C188">
        <v>6301</v>
      </c>
      <c r="D188">
        <v>0.01</v>
      </c>
      <c r="E188">
        <v>0.49</v>
      </c>
    </row>
    <row r="189" spans="1:5">
      <c r="A189" s="143">
        <v>6000105</v>
      </c>
      <c r="B189" t="s">
        <v>865</v>
      </c>
      <c r="C189">
        <v>5748</v>
      </c>
      <c r="D189">
        <v>0.01</v>
      </c>
      <c r="E189">
        <v>0.45</v>
      </c>
    </row>
    <row r="190" spans="1:5">
      <c r="A190" s="143">
        <v>6000110</v>
      </c>
      <c r="B190" t="s">
        <v>865</v>
      </c>
      <c r="C190">
        <v>5373</v>
      </c>
      <c r="D190">
        <v>0.01</v>
      </c>
      <c r="E190">
        <v>0.46</v>
      </c>
    </row>
    <row r="191" spans="1:5">
      <c r="A191" s="143">
        <v>6000115</v>
      </c>
      <c r="B191" t="s">
        <v>865</v>
      </c>
      <c r="C191">
        <v>9330</v>
      </c>
      <c r="D191">
        <v>2.2499999999999999E-2</v>
      </c>
      <c r="E191">
        <v>0.72</v>
      </c>
    </row>
    <row r="192" spans="1:5">
      <c r="A192" s="143">
        <v>6000120</v>
      </c>
      <c r="B192" t="s">
        <v>865</v>
      </c>
      <c r="E192">
        <v>0.39</v>
      </c>
    </row>
    <row r="193" spans="1:5">
      <c r="A193" s="143">
        <v>6000125</v>
      </c>
      <c r="B193" t="s">
        <v>865</v>
      </c>
      <c r="C193">
        <v>4599</v>
      </c>
      <c r="D193">
        <v>0.01</v>
      </c>
      <c r="E193">
        <v>0.35</v>
      </c>
    </row>
    <row r="194" spans="1:5">
      <c r="A194" s="143">
        <v>6000130</v>
      </c>
      <c r="B194" t="s">
        <v>865</v>
      </c>
      <c r="C194">
        <v>10841</v>
      </c>
      <c r="D194">
        <v>0.01</v>
      </c>
      <c r="E194">
        <v>0.34</v>
      </c>
    </row>
    <row r="195" spans="1:5">
      <c r="A195" s="143">
        <v>6000135</v>
      </c>
      <c r="B195" t="s">
        <v>865</v>
      </c>
      <c r="C195">
        <v>10785</v>
      </c>
      <c r="D195">
        <v>0.01</v>
      </c>
      <c r="E195">
        <v>0.35</v>
      </c>
    </row>
    <row r="196" spans="1:5">
      <c r="A196" s="143">
        <v>6000145</v>
      </c>
      <c r="B196" t="s">
        <v>865</v>
      </c>
      <c r="C196">
        <v>11650</v>
      </c>
      <c r="D196">
        <v>5.7500000000000002E-2</v>
      </c>
      <c r="E196">
        <v>0.35</v>
      </c>
    </row>
    <row r="197" spans="1:5">
      <c r="A197" s="143">
        <v>32230001</v>
      </c>
      <c r="B197" t="s">
        <v>865</v>
      </c>
      <c r="C197">
        <v>1726</v>
      </c>
      <c r="D197">
        <v>1.2500000000000001E-2</v>
      </c>
      <c r="E197">
        <v>0.11</v>
      </c>
    </row>
    <row r="198" spans="1:5">
      <c r="A198" s="143">
        <v>32531601</v>
      </c>
      <c r="B198" t="s">
        <v>865</v>
      </c>
      <c r="C198">
        <v>5380</v>
      </c>
      <c r="D198">
        <v>0.01</v>
      </c>
      <c r="E198">
        <v>0.25</v>
      </c>
    </row>
    <row r="199" spans="1:5">
      <c r="A199" s="143">
        <v>32531602</v>
      </c>
      <c r="B199" t="s">
        <v>865</v>
      </c>
      <c r="C199">
        <v>4545</v>
      </c>
      <c r="D199">
        <v>0.01</v>
      </c>
      <c r="E199">
        <v>0.3</v>
      </c>
    </row>
    <row r="200" spans="1:5">
      <c r="A200" s="143">
        <v>32532601</v>
      </c>
      <c r="B200" t="s">
        <v>866</v>
      </c>
      <c r="C200">
        <v>26690</v>
      </c>
      <c r="D200">
        <v>7.4999999999999997E-2</v>
      </c>
      <c r="E200">
        <v>0.66</v>
      </c>
    </row>
    <row r="201" spans="1:5">
      <c r="A201" s="143">
        <v>32533001</v>
      </c>
      <c r="B201" t="s">
        <v>868</v>
      </c>
      <c r="C201">
        <v>34150</v>
      </c>
      <c r="D201">
        <v>7.2499999999999995E-2</v>
      </c>
      <c r="E201">
        <v>0.8</v>
      </c>
    </row>
    <row r="202" spans="1:5">
      <c r="A202" s="143">
        <v>32533101</v>
      </c>
      <c r="B202" t="s">
        <v>865</v>
      </c>
      <c r="C202">
        <v>19290</v>
      </c>
      <c r="D202">
        <v>0.01</v>
      </c>
      <c r="E202">
        <v>0.48</v>
      </c>
    </row>
    <row r="203" spans="1:5">
      <c r="A203" s="143">
        <v>32533102</v>
      </c>
      <c r="B203" t="s">
        <v>865</v>
      </c>
      <c r="C203">
        <v>19290</v>
      </c>
      <c r="D203">
        <v>0.01</v>
      </c>
      <c r="E203">
        <v>0.48</v>
      </c>
    </row>
    <row r="204" spans="1:5">
      <c r="A204" s="143">
        <v>33000001</v>
      </c>
      <c r="B204" t="s">
        <v>865</v>
      </c>
      <c r="C204">
        <v>18184</v>
      </c>
      <c r="D204">
        <v>0.01</v>
      </c>
      <c r="E204">
        <v>0.56999999999999995</v>
      </c>
    </row>
    <row r="205" spans="1:5">
      <c r="A205" s="243">
        <v>33000002</v>
      </c>
      <c r="B205" t="s">
        <v>865</v>
      </c>
      <c r="C205">
        <v>13663</v>
      </c>
      <c r="D205">
        <v>0.01</v>
      </c>
      <c r="E205">
        <v>0.52</v>
      </c>
    </row>
    <row r="206" spans="1:5">
      <c r="A206" s="243">
        <v>33000003</v>
      </c>
      <c r="B206" t="s">
        <v>865</v>
      </c>
      <c r="C206">
        <v>16881</v>
      </c>
      <c r="D206">
        <v>0.01</v>
      </c>
      <c r="E206">
        <v>0.63</v>
      </c>
    </row>
    <row r="207" spans="1:5">
      <c r="A207" s="243">
        <v>35270001</v>
      </c>
      <c r="B207" t="s">
        <v>865</v>
      </c>
      <c r="C207">
        <v>8740</v>
      </c>
      <c r="D207">
        <v>2.2499999999999999E-2</v>
      </c>
      <c r="E207">
        <v>0.35</v>
      </c>
    </row>
    <row r="208" spans="1:5">
      <c r="A208" s="143">
        <v>35270002</v>
      </c>
      <c r="B208" t="s">
        <v>865</v>
      </c>
      <c r="C208">
        <v>11299</v>
      </c>
      <c r="D208">
        <v>3.7499999999999999E-2</v>
      </c>
      <c r="E208">
        <v>0.44</v>
      </c>
    </row>
    <row r="209" spans="1:5">
      <c r="A209" s="143">
        <v>35270003</v>
      </c>
      <c r="B209" t="s">
        <v>865</v>
      </c>
      <c r="C209">
        <v>11428</v>
      </c>
      <c r="D209">
        <v>2.2499999999999999E-2</v>
      </c>
      <c r="E209">
        <v>0.44</v>
      </c>
    </row>
    <row r="210" spans="1:5">
      <c r="A210" s="143">
        <v>35281102</v>
      </c>
      <c r="B210" t="s">
        <v>865</v>
      </c>
      <c r="C210">
        <v>1532</v>
      </c>
      <c r="D210">
        <v>4.2500000000000003E-2</v>
      </c>
      <c r="E210">
        <v>0.09</v>
      </c>
    </row>
    <row r="211" spans="1:5">
      <c r="A211" s="143">
        <v>35281103</v>
      </c>
      <c r="B211" t="s">
        <v>865</v>
      </c>
      <c r="C211">
        <v>16238.5</v>
      </c>
      <c r="D211">
        <v>6.25E-2</v>
      </c>
      <c r="E211">
        <v>0.48</v>
      </c>
    </row>
    <row r="212" spans="1:5">
      <c r="A212" s="143">
        <v>35281301</v>
      </c>
      <c r="B212" t="s">
        <v>865</v>
      </c>
      <c r="C212">
        <v>5926</v>
      </c>
      <c r="D212">
        <v>0.01</v>
      </c>
      <c r="E212">
        <v>0.18</v>
      </c>
    </row>
    <row r="213" spans="1:5">
      <c r="A213" s="143">
        <v>35281302</v>
      </c>
      <c r="B213" t="s">
        <v>865</v>
      </c>
      <c r="C213">
        <v>2312</v>
      </c>
      <c r="D213">
        <v>5.2499999999999998E-2</v>
      </c>
      <c r="E213">
        <v>0.13</v>
      </c>
    </row>
    <row r="214" spans="1:5">
      <c r="A214" s="143">
        <v>35310001</v>
      </c>
      <c r="B214" t="s">
        <v>865</v>
      </c>
      <c r="C214">
        <v>5900</v>
      </c>
      <c r="D214">
        <v>0.01</v>
      </c>
      <c r="E214">
        <v>0.23</v>
      </c>
    </row>
    <row r="215" spans="1:5">
      <c r="A215" s="143">
        <v>35310002</v>
      </c>
      <c r="B215" t="s">
        <v>865</v>
      </c>
      <c r="C215">
        <v>5343</v>
      </c>
      <c r="D215">
        <v>0.01</v>
      </c>
      <c r="E215">
        <v>0.14000000000000001</v>
      </c>
    </row>
    <row r="216" spans="1:5">
      <c r="A216" s="143">
        <v>35310003</v>
      </c>
      <c r="B216" t="s">
        <v>865</v>
      </c>
      <c r="C216">
        <v>4575</v>
      </c>
      <c r="D216">
        <v>0.01</v>
      </c>
      <c r="E216">
        <v>0.19</v>
      </c>
    </row>
    <row r="217" spans="1:5">
      <c r="A217" s="143">
        <v>35310004</v>
      </c>
      <c r="B217" t="s">
        <v>865</v>
      </c>
      <c r="C217">
        <v>3877</v>
      </c>
      <c r="D217">
        <v>0.01</v>
      </c>
      <c r="E217">
        <v>0.17</v>
      </c>
    </row>
    <row r="218" spans="1:5">
      <c r="A218" s="143">
        <v>35320001</v>
      </c>
      <c r="B218" t="s">
        <v>865</v>
      </c>
      <c r="C218">
        <v>934</v>
      </c>
      <c r="D218">
        <v>0.01</v>
      </c>
      <c r="E218">
        <v>0.06</v>
      </c>
    </row>
    <row r="219" spans="1:5">
      <c r="A219" s="143">
        <v>35331101</v>
      </c>
      <c r="B219" t="s">
        <v>865</v>
      </c>
      <c r="C219">
        <v>23165</v>
      </c>
      <c r="D219">
        <v>0.06</v>
      </c>
      <c r="E219">
        <v>0.56999999999999995</v>
      </c>
    </row>
    <row r="220" spans="1:5">
      <c r="A220" s="143">
        <v>35331102</v>
      </c>
      <c r="B220" t="s">
        <v>865</v>
      </c>
      <c r="C220">
        <v>25683</v>
      </c>
      <c r="D220">
        <v>5.5E-2</v>
      </c>
      <c r="E220">
        <v>0.67</v>
      </c>
    </row>
    <row r="221" spans="1:5">
      <c r="A221" s="143">
        <v>35331103</v>
      </c>
      <c r="B221" t="s">
        <v>865</v>
      </c>
      <c r="C221">
        <v>17753</v>
      </c>
      <c r="D221">
        <v>1.4999999999999999E-2</v>
      </c>
      <c r="E221">
        <v>0.48</v>
      </c>
    </row>
    <row r="222" spans="1:5">
      <c r="A222" s="143">
        <v>35331104</v>
      </c>
      <c r="B222" t="s">
        <v>865</v>
      </c>
      <c r="C222">
        <v>17753</v>
      </c>
      <c r="D222">
        <v>1.4999999999999999E-2</v>
      </c>
      <c r="E222">
        <v>0.48</v>
      </c>
    </row>
    <row r="223" spans="1:5">
      <c r="A223" s="143">
        <v>35331105</v>
      </c>
      <c r="B223" t="s">
        <v>865</v>
      </c>
      <c r="C223">
        <v>19173</v>
      </c>
      <c r="D223">
        <v>2.2499999999999999E-2</v>
      </c>
      <c r="E223">
        <v>0.45</v>
      </c>
    </row>
    <row r="224" spans="1:5">
      <c r="A224" s="143">
        <v>35371401</v>
      </c>
      <c r="B224" t="s">
        <v>865</v>
      </c>
      <c r="C224">
        <v>20981.199999999953</v>
      </c>
      <c r="D224">
        <v>0.01</v>
      </c>
      <c r="E224">
        <v>0.56000000000000005</v>
      </c>
    </row>
    <row r="225" spans="1:5">
      <c r="A225" s="143">
        <v>35380001</v>
      </c>
      <c r="B225" t="s">
        <v>865</v>
      </c>
      <c r="C225">
        <v>1854</v>
      </c>
      <c r="D225">
        <v>0.01</v>
      </c>
      <c r="E225">
        <v>0.15</v>
      </c>
    </row>
    <row r="226" spans="1:5">
      <c r="A226" s="143">
        <v>35411002</v>
      </c>
      <c r="B226" t="s">
        <v>681</v>
      </c>
      <c r="C226">
        <v>7210</v>
      </c>
      <c r="D226">
        <v>0.01</v>
      </c>
      <c r="E226">
        <v>0</v>
      </c>
    </row>
    <row r="227" spans="1:5">
      <c r="A227" s="143">
        <v>35411003</v>
      </c>
      <c r="B227" t="s">
        <v>681</v>
      </c>
      <c r="C227">
        <v>12976</v>
      </c>
      <c r="D227">
        <v>6.5000000000000002E-2</v>
      </c>
      <c r="E227">
        <v>0</v>
      </c>
    </row>
    <row r="228" spans="1:5">
      <c r="A228" s="143">
        <v>35411101</v>
      </c>
      <c r="B228" t="s">
        <v>681</v>
      </c>
      <c r="C228">
        <v>13177.800000000047</v>
      </c>
      <c r="D228">
        <v>5.7500000000000002E-2</v>
      </c>
      <c r="E228">
        <v>0</v>
      </c>
    </row>
    <row r="229" spans="1:5">
      <c r="A229" s="143">
        <v>35431101</v>
      </c>
      <c r="B229" t="s">
        <v>865</v>
      </c>
      <c r="C229">
        <v>7420.4000000000233</v>
      </c>
      <c r="D229">
        <v>3.7499999999999999E-2</v>
      </c>
      <c r="E229">
        <v>0.52</v>
      </c>
    </row>
    <row r="230" spans="1:5">
      <c r="A230" s="143">
        <v>35431102</v>
      </c>
      <c r="B230" t="s">
        <v>865</v>
      </c>
      <c r="C230">
        <v>6806</v>
      </c>
      <c r="D230">
        <v>0.02</v>
      </c>
      <c r="E230">
        <v>0.46</v>
      </c>
    </row>
    <row r="231" spans="1:5">
      <c r="A231" s="143">
        <v>35480001</v>
      </c>
      <c r="B231" t="s">
        <v>865</v>
      </c>
      <c r="C231">
        <v>3500</v>
      </c>
      <c r="D231">
        <v>0.01</v>
      </c>
      <c r="E231">
        <v>0.4</v>
      </c>
    </row>
    <row r="232" spans="1:5">
      <c r="A232" s="143">
        <v>35501001</v>
      </c>
      <c r="B232" t="s">
        <v>865</v>
      </c>
      <c r="C232">
        <v>7981</v>
      </c>
      <c r="D232">
        <v>0.01</v>
      </c>
      <c r="E232">
        <v>0.4</v>
      </c>
    </row>
    <row r="233" spans="1:5">
      <c r="A233" s="143">
        <v>35511201</v>
      </c>
      <c r="B233" t="s">
        <v>865</v>
      </c>
      <c r="C233">
        <v>16190</v>
      </c>
      <c r="D233">
        <v>0.01</v>
      </c>
      <c r="E233">
        <v>0.38</v>
      </c>
    </row>
    <row r="234" spans="1:5">
      <c r="A234" s="143">
        <v>35511202</v>
      </c>
      <c r="B234" t="s">
        <v>865</v>
      </c>
      <c r="C234">
        <v>21610</v>
      </c>
      <c r="D234">
        <v>2.75E-2</v>
      </c>
      <c r="E234">
        <v>0.51</v>
      </c>
    </row>
    <row r="235" spans="1:5">
      <c r="A235" s="143">
        <v>35541001</v>
      </c>
      <c r="B235" t="s">
        <v>865</v>
      </c>
      <c r="C235">
        <v>12541</v>
      </c>
      <c r="D235">
        <v>6.7500000000000004E-2</v>
      </c>
      <c r="E235">
        <v>0.27</v>
      </c>
    </row>
    <row r="236" spans="1:5">
      <c r="A236" s="143">
        <v>35541002</v>
      </c>
      <c r="B236" t="s">
        <v>865</v>
      </c>
      <c r="C236">
        <v>16750</v>
      </c>
      <c r="D236">
        <v>4.7500000000000001E-2</v>
      </c>
      <c r="E236">
        <v>0.43</v>
      </c>
    </row>
    <row r="237" spans="1:5">
      <c r="A237" s="143">
        <v>35581601</v>
      </c>
      <c r="B237" t="s">
        <v>865</v>
      </c>
      <c r="C237">
        <v>5980</v>
      </c>
      <c r="D237">
        <v>3.2500000000000001E-2</v>
      </c>
      <c r="E237">
        <v>0.21</v>
      </c>
    </row>
    <row r="238" spans="1:5">
      <c r="A238" s="143">
        <v>40010001</v>
      </c>
      <c r="B238" t="s">
        <v>865</v>
      </c>
      <c r="C238">
        <v>3521.2999999999884</v>
      </c>
      <c r="D238">
        <v>0.01</v>
      </c>
      <c r="E238">
        <v>0.12</v>
      </c>
    </row>
    <row r="239" spans="1:5">
      <c r="A239" s="143">
        <v>40090001</v>
      </c>
      <c r="B239" t="s">
        <v>865</v>
      </c>
      <c r="C239">
        <v>7582</v>
      </c>
      <c r="D239">
        <v>0.10250000000000001</v>
      </c>
      <c r="E239">
        <v>0.3</v>
      </c>
    </row>
    <row r="240" spans="1:5">
      <c r="A240" s="143">
        <v>40090002</v>
      </c>
      <c r="B240" t="s">
        <v>865</v>
      </c>
      <c r="C240">
        <v>7582</v>
      </c>
      <c r="D240">
        <v>0.10250000000000001</v>
      </c>
      <c r="E240">
        <v>0.2</v>
      </c>
    </row>
    <row r="241" spans="1:5">
      <c r="A241" s="143">
        <v>40090003</v>
      </c>
      <c r="B241" t="s">
        <v>865</v>
      </c>
      <c r="C241">
        <v>5583</v>
      </c>
      <c r="D241">
        <v>0.01</v>
      </c>
      <c r="E241">
        <v>0.41</v>
      </c>
    </row>
    <row r="242" spans="1:5">
      <c r="A242" s="143">
        <v>50000101</v>
      </c>
      <c r="B242" t="s">
        <v>865</v>
      </c>
      <c r="C242">
        <v>19390</v>
      </c>
      <c r="D242">
        <v>0.01</v>
      </c>
      <c r="E242">
        <v>0.57999999999999996</v>
      </c>
    </row>
    <row r="243" spans="1:5">
      <c r="A243" s="143">
        <v>50000102</v>
      </c>
      <c r="B243" t="s">
        <v>865</v>
      </c>
      <c r="C243">
        <v>20056</v>
      </c>
      <c r="D243">
        <v>0.01</v>
      </c>
      <c r="E243">
        <v>0.6</v>
      </c>
    </row>
    <row r="244" spans="1:5">
      <c r="A244" s="143">
        <v>59999951</v>
      </c>
      <c r="B244" t="s">
        <v>866</v>
      </c>
      <c r="C244">
        <v>22085</v>
      </c>
      <c r="D244">
        <v>2.2499999999999999E-2</v>
      </c>
      <c r="E244">
        <v>0.87</v>
      </c>
    </row>
    <row r="245" spans="1:5">
      <c r="A245" s="143">
        <v>59999952</v>
      </c>
      <c r="B245" t="s">
        <v>865</v>
      </c>
      <c r="C245">
        <v>13824</v>
      </c>
      <c r="D245">
        <v>1.2500000000000001E-2</v>
      </c>
      <c r="E245">
        <v>0.45</v>
      </c>
    </row>
    <row r="246" spans="1:5">
      <c r="A246" s="143">
        <v>59999953</v>
      </c>
      <c r="B246" t="s">
        <v>865</v>
      </c>
      <c r="C246">
        <v>11931</v>
      </c>
      <c r="D246">
        <v>0.01</v>
      </c>
      <c r="E246">
        <v>0.39</v>
      </c>
    </row>
    <row r="247" spans="1:5">
      <c r="A247" s="143">
        <v>59999954</v>
      </c>
      <c r="B247" t="s">
        <v>865</v>
      </c>
      <c r="C247">
        <v>14641</v>
      </c>
      <c r="D247">
        <v>0.01</v>
      </c>
      <c r="E247">
        <v>0.52</v>
      </c>
    </row>
    <row r="248" spans="1:5">
      <c r="A248" s="143">
        <v>59999955</v>
      </c>
      <c r="B248" t="s">
        <v>865</v>
      </c>
      <c r="C248">
        <v>26200</v>
      </c>
      <c r="D248">
        <v>0.01</v>
      </c>
      <c r="E248">
        <v>0.79</v>
      </c>
    </row>
    <row r="249" spans="1:5">
      <c r="A249" s="143">
        <v>60000051</v>
      </c>
      <c r="B249" t="s">
        <v>865</v>
      </c>
      <c r="C249">
        <v>14067</v>
      </c>
      <c r="D249">
        <v>0.01</v>
      </c>
      <c r="E249">
        <v>0.47</v>
      </c>
    </row>
    <row r="250" spans="1:5">
      <c r="A250" s="143">
        <v>60000052</v>
      </c>
      <c r="B250" t="s">
        <v>865</v>
      </c>
      <c r="C250">
        <v>11886</v>
      </c>
      <c r="D250">
        <v>0.01</v>
      </c>
      <c r="E250">
        <v>0.38</v>
      </c>
    </row>
    <row r="251" spans="1:5">
      <c r="A251" s="143">
        <v>60000053</v>
      </c>
      <c r="B251" t="s">
        <v>865</v>
      </c>
      <c r="C251">
        <v>12972</v>
      </c>
      <c r="D251">
        <v>0.01</v>
      </c>
      <c r="E251">
        <v>0.45</v>
      </c>
    </row>
    <row r="252" spans="1:5">
      <c r="A252" s="143">
        <v>60000054</v>
      </c>
      <c r="B252" t="s">
        <v>865</v>
      </c>
      <c r="C252">
        <v>20739</v>
      </c>
      <c r="D252">
        <v>0.01</v>
      </c>
      <c r="E252">
        <v>0.73</v>
      </c>
    </row>
    <row r="253" spans="1:5">
      <c r="A253" s="143">
        <v>60000055</v>
      </c>
      <c r="B253" t="s">
        <v>865</v>
      </c>
      <c r="C253">
        <v>16957</v>
      </c>
      <c r="D253">
        <v>0.01</v>
      </c>
      <c r="E253">
        <v>0.54</v>
      </c>
    </row>
    <row r="254" spans="1:5">
      <c r="A254" s="143">
        <v>60000056</v>
      </c>
      <c r="B254" t="s">
        <v>865</v>
      </c>
      <c r="C254">
        <v>21275</v>
      </c>
      <c r="D254">
        <v>0.01</v>
      </c>
      <c r="E254">
        <v>0.68</v>
      </c>
    </row>
    <row r="255" spans="1:5">
      <c r="A255" s="143">
        <v>60000201</v>
      </c>
      <c r="B255" t="s">
        <v>547</v>
      </c>
      <c r="C255" t="s">
        <v>243</v>
      </c>
      <c r="D255" t="s">
        <v>547</v>
      </c>
    </row>
    <row r="256" spans="1:5">
      <c r="A256" s="143">
        <v>60000801</v>
      </c>
      <c r="B256" t="s">
        <v>865</v>
      </c>
      <c r="C256">
        <v>1135</v>
      </c>
      <c r="D256">
        <v>0.01</v>
      </c>
      <c r="E256">
        <v>0.08</v>
      </c>
    </row>
    <row r="257" spans="1:5">
      <c r="A257" s="143">
        <v>60001001</v>
      </c>
      <c r="B257" t="s">
        <v>865</v>
      </c>
      <c r="C257">
        <v>5485</v>
      </c>
      <c r="D257">
        <v>0.01</v>
      </c>
      <c r="E257">
        <v>0.48</v>
      </c>
    </row>
    <row r="258" spans="1:5">
      <c r="A258" s="155">
        <v>60001051</v>
      </c>
      <c r="B258" t="s">
        <v>865</v>
      </c>
      <c r="C258">
        <v>6826</v>
      </c>
      <c r="D258">
        <v>0.01</v>
      </c>
      <c r="E258">
        <v>0.51</v>
      </c>
    </row>
    <row r="259" spans="1:5">
      <c r="A259" s="155">
        <v>355113021</v>
      </c>
      <c r="B259" t="s">
        <v>865</v>
      </c>
      <c r="C259">
        <v>21610</v>
      </c>
      <c r="D259">
        <v>2.75E-2</v>
      </c>
      <c r="E259">
        <v>0.53</v>
      </c>
    </row>
    <row r="260" spans="1:5">
      <c r="A260" s="155">
        <v>400100012</v>
      </c>
      <c r="B260" t="s">
        <v>865</v>
      </c>
      <c r="C260">
        <v>3804</v>
      </c>
      <c r="D260">
        <v>0.03</v>
      </c>
      <c r="E260">
        <v>0.4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AFC1E-7B26-4BFD-B9FE-936B455D57E9}">
  <sheetPr filterMode="1"/>
  <dimension ref="A1:N260"/>
  <sheetViews>
    <sheetView workbookViewId="0">
      <pane xSplit="2" topLeftCell="D1" activePane="topRight" state="frozen"/>
      <selection activeCell="Q226" sqref="Q226"/>
      <selection pane="topRight" activeCell="Q226" sqref="Q226"/>
    </sheetView>
  </sheetViews>
  <sheetFormatPr defaultRowHeight="15"/>
  <cols>
    <col min="2" max="2" width="32.7109375" bestFit="1" customWidth="1"/>
    <col min="3" max="3" width="30.140625" bestFit="1" customWidth="1"/>
    <col min="4" max="4" width="31.7109375" bestFit="1" customWidth="1"/>
    <col min="5" max="5" width="26.28515625" bestFit="1" customWidth="1"/>
    <col min="6" max="6" width="26.85546875" bestFit="1" customWidth="1"/>
    <col min="8" max="9" width="12" bestFit="1" customWidth="1"/>
    <col min="12" max="13" width="11.5703125" bestFit="1" customWidth="1"/>
    <col min="14" max="14" width="45.5703125" bestFit="1" customWidth="1"/>
  </cols>
  <sheetData>
    <row r="1" spans="1:14" ht="25.5">
      <c r="A1" s="48" t="s">
        <v>1145</v>
      </c>
      <c r="B1" t="s">
        <v>179</v>
      </c>
      <c r="C1" t="s">
        <v>0</v>
      </c>
      <c r="D1" t="s">
        <v>1</v>
      </c>
      <c r="E1" t="s">
        <v>886</v>
      </c>
      <c r="F1" t="s">
        <v>1146</v>
      </c>
      <c r="G1" t="s">
        <v>887</v>
      </c>
      <c r="H1" t="s">
        <v>1147</v>
      </c>
      <c r="I1" t="s">
        <v>1098</v>
      </c>
      <c r="J1" t="s">
        <v>888</v>
      </c>
      <c r="K1" t="s">
        <v>1148</v>
      </c>
      <c r="L1" t="s">
        <v>796</v>
      </c>
      <c r="M1" t="s">
        <v>1104</v>
      </c>
      <c r="N1" t="s">
        <v>889</v>
      </c>
    </row>
    <row r="2" spans="1:14" hidden="1">
      <c r="A2" s="1">
        <v>4000</v>
      </c>
      <c r="B2" t="s">
        <v>157</v>
      </c>
      <c r="C2" t="s">
        <v>18</v>
      </c>
      <c r="D2" t="s">
        <v>682</v>
      </c>
      <c r="E2" t="str">
        <f>VLOOKUP(A2,'2021 Congestions'!$A$2:$E$257,2)</f>
        <v>NOT CONGESTED</v>
      </c>
      <c r="F2" t="str">
        <f>VLOOKUP(A2,'Cleanup TMS'!$A$2:$CP$260,94)</f>
        <v>NOT CONGESTED</v>
      </c>
      <c r="G2" t="b">
        <f>F2=E2</f>
        <v>1</v>
      </c>
      <c r="H2">
        <f>VLOOKUP($A2,'2021 Congestions'!$A$2:$E$257,3)</f>
        <v>4351</v>
      </c>
      <c r="I2">
        <f>VLOOKUP(A2,'Cleanup TMS'!$A$2:$CP$260,42)</f>
        <v>4638</v>
      </c>
      <c r="J2">
        <f>VLOOKUP($A2,'2021 Congestions'!$A$2:$E$257,4)</f>
        <v>0.01</v>
      </c>
      <c r="K2">
        <f>VLOOKUP(A2,'Cleanup TMS'!$A$2:$CP$260,61)</f>
        <v>0.01</v>
      </c>
      <c r="L2">
        <f>VLOOKUP($A2,'2021 Congestions'!$A$2:$E$257,5)</f>
        <v>0.4</v>
      </c>
      <c r="M2">
        <f>VLOOKUP(A2,'Cleanup TMS'!$A$2:$CP$260,57)</f>
        <v>0.39</v>
      </c>
    </row>
    <row r="3" spans="1:14" hidden="1">
      <c r="A3" s="1">
        <v>4010</v>
      </c>
      <c r="B3" t="s">
        <v>157</v>
      </c>
      <c r="C3" t="s">
        <v>682</v>
      </c>
      <c r="D3" t="s">
        <v>7</v>
      </c>
      <c r="E3" t="str">
        <f>VLOOKUP(A3,'2021 Congestions'!$A$2:$E$257,2)</f>
        <v>NOT CONGESTED</v>
      </c>
      <c r="F3" t="str">
        <f>VLOOKUP(A3,'Cleanup TMS'!$A$2:$CP$260,94)</f>
        <v>NOT CONGESTED</v>
      </c>
      <c r="G3" t="b">
        <f t="shared" ref="G3:G65" si="0">F3=E3</f>
        <v>1</v>
      </c>
      <c r="H3">
        <f>VLOOKUP($A3,'2021 Congestions'!$A$2:$E$257,3)</f>
        <v>7803</v>
      </c>
      <c r="I3">
        <f>VLOOKUP(A3,'Cleanup TMS'!$A$2:$CP$260,42)</f>
        <v>8132</v>
      </c>
      <c r="J3">
        <f>VLOOKUP($A3,'2021 Congestions'!$A$2:$E$257,4)</f>
        <v>0.01</v>
      </c>
      <c r="K3">
        <f>VLOOKUP(A3,'Cleanup TMS'!$A$2:$CP$260,61)</f>
        <v>0.01</v>
      </c>
      <c r="L3">
        <f>VLOOKUP($A3,'2021 Congestions'!$A$2:$E$257,5)</f>
        <v>0.63</v>
      </c>
      <c r="M3">
        <f>VLOOKUP(A3,'Cleanup TMS'!$A$2:$CP$260,57)</f>
        <v>0.69</v>
      </c>
    </row>
    <row r="4" spans="1:14">
      <c r="A4" s="1">
        <v>4020</v>
      </c>
      <c r="B4" t="s">
        <v>157</v>
      </c>
      <c r="C4" t="s">
        <v>7</v>
      </c>
      <c r="D4" t="s">
        <v>18</v>
      </c>
      <c r="E4" t="str">
        <f>VLOOKUP(A4,'2021 Congestions'!$A$2:$E$257,2)</f>
        <v>NOT CONGESTED</v>
      </c>
      <c r="F4" t="str">
        <f>VLOOKUP(A4,'Cleanup TMS'!$A$2:$CP$260,94)</f>
        <v>APPROACHING CONGESTION</v>
      </c>
      <c r="G4" t="b">
        <f t="shared" si="0"/>
        <v>0</v>
      </c>
      <c r="H4">
        <f>VLOOKUP($A4,'2021 Congestions'!$A$2:$E$257,3)</f>
        <v>10553</v>
      </c>
      <c r="I4">
        <f>VLOOKUP(A4,'Cleanup TMS'!$A$2:$CP$260,42)</f>
        <v>11586</v>
      </c>
      <c r="J4">
        <f>VLOOKUP($A4,'2021 Congestions'!$A$2:$E$257,4)</f>
        <v>0.01</v>
      </c>
      <c r="K4">
        <f>VLOOKUP(A4,'Cleanup TMS'!$A$2:$CP$260,61)</f>
        <v>1.4999999999999999E-2</v>
      </c>
      <c r="L4">
        <f>VLOOKUP($A4,'2021 Congestions'!$A$2:$E$257,5)</f>
        <v>0.82</v>
      </c>
      <c r="M4">
        <f>VLOOKUP(A4,'Cleanup TMS'!$A$2:$CP$260,57)</f>
        <v>0.93</v>
      </c>
      <c r="N4" t="s">
        <v>1149</v>
      </c>
    </row>
    <row r="5" spans="1:14" hidden="1">
      <c r="A5" s="1">
        <v>4030</v>
      </c>
      <c r="B5" t="s">
        <v>174</v>
      </c>
      <c r="C5" t="s">
        <v>175</v>
      </c>
      <c r="D5" t="s">
        <v>14</v>
      </c>
      <c r="E5" t="str">
        <f>VLOOKUP(A5,'2021 Congestions'!$A$2:$E$257,2)</f>
        <v>NOT CONGESTED</v>
      </c>
      <c r="F5" t="str">
        <f>VLOOKUP(A5,'Cleanup TMS'!$A$2:$CP$260,94)</f>
        <v>NOT CONGESTED</v>
      </c>
      <c r="G5" t="b">
        <f t="shared" si="0"/>
        <v>1</v>
      </c>
      <c r="H5">
        <f>VLOOKUP($A5,'2021 Congestions'!$A$2:$E$257,3)</f>
        <v>3195</v>
      </c>
      <c r="I5">
        <f>VLOOKUP(A5,'Cleanup TMS'!$A$2:$CP$260,42)</f>
        <v>3339</v>
      </c>
      <c r="J5">
        <f>VLOOKUP($A5,'2021 Congestions'!$A$2:$E$257,4)</f>
        <v>2.75E-2</v>
      </c>
      <c r="K5">
        <f>VLOOKUP(A5,'Cleanup TMS'!$A$2:$CP$260,61)</f>
        <v>0.01</v>
      </c>
      <c r="L5">
        <f>VLOOKUP($A5,'2021 Congestions'!$A$2:$E$257,5)</f>
        <v>0.35</v>
      </c>
      <c r="M5">
        <f>VLOOKUP(A5,'Cleanup TMS'!$A$2:$CP$260,57)</f>
        <v>0.32</v>
      </c>
    </row>
    <row r="6" spans="1:14" hidden="1">
      <c r="A6" s="1">
        <v>4040</v>
      </c>
      <c r="B6" t="s">
        <v>37</v>
      </c>
      <c r="C6" t="s">
        <v>38</v>
      </c>
      <c r="D6" t="s">
        <v>14</v>
      </c>
      <c r="E6" t="str">
        <f>VLOOKUP(A6,'2021 Congestions'!$A$2:$E$257,2)</f>
        <v>NOT CONGESTED</v>
      </c>
      <c r="F6" t="str">
        <f>VLOOKUP(A6,'Cleanup TMS'!$A$2:$CP$260,94)</f>
        <v>NOT CONGESTED</v>
      </c>
      <c r="G6" t="b">
        <f t="shared" si="0"/>
        <v>1</v>
      </c>
      <c r="H6">
        <f>VLOOKUP($A6,'2021 Congestions'!$A$2:$E$257,3)</f>
        <v>4477</v>
      </c>
      <c r="I6">
        <f>VLOOKUP(A6,'Cleanup TMS'!$A$2:$CP$260,42)</f>
        <v>5707</v>
      </c>
      <c r="J6">
        <f>VLOOKUP($A6,'2021 Congestions'!$A$2:$E$257,4)</f>
        <v>0.01</v>
      </c>
      <c r="K6">
        <f>VLOOKUP(A6,'Cleanup TMS'!$A$2:$CP$260,61)</f>
        <v>0.01</v>
      </c>
      <c r="L6">
        <f>VLOOKUP($A6,'2021 Congestions'!$A$2:$E$257,5)</f>
        <v>0.51</v>
      </c>
      <c r="M6">
        <f>VLOOKUP(A6,'Cleanup TMS'!$A$2:$CP$260,57)</f>
        <v>0.65</v>
      </c>
    </row>
    <row r="7" spans="1:14" hidden="1">
      <c r="A7" s="1">
        <v>4050</v>
      </c>
      <c r="B7" t="s">
        <v>545</v>
      </c>
      <c r="C7" t="s">
        <v>134</v>
      </c>
      <c r="D7" t="s">
        <v>14</v>
      </c>
      <c r="E7" t="str">
        <f>VLOOKUP(A7,'2021 Congestions'!$A$2:$E$257,2)</f>
        <v>NOT CONGESTED</v>
      </c>
      <c r="F7" t="str">
        <f>VLOOKUP(A7,'Cleanup TMS'!$A$2:$CP$260,94)</f>
        <v>NOT CONGESTED</v>
      </c>
      <c r="G7" t="b">
        <f t="shared" si="0"/>
        <v>1</v>
      </c>
      <c r="H7">
        <f>VLOOKUP($A7,'2021 Congestions'!$A$2:$E$257,3)</f>
        <v>3669</v>
      </c>
      <c r="I7">
        <f>VLOOKUP(A7,'Cleanup TMS'!$A$2:$CP$260,42)</f>
        <v>4706</v>
      </c>
      <c r="J7">
        <f>VLOOKUP($A7,'2021 Congestions'!$A$2:$E$257,4)</f>
        <v>0.01</v>
      </c>
      <c r="K7">
        <f>VLOOKUP(A7,'Cleanup TMS'!$A$2:$CP$260,61)</f>
        <v>0.01</v>
      </c>
      <c r="L7">
        <f>VLOOKUP($A7,'2021 Congestions'!$A$2:$E$257,5)</f>
        <v>0.41</v>
      </c>
      <c r="M7">
        <f>VLOOKUP(A7,'Cleanup TMS'!$A$2:$CP$260,57)</f>
        <v>0.48</v>
      </c>
    </row>
    <row r="8" spans="1:14" hidden="1">
      <c r="A8" s="1">
        <v>4060</v>
      </c>
      <c r="B8" t="s">
        <v>102</v>
      </c>
      <c r="C8" t="s">
        <v>55</v>
      </c>
      <c r="D8" t="s">
        <v>158</v>
      </c>
      <c r="E8" t="str">
        <f>VLOOKUP(A8,'2021 Congestions'!$A$2:$E$257,2)</f>
        <v>NOT CONGESTED</v>
      </c>
      <c r="F8" t="str">
        <f>VLOOKUP(A8,'Cleanup TMS'!$A$2:$CP$260,94)</f>
        <v>NOT CONGESTED</v>
      </c>
      <c r="G8" t="b">
        <f t="shared" si="0"/>
        <v>1</v>
      </c>
      <c r="H8">
        <f>VLOOKUP($A8,'2021 Congestions'!$A$2:$E$257,3)</f>
        <v>4808</v>
      </c>
      <c r="I8">
        <f>VLOOKUP(A8,'Cleanup TMS'!$A$2:$CP$260,42)</f>
        <v>5533</v>
      </c>
      <c r="J8">
        <f>VLOOKUP($A8,'2021 Congestions'!$A$2:$E$257,4)</f>
        <v>0.01</v>
      </c>
      <c r="K8">
        <f>VLOOKUP(A8,'Cleanup TMS'!$A$2:$CP$260,61)</f>
        <v>0.01</v>
      </c>
      <c r="L8">
        <f>VLOOKUP($A8,'2021 Congestions'!$A$2:$E$257,5)</f>
        <v>0.54</v>
      </c>
      <c r="M8">
        <f>VLOOKUP(A8,'Cleanup TMS'!$A$2:$CP$260,57)</f>
        <v>0.56000000000000005</v>
      </c>
    </row>
    <row r="9" spans="1:14" hidden="1">
      <c r="A9" s="1">
        <v>4070</v>
      </c>
      <c r="B9" t="s">
        <v>102</v>
      </c>
      <c r="C9" t="s">
        <v>158</v>
      </c>
      <c r="D9" t="s">
        <v>128</v>
      </c>
      <c r="E9" t="str">
        <f>VLOOKUP(A9,'2021 Congestions'!$A$2:$E$257,2)</f>
        <v>NOT CONGESTED</v>
      </c>
      <c r="F9" t="str">
        <f>VLOOKUP(A9,'Cleanup TMS'!$A$2:$CP$260,94)</f>
        <v>NOT CONGESTED</v>
      </c>
      <c r="G9" t="b">
        <f t="shared" si="0"/>
        <v>1</v>
      </c>
      <c r="H9">
        <f>VLOOKUP($A9,'2021 Congestions'!$A$2:$E$257,3)</f>
        <v>3314.75</v>
      </c>
      <c r="I9">
        <f>VLOOKUP(A9,'Cleanup TMS'!$A$2:$CP$260,42)</f>
        <v>2965.2285714285681</v>
      </c>
      <c r="J9">
        <f>VLOOKUP($A9,'2021 Congestions'!$A$2:$E$257,4)</f>
        <v>0.01</v>
      </c>
      <c r="K9">
        <f>VLOOKUP(A9,'Cleanup TMS'!$A$2:$CP$260,61)</f>
        <v>0.01</v>
      </c>
      <c r="L9">
        <f>VLOOKUP($A9,'2021 Congestions'!$A$2:$E$257,5)</f>
        <v>0.35</v>
      </c>
      <c r="M9">
        <f>VLOOKUP(A9,'Cleanup TMS'!$A$2:$CP$260,57)</f>
        <v>0.35</v>
      </c>
    </row>
    <row r="10" spans="1:14">
      <c r="A10" s="2">
        <v>4830</v>
      </c>
      <c r="B10" t="s">
        <v>683</v>
      </c>
      <c r="C10" t="s">
        <v>18</v>
      </c>
      <c r="D10" t="s">
        <v>540</v>
      </c>
      <c r="E10" t="str">
        <f>VLOOKUP(A10,'2021 Congestions'!$A$2:$E$257,2)</f>
        <v>NOT CONGESTED</v>
      </c>
      <c r="F10" t="str">
        <f>VLOOKUP(A10,'Cleanup TMS'!$A$2:$CP$260,94)</f>
        <v>CONGESTED (2025)</v>
      </c>
      <c r="G10" t="b">
        <f t="shared" si="0"/>
        <v>0</v>
      </c>
      <c r="H10">
        <f>VLOOKUP($A10,'2021 Congestions'!$A$2:$E$257,3)</f>
        <v>7135</v>
      </c>
      <c r="I10">
        <f>VLOOKUP(A10,'Cleanup TMS'!$A$2:$CP$260,42)</f>
        <v>12224</v>
      </c>
      <c r="J10">
        <f>VLOOKUP($A10,'2021 Congestions'!$A$2:$E$257,4)</f>
        <v>0.01</v>
      </c>
      <c r="K10">
        <f>VLOOKUP(A10,'Cleanup TMS'!$A$2:$CP$260,61)</f>
        <v>3.7499999999999999E-2</v>
      </c>
      <c r="L10">
        <f>VLOOKUP($A10,'2021 Congestions'!$A$2:$E$257,5)</f>
        <v>0.61</v>
      </c>
      <c r="M10">
        <f>VLOOKUP(A10,'Cleanup TMS'!$A$2:$CP$260,57)</f>
        <v>0.86</v>
      </c>
      <c r="N10" t="s">
        <v>892</v>
      </c>
    </row>
    <row r="11" spans="1:14" hidden="1">
      <c r="A11" s="2">
        <v>4835</v>
      </c>
      <c r="B11" t="s">
        <v>683</v>
      </c>
      <c r="C11" t="s">
        <v>540</v>
      </c>
      <c r="D11" t="s">
        <v>55</v>
      </c>
      <c r="E11" t="str">
        <f>VLOOKUP(A11,'2021 Congestions'!$A$2:$E$257,2)</f>
        <v>NOT CONGESTED</v>
      </c>
      <c r="F11" t="str">
        <f>VLOOKUP(A11,'Cleanup TMS'!$A$2:$CP$260,94)</f>
        <v>NOT CONGESTED</v>
      </c>
      <c r="G11" t="b">
        <f t="shared" si="0"/>
        <v>1</v>
      </c>
      <c r="H11">
        <f>VLOOKUP($A11,'2021 Congestions'!$A$2:$E$257,3)</f>
        <v>5823</v>
      </c>
      <c r="I11">
        <f>VLOOKUP(A11,'Cleanup TMS'!$A$2:$CP$260,42)</f>
        <v>7338</v>
      </c>
      <c r="J11">
        <f>VLOOKUP($A11,'2021 Congestions'!$A$2:$E$257,4)</f>
        <v>0.01</v>
      </c>
      <c r="K11">
        <f>VLOOKUP(A11,'Cleanup TMS'!$A$2:$CP$260,61)</f>
        <v>0.01</v>
      </c>
      <c r="L11">
        <f>VLOOKUP($A11,'2021 Congestions'!$A$2:$E$257,5)</f>
        <v>0.4</v>
      </c>
      <c r="M11">
        <f>VLOOKUP(A11,'Cleanup TMS'!$A$2:$CP$260,57)</f>
        <v>0.52</v>
      </c>
    </row>
    <row r="12" spans="1:14" hidden="1">
      <c r="A12" s="2">
        <v>4860</v>
      </c>
      <c r="B12" t="s">
        <v>540</v>
      </c>
      <c r="C12" t="s">
        <v>683</v>
      </c>
      <c r="D12" t="s">
        <v>684</v>
      </c>
      <c r="E12" t="str">
        <f>VLOOKUP(A12,'2021 Congestions'!$A$2:$E$257,2)</f>
        <v>NOT CONGESTED</v>
      </c>
      <c r="F12" t="str">
        <f>VLOOKUP(A12,'Cleanup TMS'!$A$2:$CP$260,94)</f>
        <v>NOT CONGESTED</v>
      </c>
      <c r="G12" t="b">
        <f t="shared" si="0"/>
        <v>1</v>
      </c>
      <c r="H12">
        <f>VLOOKUP($A12,'2021 Congestions'!$A$2:$E$257,3)</f>
        <v>3613</v>
      </c>
      <c r="I12">
        <f>VLOOKUP(A12,'Cleanup TMS'!$A$2:$CP$260,42)</f>
        <v>3976</v>
      </c>
      <c r="J12">
        <f>VLOOKUP($A12,'2021 Congestions'!$A$2:$E$257,4)</f>
        <v>0.01</v>
      </c>
      <c r="K12">
        <f>VLOOKUP(A12,'Cleanup TMS'!$A$2:$CP$260,61)</f>
        <v>0.01</v>
      </c>
      <c r="L12">
        <f>VLOOKUP($A12,'2021 Congestions'!$A$2:$E$257,5)</f>
        <v>0.37</v>
      </c>
      <c r="M12">
        <f>VLOOKUP(A12,'Cleanup TMS'!$A$2:$CP$260,57)</f>
        <v>0.38</v>
      </c>
    </row>
    <row r="13" spans="1:14" hidden="1">
      <c r="A13" s="2">
        <v>4870</v>
      </c>
      <c r="B13" t="s">
        <v>685</v>
      </c>
      <c r="C13" t="s">
        <v>683</v>
      </c>
      <c r="D13" t="s">
        <v>684</v>
      </c>
      <c r="E13" t="str">
        <f>VLOOKUP(A13,'2021 Congestions'!$A$2:$E$257,2)</f>
        <v>NOT CONGESTED</v>
      </c>
      <c r="F13" t="str">
        <f>VLOOKUP(A13,'Cleanup TMS'!$A$2:$CP$260,94)</f>
        <v>NOT CONGESTED</v>
      </c>
      <c r="G13" t="b">
        <f t="shared" si="0"/>
        <v>1</v>
      </c>
      <c r="H13">
        <f>VLOOKUP($A13,'2021 Congestions'!$A$2:$E$257,3)</f>
        <v>3624</v>
      </c>
      <c r="I13">
        <f>VLOOKUP(A13,'Cleanup TMS'!$A$2:$CP$260,42)</f>
        <v>3349</v>
      </c>
      <c r="J13">
        <f>VLOOKUP($A13,'2021 Congestions'!$A$2:$E$257,4)</f>
        <v>5.5E-2</v>
      </c>
      <c r="K13">
        <f>VLOOKUP(A13,'Cleanup TMS'!$A$2:$CP$260,61)</f>
        <v>0.04</v>
      </c>
      <c r="L13">
        <f>VLOOKUP($A13,'2021 Congestions'!$A$2:$E$257,5)</f>
        <v>0.35</v>
      </c>
      <c r="M13">
        <f>VLOOKUP(A13,'Cleanup TMS'!$A$2:$CP$260,57)</f>
        <v>0.34</v>
      </c>
    </row>
    <row r="14" spans="1:14" hidden="1">
      <c r="A14" s="2">
        <v>4880</v>
      </c>
      <c r="B14" t="s">
        <v>684</v>
      </c>
      <c r="C14" t="s">
        <v>18</v>
      </c>
      <c r="D14" t="s">
        <v>540</v>
      </c>
      <c r="E14" t="str">
        <f>VLOOKUP(A14,'2021 Congestions'!$A$2:$E$257,2)</f>
        <v>NOT CONGESTED</v>
      </c>
      <c r="F14" t="str">
        <f>VLOOKUP(A14,'Cleanup TMS'!$A$2:$CP$260,94)</f>
        <v>NOT CONGESTED</v>
      </c>
      <c r="G14" t="b">
        <f t="shared" si="0"/>
        <v>1</v>
      </c>
      <c r="H14">
        <f>VLOOKUP($A14,'2021 Congestions'!$A$2:$E$257,3)</f>
        <v>7777</v>
      </c>
      <c r="I14">
        <f>VLOOKUP(A14,'Cleanup TMS'!$A$2:$CP$260,42)</f>
        <v>9148</v>
      </c>
      <c r="J14">
        <f>VLOOKUP($A14,'2021 Congestions'!$A$2:$E$257,4)</f>
        <v>0.01</v>
      </c>
      <c r="K14">
        <f>VLOOKUP(A14,'Cleanup TMS'!$A$2:$CP$260,61)</f>
        <v>0.01</v>
      </c>
      <c r="L14">
        <f>VLOOKUP($A14,'2021 Congestions'!$A$2:$E$257,5)</f>
        <v>0.63</v>
      </c>
      <c r="M14">
        <f>VLOOKUP(A14,'Cleanup TMS'!$A$2:$CP$260,57)</f>
        <v>0.73</v>
      </c>
    </row>
    <row r="15" spans="1:14">
      <c r="A15" s="2">
        <v>4885</v>
      </c>
      <c r="B15" t="s">
        <v>684</v>
      </c>
      <c r="C15" t="s">
        <v>540</v>
      </c>
      <c r="D15" t="s">
        <v>55</v>
      </c>
      <c r="E15" t="str">
        <f>VLOOKUP(A15,'2021 Congestions'!$A$2:$E$257,2)</f>
        <v>APPROACHING CONGESTION</v>
      </c>
      <c r="F15" t="str">
        <f>VLOOKUP(A15,'Cleanup TMS'!$A$2:$CP$260,94)</f>
        <v>CONGESTED (2025)</v>
      </c>
      <c r="G15" t="b">
        <f t="shared" si="0"/>
        <v>0</v>
      </c>
      <c r="H15">
        <f>VLOOKUP($A15,'2021 Congestions'!$A$2:$E$257,3)</f>
        <v>9591</v>
      </c>
      <c r="I15">
        <f>VLOOKUP(A15,'Cleanup TMS'!$A$2:$CP$260,42)</f>
        <v>12534</v>
      </c>
      <c r="J15">
        <f>VLOOKUP($A15,'2021 Congestions'!$A$2:$E$257,4)</f>
        <v>0.01</v>
      </c>
      <c r="K15">
        <f>VLOOKUP(A15,'Cleanup TMS'!$A$2:$CP$260,61)</f>
        <v>0.05</v>
      </c>
      <c r="L15">
        <f>VLOOKUP($A15,'2021 Congestions'!$A$2:$E$257,5)</f>
        <v>0.85</v>
      </c>
      <c r="M15">
        <f>VLOOKUP(A15,'Cleanup TMS'!$A$2:$CP$260,57)</f>
        <v>0.9</v>
      </c>
      <c r="N15" t="s">
        <v>892</v>
      </c>
    </row>
    <row r="16" spans="1:14" hidden="1">
      <c r="A16" s="2">
        <v>4890</v>
      </c>
      <c r="B16" t="s">
        <v>686</v>
      </c>
      <c r="C16" t="s">
        <v>18</v>
      </c>
      <c r="D16" t="s">
        <v>18</v>
      </c>
      <c r="E16" t="str">
        <f>VLOOKUP(A16,'2021 Congestions'!$A$2:$E$257,2)</f>
        <v>NOT CONGESTED</v>
      </c>
      <c r="F16" t="str">
        <f>VLOOKUP(A16,'Cleanup TMS'!$A$2:$CP$260,94)</f>
        <v>NOT CONGESTED</v>
      </c>
      <c r="G16" t="b">
        <f t="shared" si="0"/>
        <v>1</v>
      </c>
      <c r="H16">
        <f>VLOOKUP($A16,'2021 Congestions'!$A$2:$E$257,3)</f>
        <v>3602</v>
      </c>
      <c r="I16">
        <f>VLOOKUP(A16,'Cleanup TMS'!$A$2:$CP$260,42)</f>
        <v>3958</v>
      </c>
      <c r="J16">
        <f>VLOOKUP($A16,'2021 Congestions'!$A$2:$E$257,4)</f>
        <v>2.5000000000000001E-2</v>
      </c>
      <c r="K16">
        <f>VLOOKUP(A16,'Cleanup TMS'!$A$2:$CP$260,61)</f>
        <v>0.01</v>
      </c>
      <c r="L16">
        <f>VLOOKUP($A16,'2021 Congestions'!$A$2:$E$257,5)</f>
        <v>0.36</v>
      </c>
      <c r="M16">
        <f>VLOOKUP(A16,'Cleanup TMS'!$A$2:$CP$260,57)</f>
        <v>0.46</v>
      </c>
    </row>
    <row r="17" spans="1:14" hidden="1">
      <c r="A17" s="2">
        <v>4910</v>
      </c>
      <c r="B17" t="s">
        <v>687</v>
      </c>
      <c r="C17" t="s">
        <v>542</v>
      </c>
      <c r="D17" t="s">
        <v>543</v>
      </c>
      <c r="E17" t="str">
        <f>VLOOKUP(A17,'2021 Congestions'!$A$2:$E$257,2)</f>
        <v/>
      </c>
      <c r="F17" t="str">
        <f>VLOOKUP(A17,'Cleanup TMS'!$A$2:$CP$260,94)</f>
        <v/>
      </c>
      <c r="G17" t="b">
        <f t="shared" si="0"/>
        <v>1</v>
      </c>
      <c r="H17" t="str">
        <f>VLOOKUP($A17,'2021 Congestions'!$A$2:$E$257,3)</f>
        <v>-</v>
      </c>
      <c r="I17" t="str">
        <f>VLOOKUP(A17,'Cleanup TMS'!$A$2:$CP$260,42)</f>
        <v>-</v>
      </c>
      <c r="J17" t="str">
        <f>VLOOKUP($A17,'2021 Congestions'!$A$2:$E$257,4)</f>
        <v/>
      </c>
      <c r="K17" t="str">
        <f>VLOOKUP(A17,'Cleanup TMS'!$A$2:$CP$260,61)</f>
        <v/>
      </c>
      <c r="L17" t="str">
        <f>VLOOKUP($A17,'2021 Congestions'!$A$2:$E$257,5)</f>
        <v/>
      </c>
      <c r="M17">
        <f>VLOOKUP(A17,'Cleanup TMS'!$A$2:$CP$260,57)</f>
        <v>0</v>
      </c>
    </row>
    <row r="18" spans="1:14" hidden="1">
      <c r="A18" s="2">
        <v>4915</v>
      </c>
      <c r="B18" t="s">
        <v>542</v>
      </c>
      <c r="C18" t="s">
        <v>716</v>
      </c>
      <c r="D18" t="s">
        <v>18</v>
      </c>
      <c r="E18" t="str">
        <f>VLOOKUP(A18,'2021 Congestions'!$A$2:$E$257,2)</f>
        <v>NOT CONGESTED</v>
      </c>
      <c r="F18" t="str">
        <f>VLOOKUP(A18,'Cleanup TMS'!$A$2:$CP$260,94)</f>
        <v>NOT CONGESTED</v>
      </c>
      <c r="G18" t="b">
        <f t="shared" si="0"/>
        <v>1</v>
      </c>
      <c r="H18">
        <f>VLOOKUP($A18,'2021 Congestions'!$A$2:$E$257,3)</f>
        <v>4800</v>
      </c>
      <c r="I18">
        <f>VLOOKUP(A18,'Cleanup TMS'!$A$2:$CP$260,42)</f>
        <v>5995</v>
      </c>
      <c r="J18">
        <f>VLOOKUP($A18,'2021 Congestions'!$A$2:$E$257,4)</f>
        <v>0.01</v>
      </c>
      <c r="K18">
        <f>VLOOKUP(A18,'Cleanup TMS'!$A$2:$CP$260,61)</f>
        <v>0.05</v>
      </c>
      <c r="L18">
        <f>VLOOKUP($A18,'2021 Congestions'!$A$2:$E$257,5)</f>
        <v>0.23</v>
      </c>
      <c r="M18">
        <f>VLOOKUP(A18,'Cleanup TMS'!$A$2:$CP$260,57)</f>
        <v>0.61</v>
      </c>
    </row>
    <row r="19" spans="1:14" hidden="1">
      <c r="A19" s="2">
        <v>4920</v>
      </c>
      <c r="B19" t="s">
        <v>688</v>
      </c>
      <c r="C19" t="s">
        <v>15</v>
      </c>
      <c r="D19" t="s">
        <v>18</v>
      </c>
      <c r="E19" t="str">
        <f>VLOOKUP(A19,'2021 Congestions'!$A$2:$E$257,2)</f>
        <v>NOT CONGESTED</v>
      </c>
      <c r="F19" t="str">
        <f>VLOOKUP(A19,'Cleanup TMS'!$A$2:$CP$260,94)</f>
        <v>NOT CONGESTED</v>
      </c>
      <c r="G19" t="b">
        <f t="shared" si="0"/>
        <v>1</v>
      </c>
      <c r="H19">
        <f>VLOOKUP($A19,'2021 Congestions'!$A$2:$E$257,3)</f>
        <v>4388</v>
      </c>
      <c r="I19">
        <f>VLOOKUP(A19,'Cleanup TMS'!$A$2:$CP$260,42)</f>
        <v>3876</v>
      </c>
      <c r="J19">
        <f>VLOOKUP($A19,'2021 Congestions'!$A$2:$E$257,4)</f>
        <v>0.01</v>
      </c>
      <c r="K19">
        <f>VLOOKUP(A19,'Cleanup TMS'!$A$2:$CP$260,61)</f>
        <v>0.01</v>
      </c>
      <c r="L19">
        <f>VLOOKUP($A19,'2021 Congestions'!$A$2:$E$257,5)</f>
        <v>0.44</v>
      </c>
      <c r="M19">
        <f>VLOOKUP(A19,'Cleanup TMS'!$A$2:$CP$260,57)</f>
        <v>0.38</v>
      </c>
    </row>
    <row r="20" spans="1:14" hidden="1">
      <c r="A20" s="2">
        <v>4930</v>
      </c>
      <c r="B20" t="s">
        <v>689</v>
      </c>
      <c r="C20" t="s">
        <v>37</v>
      </c>
      <c r="D20" t="s">
        <v>545</v>
      </c>
      <c r="E20" t="str">
        <f>VLOOKUP(A20,'2021 Congestions'!$A$2:$E$257,2)</f>
        <v>NOT CONGESTED</v>
      </c>
      <c r="F20" t="str">
        <f>VLOOKUP(A20,'Cleanup TMS'!$A$2:$CP$260,94)</f>
        <v>NOT CONGESTED</v>
      </c>
      <c r="G20" t="b">
        <f t="shared" si="0"/>
        <v>1</v>
      </c>
      <c r="H20">
        <f>VLOOKUP($A20,'2021 Congestions'!$A$2:$E$257,3)</f>
        <v>1318</v>
      </c>
      <c r="I20">
        <f>VLOOKUP(A20,'Cleanup TMS'!$A$2:$CP$260,42)</f>
        <v>1339.2999999999884</v>
      </c>
      <c r="J20">
        <f>VLOOKUP($A20,'2021 Congestions'!$A$2:$E$257,4)</f>
        <v>2.5000000000000001E-2</v>
      </c>
      <c r="K20">
        <f>VLOOKUP(A20,'Cleanup TMS'!$A$2:$CP$260,61)</f>
        <v>6.25E-2</v>
      </c>
      <c r="L20">
        <f>VLOOKUP($A20,'2021 Congestions'!$A$2:$E$257,5)</f>
        <v>0.13</v>
      </c>
      <c r="M20">
        <f>VLOOKUP(A20,'Cleanup TMS'!$A$2:$CP$260,57)</f>
        <v>0.13</v>
      </c>
    </row>
    <row r="21" spans="1:14" hidden="1">
      <c r="A21" s="1">
        <v>5000</v>
      </c>
      <c r="B21" t="s">
        <v>7</v>
      </c>
      <c r="C21" t="s">
        <v>764</v>
      </c>
      <c r="D21" t="s">
        <v>9</v>
      </c>
      <c r="E21" t="str">
        <f>VLOOKUP(A21,'2021 Congestions'!$A$2:$E$257,2)</f>
        <v>NOT CONGESTED</v>
      </c>
      <c r="F21" t="str">
        <f>VLOOKUP(A21,'Cleanup TMS'!$A$2:$CP$260,94)</f>
        <v>NOT CONGESTED</v>
      </c>
      <c r="G21" t="b">
        <f t="shared" si="0"/>
        <v>1</v>
      </c>
      <c r="H21">
        <f>VLOOKUP($A21,'2021 Congestions'!$A$2:$E$257,3)</f>
        <v>10390</v>
      </c>
      <c r="I21">
        <f>VLOOKUP(A21,'Cleanup TMS'!$A$2:$CP$260,42)</f>
        <v>8045</v>
      </c>
      <c r="J21">
        <f>VLOOKUP($A21,'2021 Congestions'!$A$2:$E$257,4)</f>
        <v>0.01</v>
      </c>
      <c r="K21">
        <f>VLOOKUP(A21,'Cleanup TMS'!$A$2:$CP$260,61)</f>
        <v>0.01</v>
      </c>
      <c r="L21">
        <f>VLOOKUP($A21,'2021 Congestions'!$A$2:$E$257,5)</f>
        <v>0.79</v>
      </c>
      <c r="M21">
        <f>VLOOKUP(A21,'Cleanup TMS'!$A$2:$CP$260,57)</f>
        <v>0.59</v>
      </c>
      <c r="N21" t="s">
        <v>890</v>
      </c>
    </row>
    <row r="22" spans="1:14" hidden="1">
      <c r="A22" s="1">
        <v>5010</v>
      </c>
      <c r="B22" t="s">
        <v>7</v>
      </c>
      <c r="C22" t="s">
        <v>9</v>
      </c>
      <c r="D22" t="s">
        <v>14</v>
      </c>
      <c r="E22" t="str">
        <f>VLOOKUP(A22,'2021 Congestions'!$A$2:$E$257,2)</f>
        <v>NOT CONGESTED</v>
      </c>
      <c r="F22" t="str">
        <f>VLOOKUP(A22,'Cleanup TMS'!$A$2:$CP$260,94)</f>
        <v>NOT CONGESTED</v>
      </c>
      <c r="G22" t="b">
        <f t="shared" si="0"/>
        <v>1</v>
      </c>
      <c r="H22">
        <f>VLOOKUP($A22,'2021 Congestions'!$A$2:$E$257,3)</f>
        <v>9635</v>
      </c>
      <c r="I22">
        <f>VLOOKUP(A22,'Cleanup TMS'!$A$2:$CP$260,42)</f>
        <v>9416</v>
      </c>
      <c r="J22">
        <f>VLOOKUP($A22,'2021 Congestions'!$A$2:$E$257,4)</f>
        <v>0.01</v>
      </c>
      <c r="K22">
        <f>VLOOKUP(A22,'Cleanup TMS'!$A$2:$CP$260,61)</f>
        <v>0.01</v>
      </c>
      <c r="L22">
        <f>VLOOKUP($A22,'2021 Congestions'!$A$2:$E$257,5)</f>
        <v>0.71</v>
      </c>
      <c r="M22">
        <f>VLOOKUP(A22,'Cleanup TMS'!$A$2:$CP$260,57)</f>
        <v>0.73</v>
      </c>
    </row>
    <row r="23" spans="1:14" hidden="1">
      <c r="A23" s="1">
        <v>5020</v>
      </c>
      <c r="B23" t="s">
        <v>7</v>
      </c>
      <c r="C23" t="s">
        <v>14</v>
      </c>
      <c r="D23" t="s">
        <v>690</v>
      </c>
      <c r="E23" t="str">
        <f>VLOOKUP(A23,'2021 Congestions'!$A$2:$E$257,2)</f>
        <v>NOT CONGESTED</v>
      </c>
      <c r="F23" t="str">
        <f>VLOOKUP(A23,'Cleanup TMS'!$A$2:$CP$260,94)</f>
        <v>NOT CONGESTED</v>
      </c>
      <c r="G23" t="b">
        <f t="shared" si="0"/>
        <v>1</v>
      </c>
      <c r="H23">
        <f>VLOOKUP($A23,'2021 Congestions'!$A$2:$E$257,3)</f>
        <v>3822</v>
      </c>
      <c r="I23">
        <f>VLOOKUP(A23,'Cleanup TMS'!$A$2:$CP$260,42)</f>
        <v>3848</v>
      </c>
      <c r="J23">
        <f>VLOOKUP($A23,'2021 Congestions'!$A$2:$E$257,4)</f>
        <v>0.01</v>
      </c>
      <c r="K23">
        <f>VLOOKUP(A23,'Cleanup TMS'!$A$2:$CP$260,61)</f>
        <v>0.01</v>
      </c>
      <c r="L23">
        <f>VLOOKUP($A23,'2021 Congestions'!$A$2:$E$257,5)</f>
        <v>0.3</v>
      </c>
      <c r="M23">
        <f>VLOOKUP(A23,'Cleanup TMS'!$A$2:$CP$260,57)</f>
        <v>0.28000000000000003</v>
      </c>
    </row>
    <row r="24" spans="1:14" hidden="1">
      <c r="A24" s="1">
        <v>5030</v>
      </c>
      <c r="B24" t="s">
        <v>7</v>
      </c>
      <c r="C24" t="s">
        <v>690</v>
      </c>
      <c r="D24" t="s">
        <v>765</v>
      </c>
      <c r="E24" t="str">
        <f>VLOOKUP(A24,'2021 Congestions'!$A$2:$E$257,2)</f>
        <v>NOT CONGESTED</v>
      </c>
      <c r="F24" t="str">
        <f>VLOOKUP(A24,'Cleanup TMS'!$A$2:$CP$260,94)</f>
        <v>NOT CONGESTED</v>
      </c>
      <c r="G24" t="b">
        <f t="shared" si="0"/>
        <v>1</v>
      </c>
      <c r="H24">
        <f>VLOOKUP($A24,'2021 Congestions'!$A$2:$E$257,3)</f>
        <v>5620</v>
      </c>
      <c r="I24">
        <f>VLOOKUP(A24,'Cleanup TMS'!$A$2:$CP$260,42)</f>
        <v>4706</v>
      </c>
      <c r="J24">
        <f>VLOOKUP($A24,'2021 Congestions'!$A$2:$E$257,4)</f>
        <v>0.01</v>
      </c>
      <c r="K24">
        <f>VLOOKUP(A24,'Cleanup TMS'!$A$2:$CP$260,61)</f>
        <v>0.01</v>
      </c>
      <c r="L24">
        <f>VLOOKUP($A24,'2021 Congestions'!$A$2:$E$257,5)</f>
        <v>0.41</v>
      </c>
      <c r="M24">
        <f>VLOOKUP(A24,'Cleanup TMS'!$A$2:$CP$260,57)</f>
        <v>0.38</v>
      </c>
    </row>
    <row r="25" spans="1:14" hidden="1">
      <c r="A25" s="1">
        <v>5080</v>
      </c>
      <c r="B25" t="s">
        <v>46</v>
      </c>
      <c r="C25" t="s">
        <v>112</v>
      </c>
      <c r="D25" t="s">
        <v>711</v>
      </c>
      <c r="E25" t="str">
        <f>VLOOKUP(A25,'2021 Congestions'!$A$2:$E$257,2)</f>
        <v>NOT CONGESTED</v>
      </c>
      <c r="F25" t="str">
        <f>VLOOKUP(A25,'Cleanup TMS'!$A$2:$CP$260,94)</f>
        <v>NOT CONGESTED</v>
      </c>
      <c r="G25" t="b">
        <f t="shared" si="0"/>
        <v>1</v>
      </c>
      <c r="H25">
        <f>VLOOKUP($A25,'2021 Congestions'!$A$2:$E$257,3)</f>
        <v>716</v>
      </c>
      <c r="I25">
        <f>VLOOKUP(A25,'Cleanup TMS'!$A$2:$CP$260,42)</f>
        <v>610</v>
      </c>
      <c r="J25">
        <f>VLOOKUP($A25,'2021 Congestions'!$A$2:$E$257,4)</f>
        <v>0.01</v>
      </c>
      <c r="K25">
        <f>VLOOKUP(A25,'Cleanup TMS'!$A$2:$CP$260,61)</f>
        <v>0.01</v>
      </c>
      <c r="L25">
        <f>VLOOKUP($A25,'2021 Congestions'!$A$2:$E$257,5)</f>
        <v>0.09</v>
      </c>
      <c r="M25">
        <f>VLOOKUP(A25,'Cleanup TMS'!$A$2:$CP$260,57)</f>
        <v>0.08</v>
      </c>
    </row>
    <row r="26" spans="1:14" hidden="1">
      <c r="A26" s="1">
        <v>6000</v>
      </c>
      <c r="B26" t="s">
        <v>691</v>
      </c>
      <c r="C26" t="s">
        <v>23</v>
      </c>
      <c r="D26" t="s">
        <v>712</v>
      </c>
      <c r="E26" t="str">
        <f>VLOOKUP(A26,'2021 Congestions'!$A$2:$E$257,2)</f>
        <v>NOT CONGESTED</v>
      </c>
      <c r="F26" t="str">
        <f>VLOOKUP(A26,'Cleanup TMS'!$A$2:$CP$260,94)</f>
        <v>NOT CONGESTED</v>
      </c>
      <c r="G26" t="b">
        <f t="shared" si="0"/>
        <v>1</v>
      </c>
      <c r="H26">
        <f>VLOOKUP($A26,'2021 Congestions'!$A$2:$E$257,3)</f>
        <v>490</v>
      </c>
      <c r="I26">
        <f>VLOOKUP(A26,'Cleanup TMS'!$A$2:$CP$260,42)</f>
        <v>505</v>
      </c>
      <c r="J26">
        <f>VLOOKUP($A26,'2021 Congestions'!$A$2:$E$257,4)</f>
        <v>0.01</v>
      </c>
      <c r="K26">
        <f>VLOOKUP(A26,'Cleanup TMS'!$A$2:$CP$260,61)</f>
        <v>2.75E-2</v>
      </c>
      <c r="L26">
        <f>VLOOKUP($A26,'2021 Congestions'!$A$2:$E$257,5)</f>
        <v>0.06</v>
      </c>
      <c r="M26">
        <f>VLOOKUP(A26,'Cleanup TMS'!$A$2:$CP$260,57)</f>
        <v>0.05</v>
      </c>
    </row>
    <row r="27" spans="1:14" hidden="1">
      <c r="A27" s="2">
        <v>12500</v>
      </c>
      <c r="B27" t="s">
        <v>106</v>
      </c>
      <c r="C27" t="s">
        <v>53</v>
      </c>
      <c r="D27" t="s">
        <v>54</v>
      </c>
      <c r="E27" t="str">
        <f>VLOOKUP(A27,'2021 Congestions'!$A$2:$E$257,2)</f>
        <v>NOT CONGESTED</v>
      </c>
      <c r="F27" t="str">
        <f>VLOOKUP(A27,'Cleanup TMS'!$A$2:$CP$260,94)</f>
        <v>NOT CONGESTED</v>
      </c>
      <c r="G27" t="b">
        <f t="shared" si="0"/>
        <v>1</v>
      </c>
      <c r="H27">
        <f>VLOOKUP($A27,'2021 Congestions'!$A$2:$E$257,3)</f>
        <v>5632</v>
      </c>
      <c r="I27">
        <f>VLOOKUP(A27,'Cleanup TMS'!$A$2:$CP$260,42)</f>
        <v>4177</v>
      </c>
      <c r="J27">
        <f>VLOOKUP($A27,'2021 Congestions'!$A$2:$E$257,4)</f>
        <v>0.01</v>
      </c>
      <c r="K27">
        <f>VLOOKUP(A27,'Cleanup TMS'!$A$2:$CP$260,61)</f>
        <v>0.01</v>
      </c>
      <c r="L27">
        <f>VLOOKUP($A27,'2021 Congestions'!$A$2:$E$257,5)</f>
        <v>0.38</v>
      </c>
      <c r="M27">
        <f>VLOOKUP(A27,'Cleanup TMS'!$A$2:$CP$260,57)</f>
        <v>0.32</v>
      </c>
    </row>
    <row r="28" spans="1:14">
      <c r="A28" s="1">
        <v>325310</v>
      </c>
      <c r="B28" t="s">
        <v>40</v>
      </c>
      <c r="C28" t="s">
        <v>161</v>
      </c>
      <c r="D28" t="s">
        <v>713</v>
      </c>
      <c r="E28" t="str">
        <f>VLOOKUP(A28,'2021 Congestions'!$A$2:$E$257,2)</f>
        <v>APPROACHING CONGESTION</v>
      </c>
      <c r="F28" t="str">
        <f>VLOOKUP(A28,'Cleanup TMS'!$A$2:$CP$260,94)</f>
        <v>NOT CONGESTED</v>
      </c>
      <c r="G28" t="b">
        <f t="shared" si="0"/>
        <v>0</v>
      </c>
      <c r="H28">
        <f>VLOOKUP($A28,'2021 Congestions'!$A$2:$E$257,3)</f>
        <v>6370</v>
      </c>
      <c r="I28">
        <f>VLOOKUP(A28,'Cleanup TMS'!$A$2:$CP$260,42)</f>
        <v>5770</v>
      </c>
      <c r="J28">
        <f>VLOOKUP($A28,'2021 Congestions'!$A$2:$E$257,4)</f>
        <v>0.06</v>
      </c>
      <c r="K28">
        <f>VLOOKUP(A28,'Cleanup TMS'!$A$2:$CP$260,61)</f>
        <v>1.2500000000000001E-2</v>
      </c>
      <c r="L28">
        <f>VLOOKUP($A28,'2021 Congestions'!$A$2:$E$257,5)</f>
        <v>0.74</v>
      </c>
      <c r="M28">
        <f>VLOOKUP(A28,'Cleanup TMS'!$A$2:$CP$260,57)</f>
        <v>0.57999999999999996</v>
      </c>
      <c r="N28" t="s">
        <v>1150</v>
      </c>
    </row>
    <row r="29" spans="1:14" hidden="1">
      <c r="A29" s="1">
        <v>3221000</v>
      </c>
      <c r="B29" t="s">
        <v>111</v>
      </c>
      <c r="C29" t="s">
        <v>40</v>
      </c>
      <c r="D29" t="s">
        <v>23</v>
      </c>
      <c r="E29" t="str">
        <f>VLOOKUP(A29,'2021 Congestions'!$A$2:$E$257,2)</f>
        <v>NOT CONGESTED</v>
      </c>
      <c r="F29" t="str">
        <f>VLOOKUP(A29,'Cleanup TMS'!$A$2:$CP$260,94)</f>
        <v>NOT CONGESTED</v>
      </c>
      <c r="G29" t="b">
        <f t="shared" si="0"/>
        <v>1</v>
      </c>
      <c r="H29">
        <f>VLOOKUP($A29,'2021 Congestions'!$A$2:$E$257,3)</f>
        <v>1310</v>
      </c>
      <c r="I29">
        <f>VLOOKUP(A29,'Cleanup TMS'!$A$2:$CP$260,42)</f>
        <v>1396</v>
      </c>
      <c r="J29">
        <f>VLOOKUP($A29,'2021 Congestions'!$A$2:$E$257,4)</f>
        <v>0.01</v>
      </c>
      <c r="K29">
        <f>VLOOKUP(A29,'Cleanup TMS'!$A$2:$CP$260,61)</f>
        <v>5.5E-2</v>
      </c>
      <c r="L29">
        <f>VLOOKUP($A29,'2021 Congestions'!$A$2:$E$257,5)</f>
        <v>0.15</v>
      </c>
      <c r="M29">
        <f>VLOOKUP(A29,'Cleanup TMS'!$A$2:$CP$260,57)</f>
        <v>0.11</v>
      </c>
    </row>
    <row r="30" spans="1:14" hidden="1">
      <c r="A30" s="1">
        <v>3223000</v>
      </c>
      <c r="B30" t="s">
        <v>118</v>
      </c>
      <c r="C30" t="s">
        <v>66</v>
      </c>
      <c r="D30" t="s">
        <v>119</v>
      </c>
      <c r="E30" t="str">
        <f>VLOOKUP(A30,'2021 Congestions'!$A$2:$E$257,2)</f>
        <v>NOT CONGESTED</v>
      </c>
      <c r="F30" t="str">
        <f>VLOOKUP(A30,'Cleanup TMS'!$A$2:$CP$260,94)</f>
        <v>NOT CONGESTED</v>
      </c>
      <c r="G30" t="b">
        <f t="shared" si="0"/>
        <v>1</v>
      </c>
      <c r="H30">
        <f>VLOOKUP($A30,'2021 Congestions'!$A$2:$E$257,3)</f>
        <v>2224</v>
      </c>
      <c r="I30">
        <f>VLOOKUP(A30,'Cleanup TMS'!$A$2:$CP$260,42)</f>
        <v>3508</v>
      </c>
      <c r="J30">
        <f>VLOOKUP($A30,'2021 Congestions'!$A$2:$E$257,4)</f>
        <v>0.03</v>
      </c>
      <c r="K30">
        <f>VLOOKUP(A30,'Cleanup TMS'!$A$2:$CP$260,61)</f>
        <v>5.5E-2</v>
      </c>
      <c r="L30">
        <f>VLOOKUP($A30,'2021 Congestions'!$A$2:$E$257,5)</f>
        <v>0.14000000000000001</v>
      </c>
      <c r="M30">
        <f>VLOOKUP(A30,'Cleanup TMS'!$A$2:$CP$260,57)</f>
        <v>0.2</v>
      </c>
    </row>
    <row r="31" spans="1:14" hidden="1">
      <c r="A31" s="1">
        <v>3224000</v>
      </c>
      <c r="B31" t="s">
        <v>48</v>
      </c>
      <c r="C31" t="s">
        <v>714</v>
      </c>
      <c r="D31" t="s">
        <v>109</v>
      </c>
      <c r="E31" t="str">
        <f>VLOOKUP(A31,'2021 Congestions'!$A$2:$E$257,2)</f>
        <v>NOT CONGESTED</v>
      </c>
      <c r="F31" t="str">
        <f>VLOOKUP(A31,'Cleanup TMS'!$A$2:$CP$260,94)</f>
        <v>NOT CONGESTED</v>
      </c>
      <c r="G31" t="b">
        <f t="shared" si="0"/>
        <v>1</v>
      </c>
      <c r="H31">
        <f>VLOOKUP($A31,'2021 Congestions'!$A$2:$E$257,3)</f>
        <v>3550</v>
      </c>
      <c r="I31">
        <f>VLOOKUP(A31,'Cleanup TMS'!$A$2:$CP$260,42)</f>
        <v>4174</v>
      </c>
      <c r="J31">
        <f>VLOOKUP($A31,'2021 Congestions'!$A$2:$E$257,4)</f>
        <v>4.7500000000000001E-2</v>
      </c>
      <c r="K31">
        <f>VLOOKUP(A31,'Cleanup TMS'!$A$2:$CP$260,61)</f>
        <v>0.06</v>
      </c>
      <c r="L31">
        <f>VLOOKUP($A31,'2021 Congestions'!$A$2:$E$257,5)</f>
        <v>0.45</v>
      </c>
      <c r="M31">
        <f>VLOOKUP(A31,'Cleanup TMS'!$A$2:$CP$260,57)</f>
        <v>0.49</v>
      </c>
    </row>
    <row r="32" spans="1:14" hidden="1">
      <c r="A32" s="1">
        <v>3229000</v>
      </c>
      <c r="B32" t="s">
        <v>121</v>
      </c>
      <c r="C32" t="s">
        <v>62</v>
      </c>
      <c r="D32" t="s">
        <v>120</v>
      </c>
      <c r="E32" t="str">
        <f>VLOOKUP(A32,'2021 Congestions'!$A$2:$E$257,2)</f>
        <v>NOT CONGESTED</v>
      </c>
      <c r="F32" t="str">
        <f>VLOOKUP(A32,'Cleanup TMS'!$A$2:$CP$260,94)</f>
        <v>NOT CONGESTED</v>
      </c>
      <c r="G32" t="b">
        <f t="shared" si="0"/>
        <v>1</v>
      </c>
      <c r="H32">
        <f>VLOOKUP($A32,'2021 Congestions'!$A$2:$E$257,3)</f>
        <v>159</v>
      </c>
      <c r="I32">
        <f>VLOOKUP(A32,'Cleanup TMS'!$A$2:$CP$260,42)</f>
        <v>245</v>
      </c>
      <c r="J32">
        <f>VLOOKUP($A32,'2021 Congestions'!$A$2:$E$257,4)</f>
        <v>0.01</v>
      </c>
      <c r="K32">
        <f>VLOOKUP(A32,'Cleanup TMS'!$A$2:$CP$260,61)</f>
        <v>0.05</v>
      </c>
      <c r="L32">
        <f>VLOOKUP($A32,'2021 Congestions'!$A$2:$E$257,5)</f>
        <v>0.02</v>
      </c>
      <c r="M32">
        <f>VLOOKUP(A32,'Cleanup TMS'!$A$2:$CP$260,57)</f>
        <v>0.04</v>
      </c>
    </row>
    <row r="33" spans="1:14" hidden="1">
      <c r="A33" s="1">
        <v>3231000</v>
      </c>
      <c r="B33" t="s">
        <v>63</v>
      </c>
      <c r="C33" t="s">
        <v>715</v>
      </c>
      <c r="D33" t="s">
        <v>56</v>
      </c>
      <c r="E33" t="str">
        <f>VLOOKUP(A33,'2021 Congestions'!$A$2:$E$257,2)</f>
        <v>NOT CONGESTED</v>
      </c>
      <c r="F33" t="str">
        <f>VLOOKUP(A33,'Cleanup TMS'!$A$2:$CP$260,94)</f>
        <v>NOT CONGESTED</v>
      </c>
      <c r="G33" t="b">
        <f t="shared" si="0"/>
        <v>1</v>
      </c>
      <c r="H33">
        <f>VLOOKUP($A33,'2021 Congestions'!$A$2:$E$257,3)</f>
        <v>438</v>
      </c>
      <c r="I33">
        <f>VLOOKUP(A33,'Cleanup TMS'!$A$2:$CP$260,42)</f>
        <v>611</v>
      </c>
      <c r="J33">
        <f>VLOOKUP($A33,'2021 Congestions'!$A$2:$E$257,4)</f>
        <v>0.01</v>
      </c>
      <c r="K33">
        <f>VLOOKUP(A33,'Cleanup TMS'!$A$2:$CP$260,61)</f>
        <v>0.01</v>
      </c>
      <c r="L33">
        <f>VLOOKUP($A33,'2021 Congestions'!$A$2:$E$257,5)</f>
        <v>0.05</v>
      </c>
      <c r="M33">
        <f>VLOOKUP(A33,'Cleanup TMS'!$A$2:$CP$260,57)</f>
        <v>0.08</v>
      </c>
    </row>
    <row r="34" spans="1:14" hidden="1">
      <c r="A34" s="1">
        <v>3245100</v>
      </c>
      <c r="B34" t="s">
        <v>43</v>
      </c>
      <c r="C34" t="s">
        <v>23</v>
      </c>
      <c r="D34" t="s">
        <v>714</v>
      </c>
      <c r="E34" t="str">
        <f>VLOOKUP(A34,'2021 Congestions'!$A$2:$E$257,2)</f>
        <v>NOT CONGESTED</v>
      </c>
      <c r="F34" t="str">
        <f>VLOOKUP(A34,'Cleanup TMS'!$A$2:$CP$260,94)</f>
        <v>NOT CONGESTED</v>
      </c>
      <c r="G34" t="b">
        <f t="shared" si="0"/>
        <v>1</v>
      </c>
      <c r="H34">
        <f>VLOOKUP($A34,'2021 Congestions'!$A$2:$E$257,3)</f>
        <v>3826</v>
      </c>
      <c r="I34">
        <f>VLOOKUP(A34,'Cleanup TMS'!$A$2:$CP$260,42)</f>
        <v>4654</v>
      </c>
      <c r="J34">
        <f>VLOOKUP($A34,'2021 Congestions'!$A$2:$E$257,4)</f>
        <v>0.01</v>
      </c>
      <c r="K34">
        <f>VLOOKUP(A34,'Cleanup TMS'!$A$2:$CP$260,61)</f>
        <v>0.05</v>
      </c>
      <c r="L34">
        <f>VLOOKUP($A34,'2021 Congestions'!$A$2:$E$257,5)</f>
        <v>0.3</v>
      </c>
      <c r="M34">
        <f>VLOOKUP(A34,'Cleanup TMS'!$A$2:$CP$260,57)</f>
        <v>0.35</v>
      </c>
    </row>
    <row r="35" spans="1:14" hidden="1">
      <c r="A35" s="1">
        <v>3245110</v>
      </c>
      <c r="B35" t="s">
        <v>43</v>
      </c>
      <c r="C35" t="s">
        <v>714</v>
      </c>
      <c r="D35" t="s">
        <v>716</v>
      </c>
      <c r="E35" t="str">
        <f>VLOOKUP(A35,'2021 Congestions'!$A$2:$E$257,2)</f>
        <v>NOT CONGESTED</v>
      </c>
      <c r="F35" t="str">
        <f>VLOOKUP(A35,'Cleanup TMS'!$A$2:$CP$260,94)</f>
        <v>NOT CONGESTED</v>
      </c>
      <c r="G35" t="b">
        <f t="shared" si="0"/>
        <v>1</v>
      </c>
      <c r="H35">
        <f>VLOOKUP($A35,'2021 Congestions'!$A$2:$E$257,3)</f>
        <v>3725</v>
      </c>
      <c r="I35">
        <f>VLOOKUP(A35,'Cleanup TMS'!$A$2:$CP$260,42)</f>
        <v>3893</v>
      </c>
      <c r="J35">
        <f>VLOOKUP($A35,'2021 Congestions'!$A$2:$E$257,4)</f>
        <v>0.01</v>
      </c>
      <c r="K35">
        <f>VLOOKUP(A35,'Cleanup TMS'!$A$2:$CP$260,61)</f>
        <v>0.04</v>
      </c>
      <c r="L35">
        <f>VLOOKUP($A35,'2021 Congestions'!$A$2:$E$257,5)</f>
        <v>0.17</v>
      </c>
      <c r="M35">
        <f>VLOOKUP(A35,'Cleanup TMS'!$A$2:$CP$260,57)</f>
        <v>0.16</v>
      </c>
    </row>
    <row r="36" spans="1:14" hidden="1">
      <c r="A36" s="1">
        <v>3248000</v>
      </c>
      <c r="B36" t="s">
        <v>54</v>
      </c>
      <c r="C36" t="s">
        <v>716</v>
      </c>
      <c r="D36" t="s">
        <v>106</v>
      </c>
      <c r="E36" t="str">
        <f>VLOOKUP(A36,'2021 Congestions'!$A$2:$E$257,2)</f>
        <v>NOT CONGESTED</v>
      </c>
      <c r="F36" t="str">
        <f>VLOOKUP(A36,'Cleanup TMS'!$A$2:$CP$260,94)</f>
        <v>NOT CONGESTED</v>
      </c>
      <c r="G36" t="b">
        <f t="shared" si="0"/>
        <v>1</v>
      </c>
      <c r="H36">
        <f>VLOOKUP($A36,'2021 Congestions'!$A$2:$E$257,3)</f>
        <v>7944</v>
      </c>
      <c r="I36">
        <f>VLOOKUP(A36,'Cleanup TMS'!$A$2:$CP$260,42)</f>
        <v>7098</v>
      </c>
      <c r="J36">
        <f>VLOOKUP($A36,'2021 Congestions'!$A$2:$E$257,4)</f>
        <v>1.2500000000000001E-2</v>
      </c>
      <c r="K36">
        <f>VLOOKUP(A36,'Cleanup TMS'!$A$2:$CP$260,61)</f>
        <v>0.01</v>
      </c>
      <c r="L36">
        <f>VLOOKUP($A36,'2021 Congestions'!$A$2:$E$257,5)</f>
        <v>0.27</v>
      </c>
      <c r="M36">
        <f>VLOOKUP(A36,'Cleanup TMS'!$A$2:$CP$260,57)</f>
        <v>0.26</v>
      </c>
    </row>
    <row r="37" spans="1:14" hidden="1">
      <c r="A37" s="1">
        <v>3248102</v>
      </c>
      <c r="B37" t="s">
        <v>46</v>
      </c>
      <c r="C37" t="s">
        <v>113</v>
      </c>
      <c r="D37" t="s">
        <v>716</v>
      </c>
      <c r="E37" t="str">
        <f>VLOOKUP(A37,'2021 Congestions'!$A$2:$E$257,2)</f>
        <v>NOT CONGESTED</v>
      </c>
      <c r="F37" t="str">
        <f>VLOOKUP(A37,'Cleanup TMS'!$A$2:$CP$260,94)</f>
        <v>NOT CONGESTED</v>
      </c>
      <c r="G37" t="b">
        <f t="shared" si="0"/>
        <v>1</v>
      </c>
      <c r="H37">
        <f>VLOOKUP($A37,'2021 Congestions'!$A$2:$E$257,3)</f>
        <v>1200</v>
      </c>
      <c r="I37">
        <f>VLOOKUP(A37,'Cleanup TMS'!$A$2:$CP$260,42)</f>
        <v>1363</v>
      </c>
      <c r="J37">
        <f>VLOOKUP($A37,'2021 Congestions'!$A$2:$E$257,4)</f>
        <v>0.01</v>
      </c>
      <c r="K37">
        <f>VLOOKUP(A37,'Cleanup TMS'!$A$2:$CP$260,61)</f>
        <v>0.05</v>
      </c>
      <c r="L37">
        <f>VLOOKUP($A37,'2021 Congestions'!$A$2:$E$257,5)</f>
        <v>0.15</v>
      </c>
      <c r="M37">
        <f>VLOOKUP(A37,'Cleanup TMS'!$A$2:$CP$260,57)</f>
        <v>0.21</v>
      </c>
    </row>
    <row r="38" spans="1:14" hidden="1">
      <c r="A38" s="1">
        <v>3248105</v>
      </c>
      <c r="B38" t="s">
        <v>46</v>
      </c>
      <c r="C38" t="s">
        <v>711</v>
      </c>
      <c r="D38" t="s">
        <v>113</v>
      </c>
      <c r="E38" t="str">
        <f>VLOOKUP(A38,'2021 Congestions'!$A$2:$E$257,2)</f>
        <v>NOT CONGESTED</v>
      </c>
      <c r="F38" t="str">
        <f>VLOOKUP(A38,'Cleanup TMS'!$A$2:$CP$260,94)</f>
        <v>NOT CONGESTED</v>
      </c>
      <c r="G38" t="b">
        <f t="shared" si="0"/>
        <v>1</v>
      </c>
      <c r="H38">
        <f>VLOOKUP($A38,'2021 Congestions'!$A$2:$E$257,3)</f>
        <v>1948</v>
      </c>
      <c r="I38">
        <f>VLOOKUP(A38,'Cleanup TMS'!$A$2:$CP$260,42)</f>
        <v>2491</v>
      </c>
      <c r="J38">
        <f>VLOOKUP($A38,'2021 Congestions'!$A$2:$E$257,4)</f>
        <v>0.01</v>
      </c>
      <c r="K38">
        <f>VLOOKUP(A38,'Cleanup TMS'!$A$2:$CP$260,61)</f>
        <v>0.05</v>
      </c>
      <c r="L38">
        <f>VLOOKUP($A38,'2021 Congestions'!$A$2:$E$257,5)</f>
        <v>0.23</v>
      </c>
      <c r="M38">
        <f>VLOOKUP(A38,'Cleanup TMS'!$A$2:$CP$260,57)</f>
        <v>0.43</v>
      </c>
      <c r="N38" t="s">
        <v>892</v>
      </c>
    </row>
    <row r="39" spans="1:14" hidden="1">
      <c r="A39" s="1">
        <v>3248110</v>
      </c>
      <c r="B39" t="s">
        <v>46</v>
      </c>
      <c r="C39" t="s">
        <v>716</v>
      </c>
      <c r="D39" t="s">
        <v>114</v>
      </c>
      <c r="E39" t="str">
        <f>VLOOKUP(A39,'2021 Congestions'!$A$2:$E$257,2)</f>
        <v>NOT CONGESTED</v>
      </c>
      <c r="F39" t="str">
        <f>VLOOKUP(A39,'Cleanup TMS'!$A$2:$CP$260,94)</f>
        <v>NOT CONGESTED</v>
      </c>
      <c r="G39" t="b">
        <f t="shared" si="0"/>
        <v>1</v>
      </c>
      <c r="H39">
        <f>VLOOKUP($A39,'2021 Congestions'!$A$2:$E$257,3)</f>
        <v>1948</v>
      </c>
      <c r="I39">
        <f>VLOOKUP(A39,'Cleanup TMS'!$A$2:$CP$260,42)</f>
        <v>1272</v>
      </c>
      <c r="J39">
        <f>VLOOKUP($A39,'2021 Congestions'!$A$2:$E$257,4)</f>
        <v>0.01</v>
      </c>
      <c r="K39">
        <f>VLOOKUP(A39,'Cleanup TMS'!$A$2:$CP$260,61)</f>
        <v>0.01</v>
      </c>
      <c r="L39">
        <f>VLOOKUP($A39,'2021 Congestions'!$A$2:$E$257,5)</f>
        <v>0.27</v>
      </c>
      <c r="M39">
        <f>VLOOKUP(A39,'Cleanup TMS'!$A$2:$CP$260,57)</f>
        <v>0.36</v>
      </c>
    </row>
    <row r="40" spans="1:14" hidden="1">
      <c r="A40" s="1">
        <v>3248400</v>
      </c>
      <c r="B40" t="s">
        <v>108</v>
      </c>
      <c r="C40" t="s">
        <v>40</v>
      </c>
      <c r="D40" t="s">
        <v>54</v>
      </c>
      <c r="E40" t="str">
        <f>VLOOKUP(A40,'2021 Congestions'!$A$2:$E$257,2)</f>
        <v>CONGESTED (2025)</v>
      </c>
      <c r="F40" t="str">
        <f>VLOOKUP(A40,'Cleanup TMS'!$A$2:$CP$260,94)</f>
        <v>CONGESTED (2025)</v>
      </c>
      <c r="G40" t="b">
        <f t="shared" si="0"/>
        <v>1</v>
      </c>
      <c r="H40">
        <f>VLOOKUP($A40,'2021 Congestions'!$A$2:$E$257,3)</f>
        <v>3265</v>
      </c>
      <c r="I40">
        <f>VLOOKUP(A40,'Cleanup TMS'!$A$2:$CP$260,42)</f>
        <v>3208</v>
      </c>
      <c r="J40">
        <f>VLOOKUP($A40,'2021 Congestions'!$A$2:$E$257,4)</f>
        <v>6.5000000000000002E-2</v>
      </c>
      <c r="K40">
        <f>VLOOKUP(A40,'Cleanup TMS'!$A$2:$CP$260,61)</f>
        <v>2.75E-2</v>
      </c>
      <c r="L40">
        <f>VLOOKUP($A40,'2021 Congestions'!$A$2:$E$257,5)</f>
        <v>0.91</v>
      </c>
      <c r="M40">
        <f>VLOOKUP(A40,'Cleanup TMS'!$A$2:$CP$260,57)</f>
        <v>0.93</v>
      </c>
      <c r="N40" t="s">
        <v>890</v>
      </c>
    </row>
    <row r="41" spans="1:14" hidden="1">
      <c r="A41" s="1">
        <v>3253100</v>
      </c>
      <c r="B41" t="s">
        <v>40</v>
      </c>
      <c r="C41" t="s">
        <v>83</v>
      </c>
      <c r="D41" t="s">
        <v>161</v>
      </c>
      <c r="E41" t="str">
        <f>VLOOKUP(A41,'2021 Congestions'!$A$2:$E$257,2)</f>
        <v>NOT CONGESTED</v>
      </c>
      <c r="F41" t="str">
        <f>VLOOKUP(A41,'Cleanup TMS'!$A$2:$CP$260,94)</f>
        <v>NOT CONGESTED</v>
      </c>
      <c r="G41" t="b">
        <f t="shared" si="0"/>
        <v>1</v>
      </c>
      <c r="H41">
        <f>VLOOKUP($A41,'2021 Congestions'!$A$2:$E$257,3)</f>
        <v>4710</v>
      </c>
      <c r="I41">
        <f>VLOOKUP(A41,'Cleanup TMS'!$A$2:$CP$260,42)</f>
        <v>4560</v>
      </c>
      <c r="J41">
        <f>VLOOKUP($A41,'2021 Congestions'!$A$2:$E$257,4)</f>
        <v>1.4999999999999999E-2</v>
      </c>
      <c r="K41">
        <f>VLOOKUP(A41,'Cleanup TMS'!$A$2:$CP$260,61)</f>
        <v>0.01</v>
      </c>
      <c r="L41">
        <f>VLOOKUP($A41,'2021 Congestions'!$A$2:$E$257,5)</f>
        <v>0.54</v>
      </c>
      <c r="M41">
        <f>VLOOKUP(A41,'Cleanup TMS'!$A$2:$CP$260,57)</f>
        <v>0.49</v>
      </c>
    </row>
    <row r="42" spans="1:14" hidden="1">
      <c r="A42" s="1">
        <v>3253110</v>
      </c>
      <c r="B42" t="s">
        <v>692</v>
      </c>
      <c r="C42" t="s">
        <v>717</v>
      </c>
      <c r="D42" t="s">
        <v>718</v>
      </c>
      <c r="E42" t="str">
        <f>VLOOKUP(A42,'2021 Congestions'!$A$2:$E$257,2)</f>
        <v>NOT CONGESTED</v>
      </c>
      <c r="F42" t="str">
        <f>VLOOKUP(A42,'Cleanup TMS'!$A$2:$CP$260,94)</f>
        <v>NOT CONGESTED</v>
      </c>
      <c r="G42" t="b">
        <f t="shared" si="0"/>
        <v>1</v>
      </c>
      <c r="H42">
        <f>VLOOKUP($A42,'2021 Congestions'!$A$2:$E$257,3)</f>
        <v>4100</v>
      </c>
      <c r="I42">
        <f>VLOOKUP(A42,'Cleanup TMS'!$A$2:$CP$260,42)</f>
        <v>3770</v>
      </c>
      <c r="J42">
        <f>VLOOKUP($A42,'2021 Congestions'!$A$2:$E$257,4)</f>
        <v>0.01</v>
      </c>
      <c r="K42">
        <f>VLOOKUP(A42,'Cleanup TMS'!$A$2:$CP$260,61)</f>
        <v>0.01</v>
      </c>
      <c r="L42">
        <f>VLOOKUP($A42,'2021 Congestions'!$A$2:$E$257,5)</f>
        <v>0.37</v>
      </c>
      <c r="M42">
        <f>VLOOKUP(A42,'Cleanup TMS'!$A$2:$CP$260,57)</f>
        <v>0.35</v>
      </c>
    </row>
    <row r="43" spans="1:14">
      <c r="A43" s="1">
        <v>3253130</v>
      </c>
      <c r="B43" t="s">
        <v>692</v>
      </c>
      <c r="C43" t="s">
        <v>698</v>
      </c>
      <c r="D43" t="s">
        <v>717</v>
      </c>
      <c r="E43" t="str">
        <f>VLOOKUP(A43,'2021 Congestions'!$A$2:$E$257,2)</f>
        <v>CONGESTED (2025)</v>
      </c>
      <c r="F43" t="str">
        <f>VLOOKUP(A43,'Cleanup TMS'!$A$2:$CP$260,94)</f>
        <v>NOT CONGESTED</v>
      </c>
      <c r="G43" t="b">
        <f t="shared" si="0"/>
        <v>0</v>
      </c>
      <c r="H43">
        <f>VLOOKUP($A43,'2021 Congestions'!$A$2:$E$257,3)</f>
        <v>10730</v>
      </c>
      <c r="I43">
        <f>VLOOKUP(A43,'Cleanup TMS'!$A$2:$CP$260,42)</f>
        <v>8820</v>
      </c>
      <c r="J43">
        <f>VLOOKUP($A43,'2021 Congestions'!$A$2:$E$257,4)</f>
        <v>3.2500000000000001E-2</v>
      </c>
      <c r="K43">
        <f>VLOOKUP(A43,'Cleanup TMS'!$A$2:$CP$260,61)</f>
        <v>0.01</v>
      </c>
      <c r="L43">
        <f>VLOOKUP($A43,'2021 Congestions'!$A$2:$E$257,5)</f>
        <v>0.93</v>
      </c>
      <c r="M43">
        <f>VLOOKUP(A43,'Cleanup TMS'!$A$2:$CP$260,57)</f>
        <v>0.67</v>
      </c>
      <c r="N43" t="s">
        <v>1151</v>
      </c>
    </row>
    <row r="44" spans="1:14" hidden="1">
      <c r="A44" s="1">
        <v>3253140</v>
      </c>
      <c r="B44" t="s">
        <v>40</v>
      </c>
      <c r="C44" t="s">
        <v>713</v>
      </c>
      <c r="D44" t="s">
        <v>719</v>
      </c>
      <c r="E44" t="str">
        <f>VLOOKUP(A44,'2021 Congestions'!$A$2:$E$257,2)</f>
        <v>NOT CONGESTED</v>
      </c>
      <c r="F44" t="str">
        <f>VLOOKUP(A44,'Cleanup TMS'!$A$2:$CP$260,94)</f>
        <v>NOT CONGESTED</v>
      </c>
      <c r="G44" t="b">
        <f t="shared" si="0"/>
        <v>1</v>
      </c>
      <c r="H44">
        <f>VLOOKUP($A44,'2021 Congestions'!$A$2:$E$257,3)</f>
        <v>6090</v>
      </c>
      <c r="I44">
        <f>VLOOKUP(A44,'Cleanup TMS'!$A$2:$CP$260,42)</f>
        <v>6400</v>
      </c>
      <c r="J44">
        <f>VLOOKUP($A44,'2021 Congestions'!$A$2:$E$257,4)</f>
        <v>1.2500000000000001E-2</v>
      </c>
      <c r="K44">
        <f>VLOOKUP(A44,'Cleanup TMS'!$A$2:$CP$260,61)</f>
        <v>0.01</v>
      </c>
      <c r="L44">
        <f>VLOOKUP($A44,'2021 Congestions'!$A$2:$E$257,5)</f>
        <v>0.48</v>
      </c>
      <c r="M44">
        <f>VLOOKUP(A44,'Cleanup TMS'!$A$2:$CP$260,57)</f>
        <v>0.46</v>
      </c>
    </row>
    <row r="45" spans="1:14" hidden="1">
      <c r="A45" s="1">
        <v>3253150</v>
      </c>
      <c r="B45" t="s">
        <v>40</v>
      </c>
      <c r="C45" t="s">
        <v>719</v>
      </c>
      <c r="D45" t="s">
        <v>698</v>
      </c>
      <c r="E45" t="str">
        <f>VLOOKUP(A45,'2021 Congestions'!$A$2:$E$257,2)</f>
        <v>NOT CONGESTED</v>
      </c>
      <c r="F45" t="str">
        <f>VLOOKUP(A45,'Cleanup TMS'!$A$2:$CP$260,94)</f>
        <v>NOT CONGESTED</v>
      </c>
      <c r="G45" t="b">
        <f t="shared" si="0"/>
        <v>1</v>
      </c>
      <c r="H45">
        <f>VLOOKUP($A45,'2021 Congestions'!$A$2:$E$257,3)</f>
        <v>10730</v>
      </c>
      <c r="I45">
        <f>VLOOKUP(A45,'Cleanup TMS'!$A$2:$CP$260,42)</f>
        <v>8820</v>
      </c>
      <c r="J45">
        <f>VLOOKUP($A45,'2021 Congestions'!$A$2:$E$257,4)</f>
        <v>3.2500000000000001E-2</v>
      </c>
      <c r="K45">
        <f>VLOOKUP(A45,'Cleanup TMS'!$A$2:$CP$260,61)</f>
        <v>0.01</v>
      </c>
      <c r="L45">
        <f>VLOOKUP($A45,'2021 Congestions'!$A$2:$E$257,5)</f>
        <v>0.28999999999999998</v>
      </c>
      <c r="M45">
        <f>VLOOKUP(A45,'Cleanup TMS'!$A$2:$CP$260,57)</f>
        <v>0.21</v>
      </c>
    </row>
    <row r="46" spans="1:14" hidden="1">
      <c r="A46" s="1">
        <v>3253170</v>
      </c>
      <c r="B46" t="s">
        <v>40</v>
      </c>
      <c r="C46" t="s">
        <v>722</v>
      </c>
      <c r="D46" t="s">
        <v>81</v>
      </c>
      <c r="E46" t="str">
        <f>VLOOKUP(A46,'2021 Congestions'!$A$2:$E$257,2)</f>
        <v>NOT CONGESTED</v>
      </c>
      <c r="F46" t="str">
        <f>VLOOKUP(A46,'Cleanup TMS'!$A$2:$CP$260,94)</f>
        <v>NOT CONGESTED</v>
      </c>
      <c r="G46" t="b">
        <f t="shared" si="0"/>
        <v>1</v>
      </c>
      <c r="H46">
        <f>VLOOKUP($A46,'2021 Congestions'!$A$2:$E$257,3)</f>
        <v>5380</v>
      </c>
      <c r="I46">
        <f>VLOOKUP(A46,'Cleanup TMS'!$A$2:$CP$260,42)</f>
        <v>4850</v>
      </c>
      <c r="J46">
        <f>VLOOKUP($A46,'2021 Congestions'!$A$2:$E$257,4)</f>
        <v>0.01</v>
      </c>
      <c r="K46">
        <f>VLOOKUP(A46,'Cleanup TMS'!$A$2:$CP$260,61)</f>
        <v>0.01</v>
      </c>
      <c r="L46">
        <f>VLOOKUP($A46,'2021 Congestions'!$A$2:$E$257,5)</f>
        <v>0.32</v>
      </c>
      <c r="M46">
        <f>VLOOKUP(A46,'Cleanup TMS'!$A$2:$CP$260,57)</f>
        <v>0.26</v>
      </c>
    </row>
    <row r="47" spans="1:14">
      <c r="A47" s="1">
        <v>3253180</v>
      </c>
      <c r="B47" t="s">
        <v>40</v>
      </c>
      <c r="C47" t="s">
        <v>81</v>
      </c>
      <c r="D47" t="s">
        <v>720</v>
      </c>
      <c r="E47" t="str">
        <f>VLOOKUP(A47,'2021 Congestions'!$A$2:$E$257,2)</f>
        <v>APPROACHING CONGESTION</v>
      </c>
      <c r="F47" t="str">
        <f>VLOOKUP(A47,'Cleanup TMS'!$A$2:$CP$260,94)</f>
        <v>EXTREMELY (2025)</v>
      </c>
      <c r="G47" t="b">
        <f t="shared" si="0"/>
        <v>0</v>
      </c>
      <c r="H47">
        <f>VLOOKUP($A47,'2021 Congestions'!$A$2:$E$257,3)</f>
        <v>14620</v>
      </c>
      <c r="I47">
        <f>VLOOKUP(A47,'Cleanup TMS'!$A$2:$CP$260,42)</f>
        <v>16640</v>
      </c>
      <c r="J47">
        <f>VLOOKUP($A47,'2021 Congestions'!$A$2:$E$257,4)</f>
        <v>2.75E-2</v>
      </c>
      <c r="K47">
        <f>VLOOKUP(A47,'Cleanup TMS'!$A$2:$CP$260,61)</f>
        <v>0.05</v>
      </c>
      <c r="L47">
        <f>VLOOKUP($A47,'2021 Congestions'!$A$2:$E$257,5)</f>
        <v>0.82</v>
      </c>
      <c r="M47">
        <f>VLOOKUP(A47,'Cleanup TMS'!$A$2:$CP$260,57)</f>
        <v>0.91</v>
      </c>
      <c r="N47" t="s">
        <v>892</v>
      </c>
    </row>
    <row r="48" spans="1:14" hidden="1">
      <c r="A48" s="1">
        <v>3253190</v>
      </c>
      <c r="B48" t="s">
        <v>40</v>
      </c>
      <c r="C48" t="s">
        <v>720</v>
      </c>
      <c r="D48" t="s">
        <v>707</v>
      </c>
      <c r="E48" t="str">
        <f>VLOOKUP(A48,'2021 Congestions'!$A$2:$E$257,2)</f>
        <v>NOT CONGESTED</v>
      </c>
      <c r="F48" t="str">
        <f>VLOOKUP(A48,'Cleanup TMS'!$A$2:$CP$260,94)</f>
        <v>NOT CONGESTED</v>
      </c>
      <c r="G48" t="b">
        <f t="shared" si="0"/>
        <v>1</v>
      </c>
      <c r="H48">
        <f>VLOOKUP($A48,'2021 Congestions'!$A$2:$E$257,3)</f>
        <v>8830</v>
      </c>
      <c r="I48">
        <f>VLOOKUP(A48,'Cleanup TMS'!$A$2:$CP$260,42)</f>
        <v>8831.428571428638</v>
      </c>
      <c r="J48">
        <f>VLOOKUP($A48,'2021 Congestions'!$A$2:$E$257,4)</f>
        <v>0.05</v>
      </c>
      <c r="K48">
        <f>VLOOKUP(A48,'Cleanup TMS'!$A$2:$CP$260,61)</f>
        <v>0.01</v>
      </c>
      <c r="L48">
        <f>VLOOKUP($A48,'2021 Congestions'!$A$2:$E$257,5)</f>
        <v>0.57999999999999996</v>
      </c>
      <c r="M48">
        <f>VLOOKUP(A48,'Cleanup TMS'!$A$2:$CP$260,57)</f>
        <v>0.56000000000000005</v>
      </c>
    </row>
    <row r="49" spans="1:14">
      <c r="A49" s="1">
        <v>3253200</v>
      </c>
      <c r="B49" t="s">
        <v>710</v>
      </c>
      <c r="C49" t="s">
        <v>706</v>
      </c>
      <c r="D49" t="s">
        <v>721</v>
      </c>
      <c r="E49" t="str">
        <f>VLOOKUP(A49,'2021 Congestions'!$A$2:$E$257,2)</f>
        <v>EXTREMELY (2025)</v>
      </c>
      <c r="F49" t="str">
        <f>VLOOKUP(A49,'Cleanup TMS'!$A$2:$CP$260,94)</f>
        <v>CONGESTED (2025)</v>
      </c>
      <c r="G49" t="b">
        <f t="shared" si="0"/>
        <v>0</v>
      </c>
      <c r="H49">
        <f>VLOOKUP($A49,'2021 Congestions'!$A$2:$E$257,3)</f>
        <v>13850</v>
      </c>
      <c r="I49">
        <f>VLOOKUP(A49,'Cleanup TMS'!$A$2:$CP$260,42)</f>
        <v>13465</v>
      </c>
      <c r="J49">
        <f>VLOOKUP($A49,'2021 Congestions'!$A$2:$E$257,4)</f>
        <v>6.7500000000000004E-2</v>
      </c>
      <c r="K49">
        <f>VLOOKUP(A49,'Cleanup TMS'!$A$2:$CP$260,61)</f>
        <v>0.01</v>
      </c>
      <c r="L49">
        <f>VLOOKUP($A49,'2021 Congestions'!$A$2:$E$257,5)</f>
        <v>1.02</v>
      </c>
      <c r="M49">
        <f>VLOOKUP(A49,'Cleanup TMS'!$A$2:$CP$260,57)</f>
        <v>0.99</v>
      </c>
      <c r="N49" t="s">
        <v>1150</v>
      </c>
    </row>
    <row r="50" spans="1:14">
      <c r="A50" s="1">
        <v>3253210</v>
      </c>
      <c r="B50" t="s">
        <v>40</v>
      </c>
      <c r="C50" t="s">
        <v>721</v>
      </c>
      <c r="D50" t="s">
        <v>152</v>
      </c>
      <c r="E50" t="str">
        <f>VLOOKUP(A50,'2021 Congestions'!$A$2:$E$257,2)</f>
        <v>EXTREMELY (2020)</v>
      </c>
      <c r="F50" t="str">
        <f>VLOOKUP(A50,'Cleanup TMS'!$A$2:$CP$260,94)</f>
        <v>EXTREMELY (2025)</v>
      </c>
      <c r="G50" t="b">
        <f t="shared" si="0"/>
        <v>0</v>
      </c>
      <c r="H50">
        <f>VLOOKUP($A50,'2021 Congestions'!$A$2:$E$257,3)</f>
        <v>18870</v>
      </c>
      <c r="I50">
        <f>VLOOKUP(A50,'Cleanup TMS'!$A$2:$CP$260,42)</f>
        <v>18760</v>
      </c>
      <c r="J50">
        <f>VLOOKUP($A50,'2021 Congestions'!$A$2:$E$257,4)</f>
        <v>7.7499999999999999E-2</v>
      </c>
      <c r="K50">
        <f>VLOOKUP(A50,'Cleanup TMS'!$A$2:$CP$260,61)</f>
        <v>3.7499999999999999E-2</v>
      </c>
      <c r="L50">
        <f>VLOOKUP($A50,'2021 Congestions'!$A$2:$E$257,5)</f>
        <v>1.1100000000000001</v>
      </c>
      <c r="M50">
        <f>VLOOKUP(A50,'Cleanup TMS'!$A$2:$CP$260,57)</f>
        <v>1.07</v>
      </c>
      <c r="N50" t="s">
        <v>1151</v>
      </c>
    </row>
    <row r="51" spans="1:14">
      <c r="A51" s="1">
        <v>3253220</v>
      </c>
      <c r="B51" t="s">
        <v>693</v>
      </c>
      <c r="C51" t="s">
        <v>152</v>
      </c>
      <c r="D51" t="s">
        <v>704</v>
      </c>
      <c r="E51" t="str">
        <f>VLOOKUP(A51,'2021 Congestions'!$A$2:$E$257,2)</f>
        <v>APPROACHING CONGESTION</v>
      </c>
      <c r="F51" t="str">
        <f>VLOOKUP(A51,'Cleanup TMS'!$A$2:$CP$260,94)</f>
        <v>NOT CONGESTED</v>
      </c>
      <c r="G51" t="b">
        <f t="shared" si="0"/>
        <v>0</v>
      </c>
      <c r="H51">
        <f>VLOOKUP($A51,'2021 Congestions'!$A$2:$E$257,3)</f>
        <v>19965</v>
      </c>
      <c r="I51">
        <f>VLOOKUP(A51,'Cleanup TMS'!$A$2:$CP$260,42)</f>
        <v>19435</v>
      </c>
      <c r="J51">
        <f>VLOOKUP($A51,'2021 Congestions'!$A$2:$E$257,4)</f>
        <v>5.5E-2</v>
      </c>
      <c r="K51">
        <f>VLOOKUP(A51,'Cleanup TMS'!$A$2:$CP$260,61)</f>
        <v>1.4999999999999999E-2</v>
      </c>
      <c r="L51">
        <f>VLOOKUP($A51,'2021 Congestions'!$A$2:$E$257,5)</f>
        <v>0.71</v>
      </c>
      <c r="M51">
        <f>VLOOKUP(A51,'Cleanup TMS'!$A$2:$CP$260,57)</f>
        <v>0.76</v>
      </c>
      <c r="N51" t="s">
        <v>1150</v>
      </c>
    </row>
    <row r="52" spans="1:14" hidden="1">
      <c r="A52" s="1">
        <v>3253230</v>
      </c>
      <c r="B52" t="s">
        <v>693</v>
      </c>
      <c r="C52" t="s">
        <v>704</v>
      </c>
      <c r="D52" t="s">
        <v>23</v>
      </c>
      <c r="E52" t="str">
        <f>VLOOKUP(A52,'2021 Congestions'!$A$2:$E$257,2)</f>
        <v>NOT CONGESTED</v>
      </c>
      <c r="F52" t="str">
        <f>VLOOKUP(A52,'Cleanup TMS'!$A$2:$CP$260,94)</f>
        <v>NOT CONGESTED</v>
      </c>
      <c r="G52" t="b">
        <f t="shared" si="0"/>
        <v>1</v>
      </c>
      <c r="H52">
        <f>VLOOKUP($A52,'2021 Congestions'!$A$2:$E$257,3)</f>
        <v>21060</v>
      </c>
      <c r="I52">
        <f>VLOOKUP(A52,'Cleanup TMS'!$A$2:$CP$260,42)</f>
        <v>20110</v>
      </c>
      <c r="J52">
        <f>VLOOKUP($A52,'2021 Congestions'!$A$2:$E$257,4)</f>
        <v>3.2500000000000001E-2</v>
      </c>
      <c r="K52">
        <f>VLOOKUP(A52,'Cleanup TMS'!$A$2:$CP$260,61)</f>
        <v>0.01</v>
      </c>
      <c r="L52">
        <f>VLOOKUP($A52,'2021 Congestions'!$A$2:$E$257,5)</f>
        <v>0.38</v>
      </c>
      <c r="M52">
        <f>VLOOKUP(A52,'Cleanup TMS'!$A$2:$CP$260,57)</f>
        <v>0.46</v>
      </c>
    </row>
    <row r="53" spans="1:14" hidden="1">
      <c r="A53" s="1">
        <v>3253240</v>
      </c>
      <c r="B53" t="s">
        <v>693</v>
      </c>
      <c r="C53" t="s">
        <v>23</v>
      </c>
      <c r="D53" t="s">
        <v>712</v>
      </c>
      <c r="E53" t="str">
        <f>VLOOKUP(A53,'2021 Congestions'!$A$2:$E$257,2)</f>
        <v>NOT CONGESTED</v>
      </c>
      <c r="F53" t="str">
        <f>VLOOKUP(A53,'Cleanup TMS'!$A$2:$CP$260,94)</f>
        <v>NOT CONGESTED</v>
      </c>
      <c r="G53" t="b">
        <f t="shared" si="0"/>
        <v>1</v>
      </c>
      <c r="H53">
        <f>VLOOKUP($A53,'2021 Congestions'!$A$2:$E$257,3)</f>
        <v>24550</v>
      </c>
      <c r="I53">
        <f>VLOOKUP(A53,'Cleanup TMS'!$A$2:$CP$260,42)</f>
        <v>23700</v>
      </c>
      <c r="J53">
        <f>VLOOKUP($A53,'2021 Congestions'!$A$2:$E$257,4)</f>
        <v>0.01</v>
      </c>
      <c r="K53">
        <f>VLOOKUP(A53,'Cleanup TMS'!$A$2:$CP$260,61)</f>
        <v>0.01</v>
      </c>
      <c r="L53">
        <f>VLOOKUP($A53,'2021 Congestions'!$A$2:$E$257,5)</f>
        <v>0.49</v>
      </c>
      <c r="M53">
        <f>VLOOKUP(A53,'Cleanup TMS'!$A$2:$CP$260,57)</f>
        <v>0.56999999999999995</v>
      </c>
    </row>
    <row r="54" spans="1:14" hidden="1">
      <c r="A54" s="1">
        <v>3253250</v>
      </c>
      <c r="B54" t="s">
        <v>693</v>
      </c>
      <c r="C54" t="s">
        <v>712</v>
      </c>
      <c r="D54" t="s">
        <v>723</v>
      </c>
      <c r="E54" t="str">
        <f>VLOOKUP(A54,'2021 Congestions'!$A$2:$E$257,2)</f>
        <v>NOT CONGESTED</v>
      </c>
      <c r="F54" t="str">
        <f>VLOOKUP(A54,'Cleanup TMS'!$A$2:$CP$260,94)</f>
        <v>NOT CONGESTED</v>
      </c>
      <c r="G54" t="b">
        <f t="shared" si="0"/>
        <v>1</v>
      </c>
      <c r="H54">
        <f>VLOOKUP($A54,'2021 Congestions'!$A$2:$E$257,3)</f>
        <v>23200</v>
      </c>
      <c r="I54">
        <f>VLOOKUP(A54,'Cleanup TMS'!$A$2:$CP$260,42)</f>
        <v>25900</v>
      </c>
      <c r="J54">
        <f>VLOOKUP($A54,'2021 Congestions'!$A$2:$E$257,4)</f>
        <v>2.2499999999999999E-2</v>
      </c>
      <c r="K54">
        <f>VLOOKUP(A54,'Cleanup TMS'!$A$2:$CP$260,61)</f>
        <v>4.7500000000000001E-2</v>
      </c>
      <c r="L54">
        <f>VLOOKUP($A54,'2021 Congestions'!$A$2:$E$257,5)</f>
        <v>0.7</v>
      </c>
      <c r="M54">
        <f>VLOOKUP(A54,'Cleanup TMS'!$A$2:$CP$260,57)</f>
        <v>0.68</v>
      </c>
    </row>
    <row r="55" spans="1:14">
      <c r="A55" s="1">
        <v>3253270</v>
      </c>
      <c r="B55" t="s">
        <v>40</v>
      </c>
      <c r="C55" t="s">
        <v>766</v>
      </c>
      <c r="D55" t="s">
        <v>725</v>
      </c>
      <c r="E55" t="str">
        <f>VLOOKUP(A55,'2021 Congestions'!$A$2:$E$257,2)</f>
        <v>APPROACHING CONGESTION</v>
      </c>
      <c r="F55" t="str">
        <f>VLOOKUP(A55,'Cleanup TMS'!$A$2:$CP$260,94)</f>
        <v>NOT CONGESTED</v>
      </c>
      <c r="G55" t="b">
        <f t="shared" si="0"/>
        <v>0</v>
      </c>
      <c r="H55">
        <f>VLOOKUP($A55,'2021 Congestions'!$A$2:$E$257,3)</f>
        <v>27390</v>
      </c>
      <c r="I55">
        <f>VLOOKUP(A55,'Cleanup TMS'!$A$2:$CP$260,42)</f>
        <v>26460</v>
      </c>
      <c r="J55">
        <f>VLOOKUP($A55,'2021 Congestions'!$A$2:$E$257,4)</f>
        <v>7.4999999999999997E-2</v>
      </c>
      <c r="K55">
        <f>VLOOKUP(A55,'Cleanup TMS'!$A$2:$CP$260,61)</f>
        <v>0.01</v>
      </c>
      <c r="L55">
        <f>VLOOKUP($A55,'2021 Congestions'!$A$2:$E$257,5)</f>
        <v>0.67</v>
      </c>
      <c r="M55">
        <f>VLOOKUP(A55,'Cleanup TMS'!$A$2:$CP$260,57)</f>
        <v>0.63</v>
      </c>
      <c r="N55" t="s">
        <v>1150</v>
      </c>
    </row>
    <row r="56" spans="1:14" hidden="1">
      <c r="A56" s="1">
        <v>3253280</v>
      </c>
      <c r="B56" t="s">
        <v>40</v>
      </c>
      <c r="C56" t="s">
        <v>770</v>
      </c>
      <c r="D56" t="s">
        <v>116</v>
      </c>
      <c r="E56" t="str">
        <f>VLOOKUP(A56,'2021 Congestions'!$A$2:$E$257,2)</f>
        <v>NOT CONGESTED</v>
      </c>
      <c r="F56" t="str">
        <f>VLOOKUP(A56,'Cleanup TMS'!$A$2:$CP$260,94)</f>
        <v>NOT CONGESTED</v>
      </c>
      <c r="G56" t="b">
        <f t="shared" si="0"/>
        <v>1</v>
      </c>
      <c r="H56">
        <f>VLOOKUP($A56,'2021 Congestions'!$A$2:$E$257,3)</f>
        <v>27170</v>
      </c>
      <c r="I56">
        <f>VLOOKUP(A56,'Cleanup TMS'!$A$2:$CP$260,42)</f>
        <v>26120</v>
      </c>
      <c r="J56">
        <f>VLOOKUP($A56,'2021 Congestions'!$A$2:$E$257,4)</f>
        <v>0.04</v>
      </c>
      <c r="K56">
        <f>VLOOKUP(A56,'Cleanup TMS'!$A$2:$CP$260,61)</f>
        <v>0.01</v>
      </c>
      <c r="L56">
        <f>VLOOKUP($A56,'2021 Congestions'!$A$2:$E$257,5)</f>
        <v>0.65</v>
      </c>
      <c r="M56">
        <f>VLOOKUP(A56,'Cleanup TMS'!$A$2:$CP$260,57)</f>
        <v>0.63</v>
      </c>
    </row>
    <row r="57" spans="1:14" hidden="1">
      <c r="A57" s="1">
        <v>3253290</v>
      </c>
      <c r="B57" t="s">
        <v>40</v>
      </c>
      <c r="C57" t="s">
        <v>116</v>
      </c>
      <c r="D57" t="s">
        <v>726</v>
      </c>
      <c r="E57" t="str">
        <f>VLOOKUP(A57,'2021 Congestions'!$A$2:$E$257,2)</f>
        <v>NOT CONGESTED</v>
      </c>
      <c r="F57" t="str">
        <f>VLOOKUP(A57,'Cleanup TMS'!$A$2:$CP$260,94)</f>
        <v>NOT CONGESTED</v>
      </c>
      <c r="G57" t="b">
        <f t="shared" si="0"/>
        <v>1</v>
      </c>
      <c r="H57">
        <f>VLOOKUP($A57,'2021 Congestions'!$A$2:$E$257,3)</f>
        <v>26950</v>
      </c>
      <c r="I57">
        <f>VLOOKUP(A57,'Cleanup TMS'!$A$2:$CP$260,42)</f>
        <v>26200</v>
      </c>
      <c r="J57">
        <f>VLOOKUP($A57,'2021 Congestions'!$A$2:$E$257,4)</f>
        <v>0.01</v>
      </c>
      <c r="K57">
        <f>VLOOKUP(A57,'Cleanup TMS'!$A$2:$CP$260,61)</f>
        <v>0.01</v>
      </c>
      <c r="L57">
        <f>VLOOKUP($A57,'2021 Congestions'!$A$2:$E$257,5)</f>
        <v>0.62</v>
      </c>
      <c r="M57">
        <f>VLOOKUP(A57,'Cleanup TMS'!$A$2:$CP$260,57)</f>
        <v>0.63</v>
      </c>
    </row>
    <row r="58" spans="1:14" hidden="1">
      <c r="A58" s="1">
        <v>3269100</v>
      </c>
      <c r="B58" t="s">
        <v>120</v>
      </c>
      <c r="C58" t="s">
        <v>81</v>
      </c>
      <c r="D58" t="s">
        <v>121</v>
      </c>
      <c r="E58" t="str">
        <f>VLOOKUP(A58,'2021 Congestions'!$A$2:$E$257,2)</f>
        <v>NOT CONGESTED</v>
      </c>
      <c r="F58" t="str">
        <f>VLOOKUP(A58,'Cleanup TMS'!$A$2:$CP$260,94)</f>
        <v>NOT CONGESTED</v>
      </c>
      <c r="G58" t="b">
        <f t="shared" si="0"/>
        <v>1</v>
      </c>
      <c r="H58">
        <f>VLOOKUP($A58,'2021 Congestions'!$A$2:$E$257,3)</f>
        <v>719</v>
      </c>
      <c r="I58">
        <f>VLOOKUP(A58,'Cleanup TMS'!$A$2:$CP$260,42)</f>
        <v>696</v>
      </c>
      <c r="J58">
        <f>VLOOKUP($A58,'2021 Congestions'!$A$2:$E$257,4)</f>
        <v>1.4999999999999999E-2</v>
      </c>
      <c r="K58">
        <f>VLOOKUP(A58,'Cleanup TMS'!$A$2:$CP$260,61)</f>
        <v>0.01</v>
      </c>
      <c r="L58">
        <f>VLOOKUP($A58,'2021 Congestions'!$A$2:$E$257,5)</f>
        <v>0.08</v>
      </c>
      <c r="M58">
        <f>VLOOKUP(A58,'Cleanup TMS'!$A$2:$CP$260,57)</f>
        <v>0.08</v>
      </c>
    </row>
    <row r="59" spans="1:14" hidden="1">
      <c r="A59" s="1">
        <v>3290000</v>
      </c>
      <c r="B59" t="s">
        <v>694</v>
      </c>
      <c r="C59" t="s">
        <v>712</v>
      </c>
      <c r="D59" t="s">
        <v>727</v>
      </c>
      <c r="E59" t="str">
        <f>VLOOKUP(A59,'2021 Congestions'!$A$2:$E$257,2)</f>
        <v>NOT CONGESTED</v>
      </c>
      <c r="F59" t="str">
        <f>VLOOKUP(A59,'Cleanup TMS'!$A$2:$CP$260,94)</f>
        <v>NOT CONGESTED</v>
      </c>
      <c r="G59" t="b">
        <f t="shared" si="0"/>
        <v>1</v>
      </c>
      <c r="H59">
        <f>VLOOKUP($A59,'2021 Congestions'!$A$2:$E$257,3)</f>
        <v>14460</v>
      </c>
      <c r="I59">
        <f>VLOOKUP(A59,'Cleanup TMS'!$A$2:$CP$260,42)</f>
        <v>17456</v>
      </c>
      <c r="J59">
        <f>VLOOKUP($A59,'2021 Congestions'!$A$2:$E$257,4)</f>
        <v>7.7499999999999999E-2</v>
      </c>
      <c r="K59">
        <f>VLOOKUP(A59,'Cleanup TMS'!$A$2:$CP$260,61)</f>
        <v>0.06</v>
      </c>
      <c r="L59">
        <f>VLOOKUP($A59,'2021 Congestions'!$A$2:$E$257,5)</f>
        <v>0.48</v>
      </c>
      <c r="M59">
        <f>VLOOKUP(A59,'Cleanup TMS'!$A$2:$CP$260,57)</f>
        <v>0.61</v>
      </c>
    </row>
    <row r="60" spans="1:14" hidden="1">
      <c r="A60" s="1">
        <v>3293100</v>
      </c>
      <c r="B60" t="s">
        <v>89</v>
      </c>
      <c r="C60" t="s">
        <v>729</v>
      </c>
      <c r="D60" t="s">
        <v>122</v>
      </c>
      <c r="E60" t="str">
        <f>VLOOKUP(A60,'2021 Congestions'!$A$2:$E$257,2)</f>
        <v>NOT CONGESTED</v>
      </c>
      <c r="F60" t="str">
        <f>VLOOKUP(A60,'Cleanup TMS'!$A$2:$CP$260,94)</f>
        <v>NOT CONGESTED</v>
      </c>
      <c r="G60" t="b">
        <f t="shared" si="0"/>
        <v>1</v>
      </c>
      <c r="H60">
        <f>VLOOKUP($A60,'2021 Congestions'!$A$2:$E$257,3)</f>
        <v>639</v>
      </c>
      <c r="I60">
        <f>VLOOKUP(A60,'Cleanup TMS'!$A$2:$CP$260,42)</f>
        <v>718</v>
      </c>
      <c r="J60">
        <f>VLOOKUP($A60,'2021 Congestions'!$A$2:$E$257,4)</f>
        <v>0.01</v>
      </c>
      <c r="K60">
        <f>VLOOKUP(A60,'Cleanup TMS'!$A$2:$CP$260,61)</f>
        <v>1.4999999999999999E-2</v>
      </c>
      <c r="L60">
        <f>VLOOKUP($A60,'2021 Congestions'!$A$2:$E$257,5)</f>
        <v>0.09</v>
      </c>
      <c r="M60">
        <f>VLOOKUP(A60,'Cleanup TMS'!$A$2:$CP$260,57)</f>
        <v>0.11</v>
      </c>
    </row>
    <row r="61" spans="1:14" hidden="1">
      <c r="A61" s="1">
        <v>3293110</v>
      </c>
      <c r="B61" t="s">
        <v>89</v>
      </c>
      <c r="C61" t="s">
        <v>122</v>
      </c>
      <c r="D61" t="s">
        <v>728</v>
      </c>
      <c r="E61" t="str">
        <f>VLOOKUP(A61,'2021 Congestions'!$A$2:$E$257,2)</f>
        <v>NOT CONGESTED</v>
      </c>
      <c r="F61" t="str">
        <f>VLOOKUP(A61,'Cleanup TMS'!$A$2:$CP$260,94)</f>
        <v>NOT CONGESTED</v>
      </c>
      <c r="G61" t="b">
        <f t="shared" si="0"/>
        <v>1</v>
      </c>
      <c r="H61">
        <f>VLOOKUP($A61,'2021 Congestions'!$A$2:$E$257,3)</f>
        <v>1549</v>
      </c>
      <c r="I61">
        <f>VLOOKUP(A61,'Cleanup TMS'!$A$2:$CP$260,42)</f>
        <v>1248</v>
      </c>
      <c r="J61">
        <f>VLOOKUP($A61,'2021 Congestions'!$A$2:$E$257,4)</f>
        <v>5.7500000000000002E-2</v>
      </c>
      <c r="K61">
        <f>VLOOKUP(A61,'Cleanup TMS'!$A$2:$CP$260,61)</f>
        <v>4.4999999999999998E-2</v>
      </c>
      <c r="L61">
        <f>VLOOKUP($A61,'2021 Congestions'!$A$2:$E$257,5)</f>
        <v>0.15</v>
      </c>
      <c r="M61">
        <f>VLOOKUP(A61,'Cleanup TMS'!$A$2:$CP$260,57)</f>
        <v>0.13</v>
      </c>
    </row>
    <row r="62" spans="1:14" hidden="1">
      <c r="A62" s="1">
        <v>3297000</v>
      </c>
      <c r="B62" t="s">
        <v>86</v>
      </c>
      <c r="C62" t="s">
        <v>730</v>
      </c>
      <c r="D62" t="s">
        <v>728</v>
      </c>
      <c r="E62" t="str">
        <f>VLOOKUP(A62,'2021 Congestions'!$A$2:$E$257,2)</f>
        <v>NOT CONGESTED</v>
      </c>
      <c r="F62" t="str">
        <f>VLOOKUP(A62,'Cleanup TMS'!$A$2:$CP$260,94)</f>
        <v>NOT CONGESTED</v>
      </c>
      <c r="G62" t="b">
        <f t="shared" si="0"/>
        <v>1</v>
      </c>
      <c r="H62">
        <f>VLOOKUP($A62,'2021 Congestions'!$A$2:$E$257,3)</f>
        <v>384</v>
      </c>
      <c r="I62">
        <f>VLOOKUP(A62,'Cleanup TMS'!$A$2:$CP$260,42)</f>
        <v>362</v>
      </c>
      <c r="J62">
        <f>VLOOKUP($A62,'2021 Congestions'!$A$2:$E$257,4)</f>
        <v>0.01</v>
      </c>
      <c r="K62">
        <f>VLOOKUP(A62,'Cleanup TMS'!$A$2:$CP$260,61)</f>
        <v>0.01</v>
      </c>
      <c r="L62">
        <f>VLOOKUP($A62,'2021 Congestions'!$A$2:$E$257,5)</f>
        <v>0.06</v>
      </c>
      <c r="M62">
        <f>VLOOKUP(A62,'Cleanup TMS'!$A$2:$CP$260,57)</f>
        <v>0.04</v>
      </c>
    </row>
    <row r="63" spans="1:14" hidden="1">
      <c r="A63" s="1">
        <v>3300000</v>
      </c>
      <c r="B63" t="s">
        <v>18</v>
      </c>
      <c r="C63" t="s">
        <v>732</v>
      </c>
      <c r="D63" t="s">
        <v>15</v>
      </c>
      <c r="E63" t="str">
        <f>VLOOKUP(A63,'2021 Congestions'!$A$2:$E$257,2)</f>
        <v>NOT CONGESTED</v>
      </c>
      <c r="F63" t="str">
        <f>VLOOKUP(A63,'Cleanup TMS'!$A$2:$CP$260,94)</f>
        <v>NOT CONGESTED</v>
      </c>
      <c r="G63" t="b">
        <f t="shared" si="0"/>
        <v>1</v>
      </c>
      <c r="H63">
        <f>VLOOKUP($A63,'2021 Congestions'!$A$2:$E$257,3)</f>
        <v>18749</v>
      </c>
      <c r="I63">
        <f>VLOOKUP(A63,'Cleanup TMS'!$A$2:$CP$260,42)</f>
        <v>18780</v>
      </c>
      <c r="J63">
        <f>VLOOKUP($A63,'2021 Congestions'!$A$2:$E$257,4)</f>
        <v>0.01</v>
      </c>
      <c r="K63">
        <f>VLOOKUP(A63,'Cleanup TMS'!$A$2:$CP$260,61)</f>
        <v>0.01</v>
      </c>
      <c r="L63">
        <f>VLOOKUP($A63,'2021 Congestions'!$A$2:$E$257,5)</f>
        <v>0.57999999999999996</v>
      </c>
      <c r="M63">
        <f>VLOOKUP(A63,'Cleanup TMS'!$A$2:$CP$260,57)</f>
        <v>0.64</v>
      </c>
    </row>
    <row r="64" spans="1:14" hidden="1">
      <c r="A64" s="1">
        <v>3301000</v>
      </c>
      <c r="B64" t="s">
        <v>695</v>
      </c>
      <c r="C64" t="s">
        <v>730</v>
      </c>
      <c r="D64" t="s">
        <v>728</v>
      </c>
      <c r="E64" t="str">
        <f>VLOOKUP(A64,'2021 Congestions'!$A$2:$E$257,2)</f>
        <v>NOT CONGESTED</v>
      </c>
      <c r="F64" t="str">
        <f>VLOOKUP(A64,'Cleanup TMS'!$A$2:$CP$260,94)</f>
        <v>NOT CONGESTED</v>
      </c>
      <c r="G64" t="b">
        <f t="shared" si="0"/>
        <v>1</v>
      </c>
      <c r="H64">
        <f>VLOOKUP($A64,'2021 Congestions'!$A$2:$E$257,3)</f>
        <v>4329</v>
      </c>
      <c r="I64">
        <f>VLOOKUP(A64,'Cleanup TMS'!$A$2:$CP$260,42)</f>
        <v>5016</v>
      </c>
      <c r="J64">
        <f>VLOOKUP($A64,'2021 Congestions'!$A$2:$E$257,4)</f>
        <v>2.5000000000000001E-2</v>
      </c>
      <c r="K64">
        <f>VLOOKUP(A64,'Cleanup TMS'!$A$2:$CP$260,61)</f>
        <v>0.02</v>
      </c>
      <c r="L64">
        <f>VLOOKUP($A64,'2021 Congestions'!$A$2:$E$257,5)</f>
        <v>0.35</v>
      </c>
      <c r="M64">
        <f>VLOOKUP(A64,'Cleanup TMS'!$A$2:$CP$260,57)</f>
        <v>0.35</v>
      </c>
    </row>
    <row r="65" spans="1:13" hidden="1">
      <c r="A65" s="1">
        <v>3525100</v>
      </c>
      <c r="B65" t="s">
        <v>731</v>
      </c>
      <c r="C65" t="s">
        <v>23</v>
      </c>
      <c r="D65" t="s">
        <v>714</v>
      </c>
      <c r="E65" t="str">
        <f>VLOOKUP(A65,'2021 Congestions'!$A$2:$E$257,2)</f>
        <v>NOT CONGESTED</v>
      </c>
      <c r="F65" t="str">
        <f>VLOOKUP(A65,'Cleanup TMS'!$A$2:$CP$260,94)</f>
        <v>NOT CONGESTED</v>
      </c>
      <c r="G65" t="b">
        <f t="shared" si="0"/>
        <v>1</v>
      </c>
      <c r="H65">
        <f>VLOOKUP($A65,'2021 Congestions'!$A$2:$E$257,3)</f>
        <v>5130</v>
      </c>
      <c r="I65">
        <f>VLOOKUP(A65,'Cleanup TMS'!$A$2:$CP$260,42)</f>
        <v>5588</v>
      </c>
      <c r="J65">
        <f>VLOOKUP($A65,'2021 Congestions'!$A$2:$E$257,4)</f>
        <v>0.06</v>
      </c>
      <c r="K65">
        <f>VLOOKUP(A65,'Cleanup TMS'!$A$2:$CP$260,61)</f>
        <v>4.2500000000000003E-2</v>
      </c>
      <c r="L65">
        <f>VLOOKUP($A65,'2021 Congestions'!$A$2:$E$257,5)</f>
        <v>0.24</v>
      </c>
      <c r="M65">
        <f>VLOOKUP(A65,'Cleanup TMS'!$A$2:$CP$260,57)</f>
        <v>0.27</v>
      </c>
    </row>
    <row r="66" spans="1:13" hidden="1">
      <c r="A66" s="1">
        <v>3525110</v>
      </c>
      <c r="B66" t="s">
        <v>731</v>
      </c>
      <c r="C66" t="s">
        <v>714</v>
      </c>
      <c r="D66" t="s">
        <v>716</v>
      </c>
      <c r="E66" t="str">
        <f>VLOOKUP(A66,'2021 Congestions'!$A$2:$E$257,2)</f>
        <v>NOT CONGESTED</v>
      </c>
      <c r="F66" t="str">
        <f>VLOOKUP(A66,'Cleanup TMS'!$A$2:$CP$260,94)</f>
        <v>NOT CONGESTED</v>
      </c>
      <c r="G66" t="b">
        <f t="shared" ref="G66:G129" si="1">F66=E66</f>
        <v>1</v>
      </c>
      <c r="H66">
        <f>VLOOKUP($A66,'2021 Congestions'!$A$2:$E$257,3)</f>
        <v>5585.7000000000698</v>
      </c>
      <c r="I66">
        <f>VLOOKUP(A66,'Cleanup TMS'!$A$2:$CP$260,42)</f>
        <v>6242.2600000000093</v>
      </c>
      <c r="J66">
        <f>VLOOKUP($A66,'2021 Congestions'!$A$2:$E$257,4)</f>
        <v>8.7500000000000008E-2</v>
      </c>
      <c r="K66">
        <f>VLOOKUP(A66,'Cleanup TMS'!$A$2:$CP$260,61)</f>
        <v>7.4999999999999997E-2</v>
      </c>
      <c r="L66">
        <f>VLOOKUP($A66,'2021 Congestions'!$A$2:$E$257,5)</f>
        <v>0.28999999999999998</v>
      </c>
      <c r="M66">
        <f>VLOOKUP(A66,'Cleanup TMS'!$A$2:$CP$260,57)</f>
        <v>0.28999999999999998</v>
      </c>
    </row>
    <row r="67" spans="1:13" hidden="1">
      <c r="A67" s="1">
        <v>3526000</v>
      </c>
      <c r="B67" t="s">
        <v>733</v>
      </c>
      <c r="C67" t="s">
        <v>23</v>
      </c>
      <c r="D67" t="s">
        <v>68</v>
      </c>
      <c r="E67" t="str">
        <f>VLOOKUP(A67,'2021 Congestions'!$A$2:$E$257,2)</f>
        <v>NOT CONGESTED</v>
      </c>
      <c r="F67" t="str">
        <f>VLOOKUP(A67,'Cleanup TMS'!$A$2:$CP$260,94)</f>
        <v>NOT CONGESTED</v>
      </c>
      <c r="G67" t="b">
        <f t="shared" si="1"/>
        <v>1</v>
      </c>
      <c r="H67">
        <f>VLOOKUP($A67,'2021 Congestions'!$A$2:$E$257,3)</f>
        <v>3846</v>
      </c>
      <c r="I67">
        <f>VLOOKUP(A67,'Cleanup TMS'!$A$2:$CP$260,42)</f>
        <v>3592</v>
      </c>
      <c r="J67">
        <f>VLOOKUP($A67,'2021 Congestions'!$A$2:$E$257,4)</f>
        <v>7.2499999999999995E-2</v>
      </c>
      <c r="K67">
        <f>VLOOKUP(A67,'Cleanup TMS'!$A$2:$CP$260,61)</f>
        <v>5.5E-2</v>
      </c>
      <c r="L67">
        <f>VLOOKUP($A67,'2021 Congestions'!$A$2:$E$257,5)</f>
        <v>0.49</v>
      </c>
      <c r="M67">
        <f>VLOOKUP(A67,'Cleanup TMS'!$A$2:$CP$260,57)</f>
        <v>0.41</v>
      </c>
    </row>
    <row r="68" spans="1:13" hidden="1">
      <c r="A68" s="1">
        <v>3528120</v>
      </c>
      <c r="B68" t="s">
        <v>712</v>
      </c>
      <c r="C68" t="s">
        <v>40</v>
      </c>
      <c r="D68" t="s">
        <v>41</v>
      </c>
      <c r="E68" t="str">
        <f>VLOOKUP(A68,'2021 Congestions'!$A$2:$E$257,2)</f>
        <v>NOT CONGESTED</v>
      </c>
      <c r="F68" t="str">
        <f>VLOOKUP(A68,'Cleanup TMS'!$A$2:$CP$260,94)</f>
        <v>NOT CONGESTED</v>
      </c>
      <c r="G68" t="b">
        <f t="shared" si="1"/>
        <v>1</v>
      </c>
      <c r="H68">
        <f>VLOOKUP($A68,'2021 Congestions'!$A$2:$E$257,3)</f>
        <v>3025</v>
      </c>
      <c r="I68">
        <f>VLOOKUP(A68,'Cleanup TMS'!$A$2:$CP$260,42)</f>
        <v>3462</v>
      </c>
      <c r="J68">
        <f>VLOOKUP($A68,'2021 Congestions'!$A$2:$E$257,4)</f>
        <v>0.01</v>
      </c>
      <c r="K68">
        <f>VLOOKUP(A68,'Cleanup TMS'!$A$2:$CP$260,61)</f>
        <v>0.01</v>
      </c>
      <c r="L68">
        <f>VLOOKUP($A68,'2021 Congestions'!$A$2:$E$257,5)</f>
        <v>0.23</v>
      </c>
      <c r="M68">
        <f>VLOOKUP(A68,'Cleanup TMS'!$A$2:$CP$260,57)</f>
        <v>0.26</v>
      </c>
    </row>
    <row r="69" spans="1:13" hidden="1">
      <c r="A69" s="1">
        <v>3529000</v>
      </c>
      <c r="B69" t="s">
        <v>734</v>
      </c>
      <c r="C69" t="s">
        <v>62</v>
      </c>
      <c r="D69" t="s">
        <v>81</v>
      </c>
      <c r="E69" t="str">
        <f>VLOOKUP(A69,'2021 Congestions'!$A$2:$E$257,2)</f>
        <v>NOT CONGESTED</v>
      </c>
      <c r="F69" t="str">
        <f>VLOOKUP(A69,'Cleanup TMS'!$A$2:$CP$260,94)</f>
        <v>NOT CONGESTED</v>
      </c>
      <c r="G69" t="b">
        <f t="shared" si="1"/>
        <v>1</v>
      </c>
      <c r="H69">
        <f>VLOOKUP($A69,'2021 Congestions'!$A$2:$E$257,3)</f>
        <v>679</v>
      </c>
      <c r="I69">
        <f>VLOOKUP(A69,'Cleanup TMS'!$A$2:$CP$260,42)</f>
        <v>801</v>
      </c>
      <c r="J69">
        <f>VLOOKUP($A69,'2021 Congestions'!$A$2:$E$257,4)</f>
        <v>0.01</v>
      </c>
      <c r="K69">
        <f>VLOOKUP(A69,'Cleanup TMS'!$A$2:$CP$260,61)</f>
        <v>0.01</v>
      </c>
      <c r="L69">
        <f>VLOOKUP($A69,'2021 Congestions'!$A$2:$E$257,5)</f>
        <v>0.04</v>
      </c>
      <c r="M69">
        <f>VLOOKUP(A69,'Cleanup TMS'!$A$2:$CP$260,57)</f>
        <v>0.04</v>
      </c>
    </row>
    <row r="70" spans="1:13" hidden="1">
      <c r="A70" s="1">
        <v>3530000</v>
      </c>
      <c r="B70" t="s">
        <v>733</v>
      </c>
      <c r="C70" t="s">
        <v>68</v>
      </c>
      <c r="D70" t="s">
        <v>769</v>
      </c>
      <c r="E70" t="str">
        <f>VLOOKUP(A70,'2021 Congestions'!$A$2:$E$257,2)</f>
        <v>NOT CONGESTED</v>
      </c>
      <c r="F70" t="str">
        <f>VLOOKUP(A70,'Cleanup TMS'!$A$2:$CP$260,94)</f>
        <v>NOT CONGESTED</v>
      </c>
      <c r="G70" t="b">
        <f t="shared" si="1"/>
        <v>1</v>
      </c>
      <c r="H70">
        <f>VLOOKUP($A70,'2021 Congestions'!$A$2:$E$257,3)</f>
        <v>3854</v>
      </c>
      <c r="I70">
        <f>VLOOKUP(A70,'Cleanup TMS'!$A$2:$CP$260,42)</f>
        <v>3990</v>
      </c>
      <c r="J70">
        <f>VLOOKUP($A70,'2021 Congestions'!$A$2:$E$257,4)</f>
        <v>0.01</v>
      </c>
      <c r="K70">
        <f>VLOOKUP(A70,'Cleanup TMS'!$A$2:$CP$260,61)</f>
        <v>0.01</v>
      </c>
      <c r="L70">
        <f>VLOOKUP($A70,'2021 Congestions'!$A$2:$E$257,5)</f>
        <v>0.18</v>
      </c>
      <c r="M70">
        <f>VLOOKUP(A70,'Cleanup TMS'!$A$2:$CP$260,57)</f>
        <v>0.17</v>
      </c>
    </row>
    <row r="71" spans="1:13" hidden="1">
      <c r="A71" s="1">
        <v>3532000</v>
      </c>
      <c r="B71" t="s">
        <v>735</v>
      </c>
      <c r="C71" t="s">
        <v>99</v>
      </c>
      <c r="D71" t="s">
        <v>728</v>
      </c>
      <c r="E71" t="str">
        <f>VLOOKUP(A71,'2021 Congestions'!$A$2:$E$257,2)</f>
        <v>NOT CONGESTED</v>
      </c>
      <c r="F71" t="str">
        <f>VLOOKUP(A71,'Cleanup TMS'!$A$2:$CP$260,94)</f>
        <v>NOT CONGESTED</v>
      </c>
      <c r="G71" t="b">
        <f t="shared" si="1"/>
        <v>1</v>
      </c>
      <c r="H71">
        <f>VLOOKUP($A71,'2021 Congestions'!$A$2:$E$257,3)</f>
        <v>658</v>
      </c>
      <c r="I71">
        <f>VLOOKUP(A71,'Cleanup TMS'!$A$2:$CP$260,42)</f>
        <v>836</v>
      </c>
      <c r="J71">
        <f>VLOOKUP($A71,'2021 Congestions'!$A$2:$E$257,4)</f>
        <v>1.7500000000000002E-2</v>
      </c>
      <c r="K71">
        <f>VLOOKUP(A71,'Cleanup TMS'!$A$2:$CP$260,61)</f>
        <v>0.04</v>
      </c>
      <c r="L71">
        <f>VLOOKUP($A71,'2021 Congestions'!$A$2:$E$257,5)</f>
        <v>0.09</v>
      </c>
      <c r="M71">
        <f>VLOOKUP(A71,'Cleanup TMS'!$A$2:$CP$260,57)</f>
        <v>0.1</v>
      </c>
    </row>
    <row r="72" spans="1:13" hidden="1">
      <c r="A72" s="1">
        <v>3533100</v>
      </c>
      <c r="B72" t="s">
        <v>727</v>
      </c>
      <c r="C72" t="s">
        <v>40</v>
      </c>
      <c r="D72" t="s">
        <v>755</v>
      </c>
      <c r="E72" t="str">
        <f>VLOOKUP(A72,'2021 Congestions'!$A$2:$E$257,2)</f>
        <v>NOT CONGESTED</v>
      </c>
      <c r="F72" t="str">
        <f>VLOOKUP(A72,'Cleanup TMS'!$A$2:$CP$260,94)</f>
        <v>NOT CONGESTED</v>
      </c>
      <c r="G72" t="b">
        <f t="shared" si="1"/>
        <v>1</v>
      </c>
      <c r="H72">
        <f>VLOOKUP($A72,'2021 Congestions'!$A$2:$E$257,3)</f>
        <v>10671</v>
      </c>
      <c r="I72">
        <f>VLOOKUP(A72,'Cleanup TMS'!$A$2:$CP$260,42)</f>
        <v>9784</v>
      </c>
      <c r="J72">
        <f>VLOOKUP($A72,'2021 Congestions'!$A$2:$E$257,4)</f>
        <v>0.01</v>
      </c>
      <c r="K72">
        <f>VLOOKUP(A72,'Cleanup TMS'!$A$2:$CP$260,61)</f>
        <v>1.4999999999999999E-2</v>
      </c>
      <c r="L72">
        <f>VLOOKUP($A72,'2021 Congestions'!$A$2:$E$257,5)</f>
        <v>0.7</v>
      </c>
      <c r="M72">
        <f>VLOOKUP(A72,'Cleanup TMS'!$A$2:$CP$260,57)</f>
        <v>0.62</v>
      </c>
    </row>
    <row r="73" spans="1:13" hidden="1">
      <c r="A73" s="1">
        <v>3534100</v>
      </c>
      <c r="B73" t="s">
        <v>729</v>
      </c>
      <c r="C73" t="s">
        <v>81</v>
      </c>
      <c r="D73" t="s">
        <v>91</v>
      </c>
      <c r="E73" t="str">
        <f>VLOOKUP(A73,'2021 Congestions'!$A$2:$E$257,2)</f>
        <v>NOT CONGESTED</v>
      </c>
      <c r="F73" t="str">
        <f>VLOOKUP(A73,'Cleanup TMS'!$A$2:$CP$260,94)</f>
        <v>NOT CONGESTED</v>
      </c>
      <c r="G73" t="b">
        <f t="shared" si="1"/>
        <v>1</v>
      </c>
      <c r="H73">
        <f>VLOOKUP($A73,'2021 Congestions'!$A$2:$E$257,3)</f>
        <v>1590</v>
      </c>
      <c r="I73">
        <f>VLOOKUP(A73,'Cleanup TMS'!$A$2:$CP$260,42)</f>
        <v>2048</v>
      </c>
      <c r="J73">
        <f>VLOOKUP($A73,'2021 Congestions'!$A$2:$E$257,4)</f>
        <v>0.01</v>
      </c>
      <c r="K73">
        <f>VLOOKUP(A73,'Cleanup TMS'!$A$2:$CP$260,61)</f>
        <v>2.5000000000000001E-2</v>
      </c>
      <c r="L73">
        <f>VLOOKUP($A73,'2021 Congestions'!$A$2:$E$257,5)</f>
        <v>7.0000000000000007E-2</v>
      </c>
      <c r="M73">
        <f>VLOOKUP(A73,'Cleanup TMS'!$A$2:$CP$260,57)</f>
        <v>0.08</v>
      </c>
    </row>
    <row r="74" spans="1:13" hidden="1">
      <c r="A74" s="1">
        <v>3534110</v>
      </c>
      <c r="B74" t="s">
        <v>736</v>
      </c>
      <c r="C74" t="s">
        <v>91</v>
      </c>
      <c r="D74" t="s">
        <v>751</v>
      </c>
      <c r="E74" t="str">
        <f>VLOOKUP(A74,'2021 Congestions'!$A$2:$E$257,2)</f>
        <v>NOT CONGESTED</v>
      </c>
      <c r="F74" t="str">
        <f>VLOOKUP(A74,'Cleanup TMS'!$A$2:$CP$260,94)</f>
        <v>NOT CONGESTED</v>
      </c>
      <c r="G74" t="b">
        <f t="shared" si="1"/>
        <v>1</v>
      </c>
      <c r="H74">
        <f>VLOOKUP($A74,'2021 Congestions'!$A$2:$E$257,3)</f>
        <v>1028</v>
      </c>
      <c r="I74">
        <f>VLOOKUP(A74,'Cleanup TMS'!$A$2:$CP$260,42)</f>
        <v>1224</v>
      </c>
      <c r="J74">
        <f>VLOOKUP($A74,'2021 Congestions'!$A$2:$E$257,4)</f>
        <v>0.01</v>
      </c>
      <c r="K74">
        <f>VLOOKUP(A74,'Cleanup TMS'!$A$2:$CP$260,61)</f>
        <v>3.2500000000000001E-2</v>
      </c>
      <c r="L74">
        <f>VLOOKUP($A74,'2021 Congestions'!$A$2:$E$257,5)</f>
        <v>0.06</v>
      </c>
      <c r="M74">
        <f>VLOOKUP(A74,'Cleanup TMS'!$A$2:$CP$260,57)</f>
        <v>7.0000000000000007E-2</v>
      </c>
    </row>
    <row r="75" spans="1:13" hidden="1">
      <c r="A75" s="1">
        <v>3535100</v>
      </c>
      <c r="B75" t="s">
        <v>737</v>
      </c>
      <c r="C75" t="s">
        <v>40</v>
      </c>
      <c r="D75" t="s">
        <v>89</v>
      </c>
      <c r="E75" t="str">
        <f>VLOOKUP(A75,'2021 Congestions'!$A$2:$E$257,2)</f>
        <v>NOT CONGESTED</v>
      </c>
      <c r="F75" t="str">
        <f>VLOOKUP(A75,'Cleanup TMS'!$A$2:$CP$260,94)</f>
        <v>NOT CONGESTED</v>
      </c>
      <c r="G75" t="b">
        <f t="shared" si="1"/>
        <v>1</v>
      </c>
      <c r="H75">
        <f>VLOOKUP($A75,'2021 Congestions'!$A$2:$E$257,3)</f>
        <v>2081</v>
      </c>
      <c r="I75">
        <f>VLOOKUP(A75,'Cleanup TMS'!$A$2:$CP$260,42)</f>
        <v>2816</v>
      </c>
      <c r="J75">
        <f>VLOOKUP($A75,'2021 Congestions'!$A$2:$E$257,4)</f>
        <v>0.01</v>
      </c>
      <c r="K75">
        <f>VLOOKUP(A75,'Cleanup TMS'!$A$2:$CP$260,61)</f>
        <v>2.75E-2</v>
      </c>
      <c r="L75">
        <f>VLOOKUP($A75,'2021 Congestions'!$A$2:$E$257,5)</f>
        <v>0.1</v>
      </c>
      <c r="M75">
        <f>VLOOKUP(A75,'Cleanup TMS'!$A$2:$CP$260,57)</f>
        <v>0.11</v>
      </c>
    </row>
    <row r="76" spans="1:13" hidden="1">
      <c r="A76" s="1">
        <v>3535110</v>
      </c>
      <c r="B76" t="s">
        <v>729</v>
      </c>
      <c r="C76" t="s">
        <v>89</v>
      </c>
      <c r="D76" t="s">
        <v>81</v>
      </c>
      <c r="E76" t="str">
        <f>VLOOKUP(A76,'2021 Congestions'!$A$2:$E$257,2)</f>
        <v/>
      </c>
      <c r="F76" t="str">
        <f>VLOOKUP(A76,'Cleanup TMS'!$A$2:$CP$260,94)</f>
        <v>NOT CONGESTED</v>
      </c>
      <c r="G76" t="b">
        <f t="shared" si="1"/>
        <v>0</v>
      </c>
      <c r="H76" t="str">
        <f>VLOOKUP($A76,'2021 Congestions'!$A$2:$E$257,3)</f>
        <v>-</v>
      </c>
      <c r="I76">
        <f>VLOOKUP(A76,'Cleanup TMS'!$A$2:$CP$260,42)</f>
        <v>375</v>
      </c>
      <c r="J76" t="str">
        <f>VLOOKUP($A76,'2021 Congestions'!$A$2:$E$257,4)</f>
        <v/>
      </c>
      <c r="K76">
        <f>VLOOKUP(A76,'Cleanup TMS'!$A$2:$CP$260,61)</f>
        <v>0.01</v>
      </c>
      <c r="L76">
        <f>VLOOKUP($A76,'2021 Congestions'!$A$2:$E$257,5)</f>
        <v>0</v>
      </c>
      <c r="M76">
        <f>VLOOKUP(A76,'Cleanup TMS'!$A$2:$CP$260,57)</f>
        <v>0.03</v>
      </c>
    </row>
    <row r="77" spans="1:13" hidden="1">
      <c r="A77" s="1">
        <v>3537100</v>
      </c>
      <c r="B77" t="s">
        <v>716</v>
      </c>
      <c r="C77" t="s">
        <v>746</v>
      </c>
      <c r="D77" t="s">
        <v>43</v>
      </c>
      <c r="E77" t="str">
        <f>VLOOKUP(A77,'2021 Congestions'!$A$2:$E$257,2)</f>
        <v>NOT CONGESTED</v>
      </c>
      <c r="F77" t="str">
        <f>VLOOKUP(A77,'Cleanup TMS'!$A$2:$CP$260,94)</f>
        <v>NOT CONGESTED</v>
      </c>
      <c r="G77" t="b">
        <f t="shared" si="1"/>
        <v>1</v>
      </c>
      <c r="H77">
        <f>VLOOKUP($A77,'2021 Congestions'!$A$2:$E$257,3)</f>
        <v>5834.2999999999884</v>
      </c>
      <c r="I77">
        <f>VLOOKUP(A77,'Cleanup TMS'!$A$2:$CP$260,42)</f>
        <v>6963.0571428571129</v>
      </c>
      <c r="J77">
        <f>VLOOKUP($A77,'2021 Congestions'!$A$2:$E$257,4)</f>
        <v>1.4999999999999999E-2</v>
      </c>
      <c r="K77">
        <f>VLOOKUP(A77,'Cleanup TMS'!$A$2:$CP$260,61)</f>
        <v>4.2500000000000003E-2</v>
      </c>
      <c r="L77">
        <f>VLOOKUP($A77,'2021 Congestions'!$A$2:$E$257,5)</f>
        <v>0.25</v>
      </c>
      <c r="M77">
        <f>VLOOKUP(A77,'Cleanup TMS'!$A$2:$CP$260,57)</f>
        <v>0.25</v>
      </c>
    </row>
    <row r="78" spans="1:13" hidden="1">
      <c r="A78" s="1">
        <v>3537120</v>
      </c>
      <c r="B78" t="s">
        <v>731</v>
      </c>
      <c r="C78" t="s">
        <v>716</v>
      </c>
      <c r="D78" t="s">
        <v>34</v>
      </c>
      <c r="E78" t="str">
        <f>VLOOKUP(A78,'2021 Congestions'!$A$2:$E$257,2)</f>
        <v>NOT CONGESTED</v>
      </c>
      <c r="F78" t="str">
        <f>VLOOKUP(A78,'Cleanup TMS'!$A$2:$CP$260,94)</f>
        <v>NOT CONGESTED</v>
      </c>
      <c r="G78" t="b">
        <f t="shared" si="1"/>
        <v>1</v>
      </c>
      <c r="H78">
        <f>VLOOKUP($A78,'2021 Congestions'!$A$2:$E$257,3)</f>
        <v>6111</v>
      </c>
      <c r="I78">
        <f>VLOOKUP(A78,'Cleanup TMS'!$A$2:$CP$260,42)</f>
        <v>7106</v>
      </c>
      <c r="J78">
        <f>VLOOKUP($A78,'2021 Congestions'!$A$2:$E$257,4)</f>
        <v>7.7499999999999999E-2</v>
      </c>
      <c r="K78">
        <f>VLOOKUP(A78,'Cleanup TMS'!$A$2:$CP$260,61)</f>
        <v>4.4999999999999998E-2</v>
      </c>
      <c r="L78">
        <f>VLOOKUP($A78,'2021 Congestions'!$A$2:$E$257,5)</f>
        <v>0.25</v>
      </c>
      <c r="M78">
        <f>VLOOKUP(A78,'Cleanup TMS'!$A$2:$CP$260,57)</f>
        <v>0.28999999999999998</v>
      </c>
    </row>
    <row r="79" spans="1:13" hidden="1">
      <c r="A79" s="1">
        <v>3537130</v>
      </c>
      <c r="B79" t="s">
        <v>716</v>
      </c>
      <c r="C79" t="s">
        <v>46</v>
      </c>
      <c r="D79" t="s">
        <v>40</v>
      </c>
      <c r="E79" t="str">
        <f>VLOOKUP(A79,'2021 Congestions'!$A$2:$E$257,2)</f>
        <v>NOT CONGESTED</v>
      </c>
      <c r="F79" t="str">
        <f>VLOOKUP(A79,'Cleanup TMS'!$A$2:$CP$260,94)</f>
        <v>NOT CONGESTED</v>
      </c>
      <c r="G79" t="b">
        <f t="shared" si="1"/>
        <v>1</v>
      </c>
      <c r="H79">
        <f>VLOOKUP($A79,'2021 Congestions'!$A$2:$E$257,3)</f>
        <v>8946</v>
      </c>
      <c r="I79">
        <f>VLOOKUP(A79,'Cleanup TMS'!$A$2:$CP$260,42)</f>
        <v>9970</v>
      </c>
      <c r="J79">
        <f>VLOOKUP($A79,'2021 Congestions'!$A$2:$E$257,4)</f>
        <v>2.5000000000000001E-2</v>
      </c>
      <c r="K79">
        <f>VLOOKUP(A79,'Cleanup TMS'!$A$2:$CP$260,61)</f>
        <v>0.03</v>
      </c>
      <c r="L79">
        <f>VLOOKUP($A79,'2021 Congestions'!$A$2:$E$257,5)</f>
        <v>0.7</v>
      </c>
      <c r="M79">
        <f>VLOOKUP(A79,'Cleanup TMS'!$A$2:$CP$260,57)</f>
        <v>0.67</v>
      </c>
    </row>
    <row r="80" spans="1:13" hidden="1">
      <c r="A80" s="1">
        <v>3537140</v>
      </c>
      <c r="B80" t="s">
        <v>716</v>
      </c>
      <c r="C80" t="s">
        <v>40</v>
      </c>
      <c r="D80" t="s">
        <v>51</v>
      </c>
      <c r="E80" t="str">
        <f>VLOOKUP(A80,'2021 Congestions'!$A$2:$E$257,2)</f>
        <v>NOT CONGESTED</v>
      </c>
      <c r="F80" t="str">
        <f>VLOOKUP(A80,'Cleanup TMS'!$A$2:$CP$260,94)</f>
        <v>NOT CONGESTED</v>
      </c>
      <c r="G80" t="b">
        <f t="shared" si="1"/>
        <v>1</v>
      </c>
      <c r="H80">
        <f>VLOOKUP($A80,'2021 Congestions'!$A$2:$E$257,3)</f>
        <v>25054</v>
      </c>
      <c r="I80">
        <f>VLOOKUP(A80,'Cleanup TMS'!$A$2:$CP$260,42)</f>
        <v>25468</v>
      </c>
      <c r="J80">
        <f>VLOOKUP($A80,'2021 Congestions'!$A$2:$E$257,4)</f>
        <v>0.01</v>
      </c>
      <c r="K80">
        <f>VLOOKUP(A80,'Cleanup TMS'!$A$2:$CP$260,61)</f>
        <v>0.01</v>
      </c>
      <c r="L80">
        <f>VLOOKUP($A80,'2021 Congestions'!$A$2:$E$257,5)</f>
        <v>0.71</v>
      </c>
      <c r="M80">
        <f>VLOOKUP(A80,'Cleanup TMS'!$A$2:$CP$260,57)</f>
        <v>0.64</v>
      </c>
    </row>
    <row r="81" spans="1:13" hidden="1">
      <c r="A81" s="1">
        <v>3537150</v>
      </c>
      <c r="B81" t="s">
        <v>716</v>
      </c>
      <c r="C81" t="s">
        <v>53</v>
      </c>
      <c r="D81" t="s">
        <v>54</v>
      </c>
      <c r="E81" t="str">
        <f>VLOOKUP(A81,'2021 Congestions'!$A$2:$E$257,2)</f>
        <v>NOT CONGESTED</v>
      </c>
      <c r="F81" t="str">
        <f>VLOOKUP(A81,'Cleanup TMS'!$A$2:$CP$260,94)</f>
        <v>NOT CONGESTED</v>
      </c>
      <c r="G81" t="b">
        <f t="shared" si="1"/>
        <v>1</v>
      </c>
      <c r="H81">
        <f>VLOOKUP($A81,'2021 Congestions'!$A$2:$E$257,3)</f>
        <v>22767</v>
      </c>
      <c r="I81">
        <f>VLOOKUP(A81,'Cleanup TMS'!$A$2:$CP$260,42)</f>
        <v>24251</v>
      </c>
      <c r="J81">
        <f>VLOOKUP($A81,'2021 Congestions'!$A$2:$E$257,4)</f>
        <v>0.01</v>
      </c>
      <c r="K81">
        <f>VLOOKUP(A81,'Cleanup TMS'!$A$2:$CP$260,61)</f>
        <v>0.01</v>
      </c>
      <c r="L81">
        <f>VLOOKUP($A81,'2021 Congestions'!$A$2:$E$257,5)</f>
        <v>0.6</v>
      </c>
      <c r="M81">
        <f>VLOOKUP(A81,'Cleanup TMS'!$A$2:$CP$260,57)</f>
        <v>0.63</v>
      </c>
    </row>
    <row r="82" spans="1:13" hidden="1">
      <c r="A82" s="1">
        <v>3537160</v>
      </c>
      <c r="B82" t="s">
        <v>716</v>
      </c>
      <c r="C82" t="s">
        <v>18</v>
      </c>
      <c r="D82" t="s">
        <v>55</v>
      </c>
      <c r="E82" t="str">
        <f>VLOOKUP(A82,'2021 Congestions'!$A$2:$E$257,2)</f>
        <v>NOT CONGESTED</v>
      </c>
      <c r="F82" t="str">
        <f>VLOOKUP(A82,'Cleanup TMS'!$A$2:$CP$260,94)</f>
        <v>NOT CONGESTED</v>
      </c>
      <c r="G82" t="b">
        <f t="shared" si="1"/>
        <v>1</v>
      </c>
      <c r="H82">
        <f>VLOOKUP($A82,'2021 Congestions'!$A$2:$E$257,3)</f>
        <v>22600</v>
      </c>
      <c r="I82">
        <f>VLOOKUP(A82,'Cleanup TMS'!$A$2:$CP$260,42)</f>
        <v>23320</v>
      </c>
      <c r="J82">
        <f>VLOOKUP($A82,'2021 Congestions'!$A$2:$E$257,4)</f>
        <v>0.01</v>
      </c>
      <c r="K82">
        <f>VLOOKUP(A82,'Cleanup TMS'!$A$2:$CP$260,61)</f>
        <v>0.01</v>
      </c>
      <c r="L82">
        <f>VLOOKUP($A82,'2021 Congestions'!$A$2:$E$257,5)</f>
        <v>0.6</v>
      </c>
      <c r="M82">
        <f>VLOOKUP(A82,'Cleanup TMS'!$A$2:$CP$260,57)</f>
        <v>0.56000000000000005</v>
      </c>
    </row>
    <row r="83" spans="1:13" hidden="1">
      <c r="A83" s="1">
        <v>3537170</v>
      </c>
      <c r="B83" t="s">
        <v>716</v>
      </c>
      <c r="C83" t="s">
        <v>55</v>
      </c>
      <c r="D83" t="s">
        <v>760</v>
      </c>
      <c r="E83" t="str">
        <f>VLOOKUP(A83,'2021 Congestions'!$A$2:$E$257,2)</f>
        <v>NOT CONGESTED</v>
      </c>
      <c r="F83" t="str">
        <f>VLOOKUP(A83,'Cleanup TMS'!$A$2:$CP$260,94)</f>
        <v>NOT CONGESTED</v>
      </c>
      <c r="G83" t="b">
        <f t="shared" si="1"/>
        <v>1</v>
      </c>
      <c r="H83">
        <f>VLOOKUP($A83,'2021 Congestions'!$A$2:$E$257,3)</f>
        <v>24581</v>
      </c>
      <c r="I83">
        <f>VLOOKUP(A83,'Cleanup TMS'!$A$2:$CP$260,42)</f>
        <v>24669</v>
      </c>
      <c r="J83">
        <f>VLOOKUP($A83,'2021 Congestions'!$A$2:$E$257,4)</f>
        <v>0.01</v>
      </c>
      <c r="K83">
        <f>VLOOKUP(A83,'Cleanup TMS'!$A$2:$CP$260,61)</f>
        <v>0.01</v>
      </c>
      <c r="L83">
        <f>VLOOKUP($A83,'2021 Congestions'!$A$2:$E$257,5)</f>
        <v>0.67</v>
      </c>
      <c r="M83">
        <f>VLOOKUP(A83,'Cleanup TMS'!$A$2:$CP$260,57)</f>
        <v>0.65</v>
      </c>
    </row>
    <row r="84" spans="1:13" hidden="1">
      <c r="A84" s="1">
        <v>3537180</v>
      </c>
      <c r="B84" t="s">
        <v>716</v>
      </c>
      <c r="C84" t="s">
        <v>54</v>
      </c>
      <c r="D84" t="s">
        <v>18</v>
      </c>
      <c r="E84" t="str">
        <f>VLOOKUP(A84,'2021 Congestions'!$A$2:$E$257,2)</f>
        <v>NOT CONGESTED</v>
      </c>
      <c r="F84" t="str">
        <f>VLOOKUP(A84,'Cleanup TMS'!$A$2:$CP$260,94)</f>
        <v>NOT CONGESTED</v>
      </c>
      <c r="G84" t="b">
        <f t="shared" si="1"/>
        <v>1</v>
      </c>
      <c r="H84">
        <f>VLOOKUP($A84,'2021 Congestions'!$A$2:$E$257,3)</f>
        <v>30363</v>
      </c>
      <c r="I84">
        <f>VLOOKUP(A84,'Cleanup TMS'!$A$2:$CP$260,42)</f>
        <v>27786</v>
      </c>
      <c r="J84">
        <f>VLOOKUP($A84,'2021 Congestions'!$A$2:$E$257,4)</f>
        <v>0.01</v>
      </c>
      <c r="K84">
        <f>VLOOKUP(A84,'Cleanup TMS'!$A$2:$CP$260,61)</f>
        <v>0.01</v>
      </c>
      <c r="L84">
        <f>VLOOKUP($A84,'2021 Congestions'!$A$2:$E$257,5)</f>
        <v>0.79</v>
      </c>
      <c r="M84">
        <f>VLOOKUP(A84,'Cleanup TMS'!$A$2:$CP$260,57)</f>
        <v>0.7</v>
      </c>
    </row>
    <row r="85" spans="1:13" hidden="1">
      <c r="A85" s="1">
        <v>3537200</v>
      </c>
      <c r="B85" t="s">
        <v>716</v>
      </c>
      <c r="C85" t="s">
        <v>43</v>
      </c>
      <c r="D85" t="s">
        <v>46</v>
      </c>
      <c r="E85" t="str">
        <f>VLOOKUP(A85,'2021 Congestions'!$A$2:$E$257,2)</f>
        <v>NOT CONGESTED</v>
      </c>
      <c r="F85" t="str">
        <f>VLOOKUP(A85,'Cleanup TMS'!$A$2:$CP$260,94)</f>
        <v>NOT CONGESTED</v>
      </c>
      <c r="G85" t="b">
        <f t="shared" si="1"/>
        <v>1</v>
      </c>
      <c r="H85">
        <f>VLOOKUP($A85,'2021 Congestions'!$A$2:$E$257,3)</f>
        <v>7972</v>
      </c>
      <c r="I85">
        <f>VLOOKUP(A85,'Cleanup TMS'!$A$2:$CP$260,42)</f>
        <v>8716</v>
      </c>
      <c r="J85">
        <f>VLOOKUP($A85,'2021 Congestions'!$A$2:$E$257,4)</f>
        <v>0.05</v>
      </c>
      <c r="K85">
        <f>VLOOKUP(A85,'Cleanup TMS'!$A$2:$CP$260,61)</f>
        <v>4.2500000000000003E-2</v>
      </c>
      <c r="L85">
        <f>VLOOKUP($A85,'2021 Congestions'!$A$2:$E$257,5)</f>
        <v>0.38</v>
      </c>
      <c r="M85">
        <f>VLOOKUP(A85,'Cleanup TMS'!$A$2:$CP$260,57)</f>
        <v>0.4</v>
      </c>
    </row>
    <row r="86" spans="1:13" hidden="1">
      <c r="A86" s="1">
        <v>3538000</v>
      </c>
      <c r="B86" t="s">
        <v>738</v>
      </c>
      <c r="C86" t="s">
        <v>66</v>
      </c>
      <c r="D86" t="s">
        <v>88</v>
      </c>
      <c r="E86" t="str">
        <f>VLOOKUP(A86,'2021 Congestions'!$A$2:$E$257,2)</f>
        <v>NOT CONGESTED</v>
      </c>
      <c r="F86" t="str">
        <f>VLOOKUP(A86,'Cleanup TMS'!$A$2:$CP$260,94)</f>
        <v>NOT CONGESTED</v>
      </c>
      <c r="G86" t="b">
        <f t="shared" si="1"/>
        <v>1</v>
      </c>
      <c r="H86">
        <f>VLOOKUP($A86,'2021 Congestions'!$A$2:$E$257,3)</f>
        <v>1804.4000000000015</v>
      </c>
      <c r="I86">
        <f>VLOOKUP(A86,'Cleanup TMS'!$A$2:$CP$260,42)</f>
        <v>1806.0200000000023</v>
      </c>
      <c r="J86">
        <f>VLOOKUP($A86,'2021 Congestions'!$A$2:$E$257,4)</f>
        <v>0.01</v>
      </c>
      <c r="K86">
        <f>VLOOKUP(A86,'Cleanup TMS'!$A$2:$CP$260,61)</f>
        <v>0.01</v>
      </c>
      <c r="L86">
        <f>VLOOKUP($A86,'2021 Congestions'!$A$2:$E$257,5)</f>
        <v>0.09</v>
      </c>
      <c r="M86">
        <f>VLOOKUP(A86,'Cleanup TMS'!$A$2:$CP$260,57)</f>
        <v>0.09</v>
      </c>
    </row>
    <row r="87" spans="1:13" hidden="1">
      <c r="A87" s="1">
        <v>3539100</v>
      </c>
      <c r="B87" t="s">
        <v>80</v>
      </c>
      <c r="C87" t="s">
        <v>747</v>
      </c>
      <c r="D87" t="s">
        <v>740</v>
      </c>
      <c r="E87" t="str">
        <f>VLOOKUP(A87,'2021 Congestions'!$A$2:$E$257,2)</f>
        <v>NOT CONGESTED</v>
      </c>
      <c r="F87" t="str">
        <f>VLOOKUP(A87,'Cleanup TMS'!$A$2:$CP$260,94)</f>
        <v>NOT CONGESTED</v>
      </c>
      <c r="G87" t="b">
        <f t="shared" si="1"/>
        <v>1</v>
      </c>
      <c r="H87">
        <f>VLOOKUP($A87,'2021 Congestions'!$A$2:$E$257,3)</f>
        <v>600</v>
      </c>
      <c r="I87">
        <f>VLOOKUP(A87,'Cleanup TMS'!$A$2:$CP$260,42)</f>
        <v>390</v>
      </c>
      <c r="J87">
        <f>VLOOKUP($A87,'2021 Congestions'!$A$2:$E$257,4)</f>
        <v>0.01</v>
      </c>
      <c r="K87">
        <f>VLOOKUP(A87,'Cleanup TMS'!$A$2:$CP$260,61)</f>
        <v>0.01</v>
      </c>
      <c r="L87">
        <f>VLOOKUP($A87,'2021 Congestions'!$A$2:$E$257,5)</f>
        <v>0.06</v>
      </c>
      <c r="M87">
        <f>VLOOKUP(A87,'Cleanup TMS'!$A$2:$CP$260,57)</f>
        <v>0.04</v>
      </c>
    </row>
    <row r="88" spans="1:13" hidden="1">
      <c r="A88" s="1">
        <v>3539120</v>
      </c>
      <c r="B88" t="s">
        <v>135</v>
      </c>
      <c r="C88" t="s">
        <v>728</v>
      </c>
      <c r="D88" t="s">
        <v>80</v>
      </c>
      <c r="E88" t="str">
        <f>VLOOKUP(A88,'2021 Congestions'!$A$2:$E$257,2)</f>
        <v>NOT CONGESTED</v>
      </c>
      <c r="F88" t="str">
        <f>VLOOKUP(A88,'Cleanup TMS'!$A$2:$CP$260,94)</f>
        <v>NOT CONGESTED</v>
      </c>
      <c r="G88" t="b">
        <f t="shared" si="1"/>
        <v>1</v>
      </c>
      <c r="H88">
        <f>VLOOKUP($A88,'2021 Congestions'!$A$2:$E$257,3)</f>
        <v>739</v>
      </c>
      <c r="I88">
        <f>VLOOKUP(A88,'Cleanup TMS'!$A$2:$CP$260,42)</f>
        <v>849</v>
      </c>
      <c r="J88">
        <f>VLOOKUP($A88,'2021 Congestions'!$A$2:$E$257,4)</f>
        <v>0.01</v>
      </c>
      <c r="K88">
        <f>VLOOKUP(A88,'Cleanup TMS'!$A$2:$CP$260,61)</f>
        <v>0.01</v>
      </c>
      <c r="L88">
        <f>VLOOKUP($A88,'2021 Congestions'!$A$2:$E$257,5)</f>
        <v>0.1</v>
      </c>
      <c r="M88">
        <f>VLOOKUP(A88,'Cleanup TMS'!$A$2:$CP$260,57)</f>
        <v>0.09</v>
      </c>
    </row>
    <row r="89" spans="1:13" hidden="1">
      <c r="A89" s="1">
        <v>3540100</v>
      </c>
      <c r="B89" t="s">
        <v>739</v>
      </c>
      <c r="C89" t="s">
        <v>40</v>
      </c>
      <c r="D89" t="s">
        <v>80</v>
      </c>
      <c r="E89" t="str">
        <f>VLOOKUP(A89,'2021 Congestions'!$A$2:$E$257,2)</f>
        <v>NOT CONGESTED</v>
      </c>
      <c r="F89" t="str">
        <f>VLOOKUP(A89,'Cleanup TMS'!$A$2:$CP$260,94)</f>
        <v>NOT CONGESTED</v>
      </c>
      <c r="G89" t="b">
        <f t="shared" si="1"/>
        <v>1</v>
      </c>
      <c r="H89">
        <f>VLOOKUP($A89,'2021 Congestions'!$A$2:$E$257,3)</f>
        <v>2749</v>
      </c>
      <c r="I89">
        <f>VLOOKUP(A89,'Cleanup TMS'!$A$2:$CP$260,42)</f>
        <v>3187</v>
      </c>
      <c r="J89">
        <f>VLOOKUP($A89,'2021 Congestions'!$A$2:$E$257,4)</f>
        <v>0.01</v>
      </c>
      <c r="K89">
        <f>VLOOKUP(A89,'Cleanup TMS'!$A$2:$CP$260,61)</f>
        <v>4.2500000000000003E-2</v>
      </c>
      <c r="L89">
        <f>VLOOKUP($A89,'2021 Congestions'!$A$2:$E$257,5)</f>
        <v>0.13</v>
      </c>
      <c r="M89">
        <f>VLOOKUP(A89,'Cleanup TMS'!$A$2:$CP$260,57)</f>
        <v>0.15</v>
      </c>
    </row>
    <row r="90" spans="1:13" hidden="1">
      <c r="A90" s="1">
        <v>3540110</v>
      </c>
      <c r="B90" t="s">
        <v>740</v>
      </c>
      <c r="C90" t="s">
        <v>80</v>
      </c>
      <c r="D90" t="s">
        <v>81</v>
      </c>
      <c r="E90" t="str">
        <f>VLOOKUP(A90,'2021 Congestions'!$A$2:$E$257,2)</f>
        <v>NOT CONGESTED</v>
      </c>
      <c r="F90" t="str">
        <f>VLOOKUP(A90,'Cleanup TMS'!$A$2:$CP$260,94)</f>
        <v>NOT CONGESTED</v>
      </c>
      <c r="G90" t="b">
        <f t="shared" si="1"/>
        <v>1</v>
      </c>
      <c r="H90">
        <f>VLOOKUP($A90,'2021 Congestions'!$A$2:$E$257,3)</f>
        <v>2137</v>
      </c>
      <c r="I90">
        <f>VLOOKUP(A90,'Cleanup TMS'!$A$2:$CP$260,42)</f>
        <v>2755</v>
      </c>
      <c r="J90">
        <f>VLOOKUP($A90,'2021 Congestions'!$A$2:$E$257,4)</f>
        <v>0.01</v>
      </c>
      <c r="K90">
        <f>VLOOKUP(A90,'Cleanup TMS'!$A$2:$CP$260,61)</f>
        <v>0.05</v>
      </c>
      <c r="L90">
        <f>VLOOKUP($A90,'2021 Congestions'!$A$2:$E$257,5)</f>
        <v>0.1</v>
      </c>
      <c r="M90">
        <f>VLOOKUP(A90,'Cleanup TMS'!$A$2:$CP$260,57)</f>
        <v>0.12</v>
      </c>
    </row>
    <row r="91" spans="1:13" hidden="1">
      <c r="A91" s="1">
        <v>3541110</v>
      </c>
      <c r="B91" t="s">
        <v>714</v>
      </c>
      <c r="C91" t="s">
        <v>40</v>
      </c>
      <c r="D91" t="s">
        <v>47</v>
      </c>
      <c r="E91" t="str">
        <f>VLOOKUP(A91,'2021 Congestions'!$A$2:$E$257,2)</f>
        <v>CONGESTED (2020)</v>
      </c>
      <c r="F91" t="str">
        <f>VLOOKUP(A91,'Cleanup TMS'!$A$2:$CP$260,94)</f>
        <v>CONGESTED (2020)</v>
      </c>
      <c r="G91" t="b">
        <f t="shared" si="1"/>
        <v>1</v>
      </c>
      <c r="H91">
        <f>VLOOKUP($A91,'2021 Congestions'!$A$2:$E$257,3)</f>
        <v>11417</v>
      </c>
      <c r="I91">
        <f>VLOOKUP(A91,'Cleanup TMS'!$A$2:$CP$260,42)</f>
        <v>11646</v>
      </c>
      <c r="J91">
        <f>VLOOKUP($A91,'2021 Congestions'!$A$2:$E$257,4)</f>
        <v>4.4999999999999998E-2</v>
      </c>
      <c r="K91">
        <f>VLOOKUP(A91,'Cleanup TMS'!$A$2:$CP$260,61)</f>
        <v>0.01</v>
      </c>
      <c r="L91">
        <f>VLOOKUP($A91,'2021 Congestions'!$A$2:$E$257,5)</f>
        <v>0</v>
      </c>
      <c r="M91">
        <f>VLOOKUP(A91,'Cleanup TMS'!$A$2:$CP$260,57)</f>
        <v>0</v>
      </c>
    </row>
    <row r="92" spans="1:13" hidden="1">
      <c r="A92" s="1">
        <v>3542100</v>
      </c>
      <c r="B92" t="s">
        <v>714</v>
      </c>
      <c r="C92" t="s">
        <v>746</v>
      </c>
      <c r="D92" t="s">
        <v>43</v>
      </c>
      <c r="E92" t="str">
        <f>VLOOKUP(A92,'2021 Congestions'!$A$2:$E$257,2)</f>
        <v>NOT CONGESTED</v>
      </c>
      <c r="F92" t="str">
        <f>VLOOKUP(A92,'Cleanup TMS'!$A$2:$CP$260,94)</f>
        <v>NOT CONGESTED</v>
      </c>
      <c r="G92" t="b">
        <f t="shared" si="1"/>
        <v>1</v>
      </c>
      <c r="H92">
        <f>VLOOKUP($A92,'2021 Congestions'!$A$2:$E$257,3)</f>
        <v>780</v>
      </c>
      <c r="I92">
        <f>VLOOKUP(A92,'Cleanup TMS'!$A$2:$CP$260,42)</f>
        <v>844</v>
      </c>
      <c r="J92">
        <f>VLOOKUP($A92,'2021 Congestions'!$A$2:$E$257,4)</f>
        <v>0.01</v>
      </c>
      <c r="K92">
        <f>VLOOKUP(A92,'Cleanup TMS'!$A$2:$CP$260,61)</f>
        <v>0.01</v>
      </c>
      <c r="L92">
        <f>VLOOKUP($A92,'2021 Congestions'!$A$2:$E$257,5)</f>
        <v>0.05</v>
      </c>
      <c r="M92">
        <f>VLOOKUP(A92,'Cleanup TMS'!$A$2:$CP$260,57)</f>
        <v>0.06</v>
      </c>
    </row>
    <row r="93" spans="1:13" hidden="1">
      <c r="A93" s="1">
        <v>3542120</v>
      </c>
      <c r="B93" t="s">
        <v>714</v>
      </c>
      <c r="C93" t="s">
        <v>43</v>
      </c>
      <c r="D93" t="s">
        <v>45</v>
      </c>
      <c r="E93" t="str">
        <f>VLOOKUP(A93,'2021 Congestions'!$A$2:$E$257,2)</f>
        <v>NOT CONGESTED</v>
      </c>
      <c r="F93" t="str">
        <f>VLOOKUP(A93,'Cleanup TMS'!$A$2:$CP$260,94)</f>
        <v>NOT CONGESTED</v>
      </c>
      <c r="G93" t="b">
        <f t="shared" si="1"/>
        <v>1</v>
      </c>
      <c r="H93">
        <f>VLOOKUP($A93,'2021 Congestions'!$A$2:$E$257,3)</f>
        <v>1612</v>
      </c>
      <c r="I93">
        <f>VLOOKUP(A93,'Cleanup TMS'!$A$2:$CP$260,42)</f>
        <v>1651</v>
      </c>
      <c r="J93">
        <f>VLOOKUP($A93,'2021 Congestions'!$A$2:$E$257,4)</f>
        <v>0.01</v>
      </c>
      <c r="K93">
        <f>VLOOKUP(A93,'Cleanup TMS'!$A$2:$CP$260,61)</f>
        <v>0.01</v>
      </c>
      <c r="L93">
        <f>VLOOKUP($A93,'2021 Congestions'!$A$2:$E$257,5)</f>
        <v>0.1</v>
      </c>
      <c r="M93">
        <f>VLOOKUP(A93,'Cleanup TMS'!$A$2:$CP$260,57)</f>
        <v>0.09</v>
      </c>
    </row>
    <row r="94" spans="1:13" hidden="1">
      <c r="A94" s="1">
        <v>3542130</v>
      </c>
      <c r="B94" t="s">
        <v>714</v>
      </c>
      <c r="C94" t="s">
        <v>45</v>
      </c>
      <c r="D94" t="s">
        <v>46</v>
      </c>
      <c r="E94" t="str">
        <f>VLOOKUP(A94,'2021 Congestions'!$A$2:$E$257,2)</f>
        <v>NOT CONGESTED</v>
      </c>
      <c r="F94" t="str">
        <f>VLOOKUP(A94,'Cleanup TMS'!$A$2:$CP$260,94)</f>
        <v>NOT CONGESTED</v>
      </c>
      <c r="G94" t="b">
        <f t="shared" si="1"/>
        <v>1</v>
      </c>
      <c r="H94">
        <f>VLOOKUP($A94,'2021 Congestions'!$A$2:$E$257,3)</f>
        <v>3037</v>
      </c>
      <c r="I94">
        <f>VLOOKUP(A94,'Cleanup TMS'!$A$2:$CP$260,42)</f>
        <v>2842</v>
      </c>
      <c r="J94">
        <f>VLOOKUP($A94,'2021 Congestions'!$A$2:$E$257,4)</f>
        <v>4.7500000000000001E-2</v>
      </c>
      <c r="K94">
        <f>VLOOKUP(A94,'Cleanup TMS'!$A$2:$CP$260,61)</f>
        <v>0.03</v>
      </c>
      <c r="L94">
        <f>VLOOKUP($A94,'2021 Congestions'!$A$2:$E$257,5)</f>
        <v>0.16</v>
      </c>
      <c r="M94">
        <f>VLOOKUP(A94,'Cleanup TMS'!$A$2:$CP$260,57)</f>
        <v>0.21</v>
      </c>
    </row>
    <row r="95" spans="1:13" hidden="1">
      <c r="A95" s="1">
        <v>3542150</v>
      </c>
      <c r="B95" t="s">
        <v>714</v>
      </c>
      <c r="C95" t="s">
        <v>46</v>
      </c>
      <c r="D95" t="s">
        <v>40</v>
      </c>
      <c r="E95" t="str">
        <f>VLOOKUP(A95,'2021 Congestions'!$A$2:$E$257,2)</f>
        <v>NOT CONGESTED</v>
      </c>
      <c r="F95" t="str">
        <f>VLOOKUP(A95,'Cleanup TMS'!$A$2:$CP$260,94)</f>
        <v>NOT CONGESTED</v>
      </c>
      <c r="G95" t="b">
        <f t="shared" si="1"/>
        <v>1</v>
      </c>
      <c r="H95">
        <f>VLOOKUP($A95,'2021 Congestions'!$A$2:$E$257,3)</f>
        <v>3255</v>
      </c>
      <c r="I95">
        <f>VLOOKUP(A95,'Cleanup TMS'!$A$2:$CP$260,42)</f>
        <v>3348</v>
      </c>
      <c r="J95">
        <f>VLOOKUP($A95,'2021 Congestions'!$A$2:$E$257,4)</f>
        <v>0.01</v>
      </c>
      <c r="K95">
        <f>VLOOKUP(A95,'Cleanup TMS'!$A$2:$CP$260,61)</f>
        <v>0.01</v>
      </c>
      <c r="L95">
        <f>VLOOKUP($A95,'2021 Congestions'!$A$2:$E$257,5)</f>
        <v>0.18</v>
      </c>
      <c r="M95">
        <f>VLOOKUP(A95,'Cleanup TMS'!$A$2:$CP$260,57)</f>
        <v>0.24</v>
      </c>
    </row>
    <row r="96" spans="1:13" hidden="1">
      <c r="A96" s="1">
        <v>3543100</v>
      </c>
      <c r="B96" t="s">
        <v>726</v>
      </c>
      <c r="C96" t="s">
        <v>40</v>
      </c>
      <c r="D96" t="s">
        <v>73</v>
      </c>
      <c r="E96" t="str">
        <f>VLOOKUP(A96,'2021 Congestions'!$A$2:$E$257,2)</f>
        <v>NOT CONGESTED</v>
      </c>
      <c r="F96" t="str">
        <f>VLOOKUP(A96,'Cleanup TMS'!$A$2:$CP$260,94)</f>
        <v>NOT CONGESTED</v>
      </c>
      <c r="G96" t="b">
        <f t="shared" si="1"/>
        <v>1</v>
      </c>
      <c r="H96">
        <f>VLOOKUP($A96,'2021 Congestions'!$A$2:$E$257,3)</f>
        <v>5584</v>
      </c>
      <c r="I96">
        <f>VLOOKUP(A96,'Cleanup TMS'!$A$2:$CP$260,42)</f>
        <v>6086</v>
      </c>
      <c r="J96">
        <f>VLOOKUP($A96,'2021 Congestions'!$A$2:$E$257,4)</f>
        <v>2.75E-2</v>
      </c>
      <c r="K96">
        <f>VLOOKUP(A96,'Cleanup TMS'!$A$2:$CP$260,61)</f>
        <v>3.2500000000000001E-2</v>
      </c>
      <c r="L96">
        <f>VLOOKUP($A96,'2021 Congestions'!$A$2:$E$257,5)</f>
        <v>0.38</v>
      </c>
      <c r="M96">
        <f>VLOOKUP(A96,'Cleanup TMS'!$A$2:$CP$260,57)</f>
        <v>0.46</v>
      </c>
    </row>
    <row r="97" spans="1:14" hidden="1">
      <c r="A97" s="1">
        <v>3545100</v>
      </c>
      <c r="B97" t="s">
        <v>152</v>
      </c>
      <c r="C97" t="s">
        <v>66</v>
      </c>
      <c r="D97" t="s">
        <v>40</v>
      </c>
      <c r="E97" t="str">
        <f>VLOOKUP(A97,'2021 Congestions'!$A$2:$E$257,2)</f>
        <v>CONGESTED (2025)</v>
      </c>
      <c r="F97" t="str">
        <f>VLOOKUP(A97,'Cleanup TMS'!$A$2:$CP$260,94)</f>
        <v>CONGESTED (2025)</v>
      </c>
      <c r="G97" t="b">
        <f t="shared" si="1"/>
        <v>1</v>
      </c>
      <c r="H97">
        <f>VLOOKUP($A97,'2021 Congestions'!$A$2:$E$257,3)</f>
        <v>48620</v>
      </c>
      <c r="I97">
        <f>VLOOKUP(A97,'Cleanup TMS'!$A$2:$CP$260,42)</f>
        <v>42410</v>
      </c>
      <c r="J97">
        <f>VLOOKUP($A97,'2021 Congestions'!$A$2:$E$257,4)</f>
        <v>2.2499999999999999E-2</v>
      </c>
      <c r="K97">
        <f>VLOOKUP(A97,'Cleanup TMS'!$A$2:$CP$260,61)</f>
        <v>0.01</v>
      </c>
      <c r="L97">
        <f>VLOOKUP($A97,'2021 Congestions'!$A$2:$E$257,5)</f>
        <v>0.99</v>
      </c>
      <c r="M97">
        <f>VLOOKUP(A97,'Cleanup TMS'!$A$2:$CP$260,57)</f>
        <v>0.96</v>
      </c>
    </row>
    <row r="98" spans="1:14">
      <c r="A98" s="1">
        <v>3545110</v>
      </c>
      <c r="B98" t="s">
        <v>152</v>
      </c>
      <c r="C98" t="s">
        <v>40</v>
      </c>
      <c r="D98" t="s">
        <v>56</v>
      </c>
      <c r="E98" t="str">
        <f>VLOOKUP(A98,'2021 Congestions'!$A$2:$E$257,2)</f>
        <v>CONGESTED (2020)</v>
      </c>
      <c r="F98" t="str">
        <f>VLOOKUP(A98,'Cleanup TMS'!$A$2:$CP$260,94)</f>
        <v>APPROACHING CONGESTION</v>
      </c>
      <c r="G98" t="b">
        <f t="shared" si="1"/>
        <v>0</v>
      </c>
      <c r="H98">
        <f>VLOOKUP($A98,'2021 Congestions'!$A$2:$E$257,3)</f>
        <v>53840</v>
      </c>
      <c r="I98">
        <f>VLOOKUP(A98,'Cleanup TMS'!$A$2:$CP$260,42)</f>
        <v>46882</v>
      </c>
      <c r="J98">
        <f>VLOOKUP($A98,'2021 Congestions'!$A$2:$E$257,4)</f>
        <v>2.75E-2</v>
      </c>
      <c r="K98">
        <f>VLOOKUP(A98,'Cleanup TMS'!$A$2:$CP$260,61)</f>
        <v>0.01</v>
      </c>
      <c r="L98">
        <f>VLOOKUP($A98,'2021 Congestions'!$A$2:$E$257,5)</f>
        <v>1.1000000000000001</v>
      </c>
      <c r="M98">
        <f>VLOOKUP(A98,'Cleanup TMS'!$A$2:$CP$260,57)</f>
        <v>0.94</v>
      </c>
      <c r="N98" t="s">
        <v>1151</v>
      </c>
    </row>
    <row r="99" spans="1:14" hidden="1">
      <c r="A99" s="1">
        <v>3546100</v>
      </c>
      <c r="B99" t="s">
        <v>66</v>
      </c>
      <c r="C99" t="s">
        <v>83</v>
      </c>
      <c r="D99" t="s">
        <v>118</v>
      </c>
      <c r="E99" t="str">
        <f>VLOOKUP(A99,'2021 Congestions'!$A$2:$E$257,2)</f>
        <v>NOT CONGESTED</v>
      </c>
      <c r="F99" t="str">
        <f>VLOOKUP(A99,'Cleanup TMS'!$A$2:$CP$260,94)</f>
        <v>NOT CONGESTED</v>
      </c>
      <c r="G99" t="b">
        <f t="shared" si="1"/>
        <v>1</v>
      </c>
      <c r="H99">
        <f>VLOOKUP($A99,'2021 Congestions'!$A$2:$E$257,3)</f>
        <v>48150</v>
      </c>
      <c r="I99">
        <f>VLOOKUP(A99,'Cleanup TMS'!$A$2:$CP$260,42)</f>
        <v>53168.571428571362</v>
      </c>
      <c r="J99">
        <f>VLOOKUP($A99,'2021 Congestions'!$A$2:$E$257,4)</f>
        <v>0.01</v>
      </c>
      <c r="K99">
        <f>VLOOKUP(A99,'Cleanup TMS'!$A$2:$CP$260,61)</f>
        <v>0.01</v>
      </c>
      <c r="L99">
        <f>VLOOKUP($A99,'2021 Congestions'!$A$2:$E$257,5)</f>
        <v>0.72</v>
      </c>
      <c r="M99">
        <f>VLOOKUP(A99,'Cleanup TMS'!$A$2:$CP$260,57)</f>
        <v>0.51</v>
      </c>
    </row>
    <row r="100" spans="1:14" hidden="1">
      <c r="A100" s="1">
        <v>3546120</v>
      </c>
      <c r="B100" t="s">
        <v>66</v>
      </c>
      <c r="C100" t="s">
        <v>118</v>
      </c>
      <c r="D100" t="s">
        <v>728</v>
      </c>
      <c r="E100" t="str">
        <f>VLOOKUP(A100,'2021 Congestions'!$A$2:$E$257,2)</f>
        <v>NOT CONGESTED</v>
      </c>
      <c r="F100" t="str">
        <f>VLOOKUP(A100,'Cleanup TMS'!$A$2:$CP$260,94)</f>
        <v>NOT CONGESTED</v>
      </c>
      <c r="G100" t="b">
        <f t="shared" si="1"/>
        <v>1</v>
      </c>
      <c r="H100">
        <f>VLOOKUP($A100,'2021 Congestions'!$A$2:$E$257,3)</f>
        <v>48700.100000000093</v>
      </c>
      <c r="I100">
        <f>VLOOKUP(A100,'Cleanup TMS'!$A$2:$CP$260,42)</f>
        <v>53464</v>
      </c>
      <c r="J100">
        <f>VLOOKUP($A100,'2021 Congestions'!$A$2:$E$257,4)</f>
        <v>0.01</v>
      </c>
      <c r="K100">
        <f>VLOOKUP(A100,'Cleanup TMS'!$A$2:$CP$260,61)</f>
        <v>1.2500000000000001E-2</v>
      </c>
      <c r="L100">
        <f>VLOOKUP($A100,'2021 Congestions'!$A$2:$E$257,5)</f>
        <v>0.56000000000000005</v>
      </c>
      <c r="M100">
        <f>VLOOKUP(A100,'Cleanup TMS'!$A$2:$CP$260,57)</f>
        <v>0.63</v>
      </c>
    </row>
    <row r="101" spans="1:14">
      <c r="A101" s="1">
        <v>3546130</v>
      </c>
      <c r="B101" t="s">
        <v>66</v>
      </c>
      <c r="C101" t="s">
        <v>717</v>
      </c>
      <c r="D101" t="s">
        <v>742</v>
      </c>
      <c r="E101" t="str">
        <f>VLOOKUP(A101,'2021 Congestions'!$A$2:$E$257,2)</f>
        <v>NOT CONGESTED</v>
      </c>
      <c r="F101" t="str">
        <f>VLOOKUP(A101,'Cleanup TMS'!$A$2:$CP$260,94)</f>
        <v>APPROACHING CONGESTION</v>
      </c>
      <c r="G101" t="b">
        <f t="shared" si="1"/>
        <v>0</v>
      </c>
      <c r="H101">
        <f>VLOOKUP($A101,'2021 Congestions'!$A$2:$E$257,3)</f>
        <v>49250.199999999953</v>
      </c>
      <c r="I101">
        <f>VLOOKUP(A101,'Cleanup TMS'!$A$2:$CP$260,42)</f>
        <v>55771.499999999534</v>
      </c>
      <c r="J101">
        <f>VLOOKUP($A101,'2021 Congestions'!$A$2:$E$257,4)</f>
        <v>0.01</v>
      </c>
      <c r="K101">
        <f>VLOOKUP(A101,'Cleanup TMS'!$A$2:$CP$260,61)</f>
        <v>2.75E-2</v>
      </c>
      <c r="L101">
        <f>VLOOKUP($A101,'2021 Congestions'!$A$2:$E$257,5)</f>
        <v>0.71</v>
      </c>
      <c r="M101">
        <f>VLOOKUP(A101,'Cleanup TMS'!$A$2:$CP$260,57)</f>
        <v>0.79</v>
      </c>
      <c r="N101" t="s">
        <v>892</v>
      </c>
    </row>
    <row r="102" spans="1:14" hidden="1">
      <c r="A102" s="1">
        <v>3546140</v>
      </c>
      <c r="B102" t="s">
        <v>66</v>
      </c>
      <c r="C102" t="s">
        <v>742</v>
      </c>
      <c r="D102" t="s">
        <v>152</v>
      </c>
      <c r="E102" t="str">
        <f>VLOOKUP(A102,'2021 Congestions'!$A$2:$E$257,2)</f>
        <v>NOT CONGESTED</v>
      </c>
      <c r="F102" t="str">
        <f>VLOOKUP(A102,'Cleanup TMS'!$A$2:$CP$260,94)</f>
        <v>NOT CONGESTED</v>
      </c>
      <c r="G102" t="b">
        <f t="shared" si="1"/>
        <v>1</v>
      </c>
      <c r="H102">
        <f>VLOOKUP($A102,'2021 Congestions'!$A$2:$E$257,3)</f>
        <v>52680.300000000047</v>
      </c>
      <c r="I102">
        <f>VLOOKUP(A102,'Cleanup TMS'!$A$2:$CP$260,42)</f>
        <v>54358.700000000186</v>
      </c>
      <c r="J102">
        <f>VLOOKUP($A102,'2021 Congestions'!$A$2:$E$257,4)</f>
        <v>0.01</v>
      </c>
      <c r="K102">
        <f>VLOOKUP(A102,'Cleanup TMS'!$A$2:$CP$260,61)</f>
        <v>0.01</v>
      </c>
      <c r="L102">
        <f>VLOOKUP($A102,'2021 Congestions'!$A$2:$E$257,5)</f>
        <v>0.76</v>
      </c>
      <c r="M102">
        <f>VLOOKUP(A102,'Cleanup TMS'!$A$2:$CP$260,57)</f>
        <v>0.77</v>
      </c>
      <c r="N102" t="s">
        <v>893</v>
      </c>
    </row>
    <row r="103" spans="1:14">
      <c r="A103" s="1">
        <v>3546150</v>
      </c>
      <c r="B103" t="s">
        <v>66</v>
      </c>
      <c r="C103" t="s">
        <v>152</v>
      </c>
      <c r="D103" t="s">
        <v>23</v>
      </c>
      <c r="E103" t="str">
        <f>VLOOKUP(A103,'2021 Congestions'!$A$2:$E$257,2)</f>
        <v>EXTREMELY (2025)</v>
      </c>
      <c r="F103" t="str">
        <f>VLOOKUP(A103,'Cleanup TMS'!$A$2:$CP$260,94)</f>
        <v>CONGESTED (2020)</v>
      </c>
      <c r="G103" t="b">
        <f t="shared" si="1"/>
        <v>0</v>
      </c>
      <c r="H103">
        <f>VLOOKUP($A103,'2021 Congestions'!$A$2:$E$257,3)</f>
        <v>91650</v>
      </c>
      <c r="I103">
        <f>VLOOKUP(A103,'Cleanup TMS'!$A$2:$CP$260,42)</f>
        <v>91014.28571428638</v>
      </c>
      <c r="J103">
        <f>VLOOKUP($A103,'2021 Congestions'!$A$2:$E$257,4)</f>
        <v>4.4999999999999998E-2</v>
      </c>
      <c r="K103">
        <f>VLOOKUP(A103,'Cleanup TMS'!$A$2:$CP$260,61)</f>
        <v>0.01</v>
      </c>
      <c r="L103">
        <f>VLOOKUP($A103,'2021 Congestions'!$A$2:$E$257,5)</f>
        <v>1.32</v>
      </c>
      <c r="M103">
        <f>VLOOKUP(A103,'Cleanup TMS'!$A$2:$CP$260,57)</f>
        <v>1.28</v>
      </c>
      <c r="N103" t="s">
        <v>1150</v>
      </c>
    </row>
    <row r="104" spans="1:14">
      <c r="A104" s="1">
        <v>3546180</v>
      </c>
      <c r="B104" t="s">
        <v>66</v>
      </c>
      <c r="C104" t="s">
        <v>23</v>
      </c>
      <c r="D104" t="s">
        <v>34</v>
      </c>
      <c r="E104" t="str">
        <f>VLOOKUP(A104,'2021 Congestions'!$A$2:$E$257,2)</f>
        <v>CONGESTED (2020)</v>
      </c>
      <c r="F104" t="str">
        <f>VLOOKUP(A104,'Cleanup TMS'!$A$2:$CP$260,94)</f>
        <v>CONGESTED (2025)</v>
      </c>
      <c r="G104" t="b">
        <f t="shared" si="1"/>
        <v>0</v>
      </c>
      <c r="H104">
        <f>VLOOKUP($A104,'2021 Congestions'!$A$2:$E$257,3)</f>
        <v>87500</v>
      </c>
      <c r="I104">
        <f>VLOOKUP(A104,'Cleanup TMS'!$A$2:$CP$260,42)</f>
        <v>70250</v>
      </c>
      <c r="J104">
        <f>VLOOKUP($A104,'2021 Congestions'!$A$2:$E$257,4)</f>
        <v>2.5000000000000001E-2</v>
      </c>
      <c r="K104">
        <f>VLOOKUP(A104,'Cleanup TMS'!$A$2:$CP$260,61)</f>
        <v>0.01</v>
      </c>
      <c r="L104">
        <f>VLOOKUP($A104,'2021 Congestions'!$A$2:$E$257,5)</f>
        <v>1.26</v>
      </c>
      <c r="M104">
        <f>VLOOKUP(A104,'Cleanup TMS'!$A$2:$CP$260,57)</f>
        <v>0.99</v>
      </c>
      <c r="N104" t="s">
        <v>1151</v>
      </c>
    </row>
    <row r="105" spans="1:14" hidden="1">
      <c r="A105" s="1">
        <v>3547105</v>
      </c>
      <c r="B105" t="s">
        <v>36</v>
      </c>
      <c r="C105" t="s">
        <v>159</v>
      </c>
      <c r="D105" t="s">
        <v>35</v>
      </c>
      <c r="E105" t="str">
        <f>VLOOKUP(A105,'2021 Congestions'!$A$2:$E$257,2)</f>
        <v>NOT CONGESTED</v>
      </c>
      <c r="F105" t="str">
        <f>VLOOKUP(A105,'Cleanup TMS'!$A$2:$CP$260,94)</f>
        <v>NOT CONGESTED</v>
      </c>
      <c r="G105" t="b">
        <f t="shared" si="1"/>
        <v>1</v>
      </c>
      <c r="H105">
        <f>VLOOKUP($A105,'2021 Congestions'!$A$2:$E$257,3)</f>
        <v>38300</v>
      </c>
      <c r="I105">
        <f>VLOOKUP(A105,'Cleanup TMS'!$A$2:$CP$260,42)</f>
        <v>37300</v>
      </c>
      <c r="J105">
        <f>VLOOKUP($A105,'2021 Congestions'!$A$2:$E$257,4)</f>
        <v>0.01</v>
      </c>
      <c r="K105">
        <f>VLOOKUP(A105,'Cleanup TMS'!$A$2:$CP$260,61)</f>
        <v>0.01</v>
      </c>
      <c r="L105">
        <f>VLOOKUP($A105,'2021 Congestions'!$A$2:$E$257,5)</f>
        <v>0.62</v>
      </c>
      <c r="M105">
        <f>VLOOKUP(A105,'Cleanup TMS'!$A$2:$CP$260,57)</f>
        <v>0.57999999999999996</v>
      </c>
    </row>
    <row r="106" spans="1:14" hidden="1">
      <c r="A106" s="1">
        <v>3547120</v>
      </c>
      <c r="B106" t="s">
        <v>36</v>
      </c>
      <c r="C106" t="s">
        <v>35</v>
      </c>
      <c r="D106" t="s">
        <v>55</v>
      </c>
      <c r="E106" t="str">
        <f>VLOOKUP(A106,'2021 Congestions'!$A$2:$E$257,2)</f>
        <v>NOT CONGESTED</v>
      </c>
      <c r="F106" t="str">
        <f>VLOOKUP(A106,'Cleanup TMS'!$A$2:$CP$260,94)</f>
        <v>NOT CONGESTED</v>
      </c>
      <c r="G106" t="b">
        <f t="shared" si="1"/>
        <v>1</v>
      </c>
      <c r="H106">
        <f>VLOOKUP($A106,'2021 Congestions'!$A$2:$E$257,3)</f>
        <v>38300</v>
      </c>
      <c r="I106">
        <f>VLOOKUP(A106,'Cleanup TMS'!$A$2:$CP$260,42)</f>
        <v>37300</v>
      </c>
      <c r="J106">
        <f>VLOOKUP($A106,'2021 Congestions'!$A$2:$E$257,4)</f>
        <v>0.01</v>
      </c>
      <c r="K106">
        <f>VLOOKUP(A106,'Cleanup TMS'!$A$2:$CP$260,61)</f>
        <v>0.01</v>
      </c>
      <c r="L106">
        <f>VLOOKUP($A106,'2021 Congestions'!$A$2:$E$257,5)</f>
        <v>0.62</v>
      </c>
      <c r="M106">
        <f>VLOOKUP(A106,'Cleanup TMS'!$A$2:$CP$260,57)</f>
        <v>0.57999999999999996</v>
      </c>
    </row>
    <row r="107" spans="1:14" hidden="1">
      <c r="A107" s="1">
        <v>3549100</v>
      </c>
      <c r="B107" t="s">
        <v>741</v>
      </c>
      <c r="C107" t="s">
        <v>83</v>
      </c>
      <c r="D107" t="s">
        <v>735</v>
      </c>
      <c r="E107" t="str">
        <f>VLOOKUP(A107,'2021 Congestions'!$A$2:$E$257,2)</f>
        <v>NOT CONGESTED</v>
      </c>
      <c r="F107" t="str">
        <f>VLOOKUP(A107,'Cleanup TMS'!$A$2:$CP$260,94)</f>
        <v>NOT CONGESTED</v>
      </c>
      <c r="G107" t="b">
        <f t="shared" si="1"/>
        <v>1</v>
      </c>
      <c r="H107">
        <f>VLOOKUP($A107,'2021 Congestions'!$A$2:$E$257,3)</f>
        <v>4213</v>
      </c>
      <c r="I107">
        <f>VLOOKUP(A107,'Cleanup TMS'!$A$2:$CP$260,42)</f>
        <v>5028</v>
      </c>
      <c r="J107">
        <f>VLOOKUP($A107,'2021 Congestions'!$A$2:$E$257,4)</f>
        <v>0.06</v>
      </c>
      <c r="K107">
        <f>VLOOKUP(A107,'Cleanup TMS'!$A$2:$CP$260,61)</f>
        <v>4.2500000000000003E-2</v>
      </c>
      <c r="L107">
        <f>VLOOKUP($A107,'2021 Congestions'!$A$2:$E$257,5)</f>
        <v>0.28000000000000003</v>
      </c>
      <c r="M107">
        <f>VLOOKUP(A107,'Cleanup TMS'!$A$2:$CP$260,57)</f>
        <v>0.28000000000000003</v>
      </c>
    </row>
    <row r="108" spans="1:14" hidden="1">
      <c r="A108" s="1">
        <v>3549110</v>
      </c>
      <c r="B108" t="s">
        <v>741</v>
      </c>
      <c r="C108" t="s">
        <v>735</v>
      </c>
      <c r="D108" t="s">
        <v>738</v>
      </c>
      <c r="E108" t="str">
        <f>VLOOKUP(A108,'2021 Congestions'!$A$2:$E$257,2)</f>
        <v>NOT CONGESTED</v>
      </c>
      <c r="F108" t="str">
        <f>VLOOKUP(A108,'Cleanup TMS'!$A$2:$CP$260,94)</f>
        <v>NOT CONGESTED</v>
      </c>
      <c r="G108" t="b">
        <f t="shared" si="1"/>
        <v>1</v>
      </c>
      <c r="H108">
        <f>VLOOKUP($A108,'2021 Congestions'!$A$2:$E$257,3)</f>
        <v>4619</v>
      </c>
      <c r="I108">
        <f>VLOOKUP(A108,'Cleanup TMS'!$A$2:$CP$260,42)</f>
        <v>5905</v>
      </c>
      <c r="J108">
        <f>VLOOKUP($A108,'2021 Congestions'!$A$2:$E$257,4)</f>
        <v>1.7500000000000002E-2</v>
      </c>
      <c r="K108">
        <f>VLOOKUP(A108,'Cleanup TMS'!$A$2:$CP$260,61)</f>
        <v>3.2500000000000001E-2</v>
      </c>
      <c r="L108">
        <f>VLOOKUP($A108,'2021 Congestions'!$A$2:$E$257,5)</f>
        <v>0.28999999999999998</v>
      </c>
      <c r="M108">
        <f>VLOOKUP(A108,'Cleanup TMS'!$A$2:$CP$260,57)</f>
        <v>0.35</v>
      </c>
    </row>
    <row r="109" spans="1:14" hidden="1">
      <c r="A109" s="1">
        <v>3549120</v>
      </c>
      <c r="B109" t="s">
        <v>741</v>
      </c>
      <c r="C109" t="s">
        <v>738</v>
      </c>
      <c r="D109" t="s">
        <v>86</v>
      </c>
      <c r="E109" t="str">
        <f>VLOOKUP(A109,'2021 Congestions'!$A$2:$E$257,2)</f>
        <v>NOT CONGESTED</v>
      </c>
      <c r="F109" t="str">
        <f>VLOOKUP(A109,'Cleanup TMS'!$A$2:$CP$260,94)</f>
        <v>NOT CONGESTED</v>
      </c>
      <c r="G109" t="b">
        <f t="shared" si="1"/>
        <v>1</v>
      </c>
      <c r="H109">
        <f>VLOOKUP($A109,'2021 Congestions'!$A$2:$E$257,3)</f>
        <v>4232</v>
      </c>
      <c r="I109">
        <f>VLOOKUP(A109,'Cleanup TMS'!$A$2:$CP$260,42)</f>
        <v>5405</v>
      </c>
      <c r="J109">
        <f>VLOOKUP($A109,'2021 Congestions'!$A$2:$E$257,4)</f>
        <v>0.01</v>
      </c>
      <c r="K109">
        <f>VLOOKUP(A109,'Cleanup TMS'!$A$2:$CP$260,61)</f>
        <v>2.2499999999999999E-2</v>
      </c>
      <c r="L109">
        <f>VLOOKUP($A109,'2021 Congestions'!$A$2:$E$257,5)</f>
        <v>0.28000000000000003</v>
      </c>
      <c r="M109">
        <f>VLOOKUP(A109,'Cleanup TMS'!$A$2:$CP$260,57)</f>
        <v>0.33</v>
      </c>
    </row>
    <row r="110" spans="1:14" hidden="1">
      <c r="A110" s="1">
        <v>3549130</v>
      </c>
      <c r="B110" t="s">
        <v>741</v>
      </c>
      <c r="C110" t="s">
        <v>86</v>
      </c>
      <c r="D110" t="s">
        <v>87</v>
      </c>
      <c r="E110" t="str">
        <f>VLOOKUP(A110,'2021 Congestions'!$A$2:$E$257,2)</f>
        <v>NOT CONGESTED</v>
      </c>
      <c r="F110" t="str">
        <f>VLOOKUP(A110,'Cleanup TMS'!$A$2:$CP$260,94)</f>
        <v>NOT CONGESTED</v>
      </c>
      <c r="G110" t="b">
        <f t="shared" si="1"/>
        <v>1</v>
      </c>
      <c r="H110">
        <f>VLOOKUP($A110,'2021 Congestions'!$A$2:$E$257,3)</f>
        <v>4883</v>
      </c>
      <c r="I110">
        <f>VLOOKUP(A110,'Cleanup TMS'!$A$2:$CP$260,42)</f>
        <v>5802</v>
      </c>
      <c r="J110">
        <f>VLOOKUP($A110,'2021 Congestions'!$A$2:$E$257,4)</f>
        <v>1.2500000000000001E-2</v>
      </c>
      <c r="K110">
        <f>VLOOKUP(A110,'Cleanup TMS'!$A$2:$CP$260,61)</f>
        <v>1.7500000000000002E-2</v>
      </c>
      <c r="L110">
        <f>VLOOKUP($A110,'2021 Congestions'!$A$2:$E$257,5)</f>
        <v>0.25</v>
      </c>
      <c r="M110">
        <f>VLOOKUP(A110,'Cleanup TMS'!$A$2:$CP$260,57)</f>
        <v>0.27</v>
      </c>
    </row>
    <row r="111" spans="1:14" hidden="1">
      <c r="A111" s="1">
        <v>3549140</v>
      </c>
      <c r="B111" t="s">
        <v>741</v>
      </c>
      <c r="C111" t="s">
        <v>87</v>
      </c>
      <c r="D111" t="s">
        <v>40</v>
      </c>
      <c r="E111" t="str">
        <f>VLOOKUP(A111,'2021 Congestions'!$A$2:$E$257,2)</f>
        <v>NOT CONGESTED</v>
      </c>
      <c r="F111" t="str">
        <f>VLOOKUP(A111,'Cleanup TMS'!$A$2:$CP$260,94)</f>
        <v>NOT CONGESTED</v>
      </c>
      <c r="G111" t="b">
        <f t="shared" si="1"/>
        <v>1</v>
      </c>
      <c r="H111">
        <f>VLOOKUP($A111,'2021 Congestions'!$A$2:$E$257,3)</f>
        <v>5246</v>
      </c>
      <c r="I111">
        <f>VLOOKUP(A111,'Cleanup TMS'!$A$2:$CP$260,42)</f>
        <v>5572</v>
      </c>
      <c r="J111">
        <f>VLOOKUP($A111,'2021 Congestions'!$A$2:$E$257,4)</f>
        <v>0.02</v>
      </c>
      <c r="K111">
        <f>VLOOKUP(A111,'Cleanup TMS'!$A$2:$CP$260,61)</f>
        <v>0.04</v>
      </c>
      <c r="L111">
        <f>VLOOKUP($A111,'2021 Congestions'!$A$2:$E$257,5)</f>
        <v>0.27</v>
      </c>
      <c r="M111">
        <f>VLOOKUP(A111,'Cleanup TMS'!$A$2:$CP$260,57)</f>
        <v>0.27</v>
      </c>
    </row>
    <row r="112" spans="1:14" hidden="1">
      <c r="A112" s="1">
        <v>3549160</v>
      </c>
      <c r="B112" t="s">
        <v>719</v>
      </c>
      <c r="C112" t="s">
        <v>40</v>
      </c>
      <c r="D112" t="s">
        <v>728</v>
      </c>
      <c r="E112" t="str">
        <f>VLOOKUP(A112,'2021 Congestions'!$A$2:$E$257,2)</f>
        <v>NOT CONGESTED</v>
      </c>
      <c r="F112" t="str">
        <f>VLOOKUP(A112,'Cleanup TMS'!$A$2:$CP$260,94)</f>
        <v>NOT CONGESTED</v>
      </c>
      <c r="G112" t="b">
        <f t="shared" si="1"/>
        <v>1</v>
      </c>
      <c r="H112">
        <f>VLOOKUP($A112,'2021 Congestions'!$A$2:$E$257,3)</f>
        <v>5021</v>
      </c>
      <c r="I112">
        <f>VLOOKUP(A112,'Cleanup TMS'!$A$2:$CP$260,42)</f>
        <v>5832</v>
      </c>
      <c r="J112">
        <f>VLOOKUP($A112,'2021 Congestions'!$A$2:$E$257,4)</f>
        <v>0.02</v>
      </c>
      <c r="K112">
        <f>VLOOKUP(A112,'Cleanup TMS'!$A$2:$CP$260,61)</f>
        <v>0.05</v>
      </c>
      <c r="L112">
        <f>VLOOKUP($A112,'2021 Congestions'!$A$2:$E$257,5)</f>
        <v>0.52</v>
      </c>
      <c r="M112">
        <f>VLOOKUP(A112,'Cleanup TMS'!$A$2:$CP$260,57)</f>
        <v>0.68</v>
      </c>
    </row>
    <row r="113" spans="1:13" hidden="1">
      <c r="A113" s="1">
        <v>3550100</v>
      </c>
      <c r="B113" t="s">
        <v>733</v>
      </c>
      <c r="C113" t="s">
        <v>70</v>
      </c>
      <c r="D113" t="s">
        <v>71</v>
      </c>
      <c r="E113" t="str">
        <f>VLOOKUP(A113,'2021 Congestions'!$A$2:$E$257,2)</f>
        <v>NOT CONGESTED</v>
      </c>
      <c r="F113" t="str">
        <f>VLOOKUP(A113,'Cleanup TMS'!$A$2:$CP$260,94)</f>
        <v>NOT CONGESTED</v>
      </c>
      <c r="G113" t="b">
        <f t="shared" si="1"/>
        <v>1</v>
      </c>
      <c r="H113">
        <f>VLOOKUP($A113,'2021 Congestions'!$A$2:$E$257,3)</f>
        <v>6635</v>
      </c>
      <c r="I113">
        <f>VLOOKUP(A113,'Cleanup TMS'!$A$2:$CP$260,42)</f>
        <v>6930</v>
      </c>
      <c r="J113">
        <f>VLOOKUP($A113,'2021 Congestions'!$A$2:$E$257,4)</f>
        <v>0.01</v>
      </c>
      <c r="K113">
        <f>VLOOKUP(A113,'Cleanup TMS'!$A$2:$CP$260,61)</f>
        <v>0.01</v>
      </c>
      <c r="L113">
        <f>VLOOKUP($A113,'2021 Congestions'!$A$2:$E$257,5)</f>
        <v>0.32</v>
      </c>
      <c r="M113">
        <f>VLOOKUP(A113,'Cleanup TMS'!$A$2:$CP$260,57)</f>
        <v>0.34</v>
      </c>
    </row>
    <row r="114" spans="1:13" hidden="1">
      <c r="A114" s="1">
        <v>3550110</v>
      </c>
      <c r="B114" t="s">
        <v>742</v>
      </c>
      <c r="C114" t="s">
        <v>66</v>
      </c>
      <c r="D114" t="s">
        <v>40</v>
      </c>
      <c r="E114" t="str">
        <f>VLOOKUP(A114,'2021 Congestions'!$A$2:$E$257,2)</f>
        <v>NOT CONGESTED</v>
      </c>
      <c r="F114" t="str">
        <f>VLOOKUP(A114,'Cleanup TMS'!$A$2:$CP$260,94)</f>
        <v>NOT CONGESTED</v>
      </c>
      <c r="G114" t="b">
        <f t="shared" si="1"/>
        <v>1</v>
      </c>
      <c r="H114">
        <f>VLOOKUP($A114,'2021 Congestions'!$A$2:$E$257,3)</f>
        <v>10971</v>
      </c>
      <c r="I114">
        <f>VLOOKUP(A114,'Cleanup TMS'!$A$2:$CP$260,42)</f>
        <v>17029</v>
      </c>
      <c r="J114">
        <f>VLOOKUP($A114,'2021 Congestions'!$A$2:$E$257,4)</f>
        <v>0.01</v>
      </c>
      <c r="K114">
        <f>VLOOKUP(A114,'Cleanup TMS'!$A$2:$CP$260,61)</f>
        <v>1.4999999999999999E-2</v>
      </c>
      <c r="L114">
        <f>VLOOKUP($A114,'2021 Congestions'!$A$2:$E$257,5)</f>
        <v>0.5</v>
      </c>
      <c r="M114">
        <f>VLOOKUP(A114,'Cleanup TMS'!$A$2:$CP$260,57)</f>
        <v>0.56999999999999995</v>
      </c>
    </row>
    <row r="115" spans="1:13" hidden="1">
      <c r="A115" s="1">
        <v>3551100</v>
      </c>
      <c r="B115" t="s">
        <v>23</v>
      </c>
      <c r="C115" t="s">
        <v>40</v>
      </c>
      <c r="D115" t="s">
        <v>41</v>
      </c>
      <c r="E115" t="str">
        <f>VLOOKUP(A115,'2021 Congestions'!$A$2:$E$257,2)</f>
        <v>NOT CONGESTED</v>
      </c>
      <c r="F115" t="str">
        <f>VLOOKUP(A115,'Cleanup TMS'!$A$2:$CP$260,94)</f>
        <v>NOT CONGESTED</v>
      </c>
      <c r="G115" t="b">
        <f t="shared" si="1"/>
        <v>1</v>
      </c>
      <c r="H115">
        <f>VLOOKUP($A115,'2021 Congestions'!$A$2:$E$257,3)</f>
        <v>16190</v>
      </c>
      <c r="I115">
        <f>VLOOKUP(A115,'Cleanup TMS'!$A$2:$CP$260,42)</f>
        <v>17810</v>
      </c>
      <c r="J115">
        <f>VLOOKUP($A115,'2021 Congestions'!$A$2:$E$257,4)</f>
        <v>0.01</v>
      </c>
      <c r="K115">
        <f>VLOOKUP(A115,'Cleanup TMS'!$A$2:$CP$260,61)</f>
        <v>0.01</v>
      </c>
      <c r="L115">
        <f>VLOOKUP($A115,'2021 Congestions'!$A$2:$E$257,5)</f>
        <v>0.38</v>
      </c>
      <c r="M115">
        <f>VLOOKUP(A115,'Cleanup TMS'!$A$2:$CP$260,57)</f>
        <v>0.45</v>
      </c>
    </row>
    <row r="116" spans="1:13" hidden="1">
      <c r="A116" s="1">
        <v>3551130</v>
      </c>
      <c r="B116" t="s">
        <v>23</v>
      </c>
      <c r="C116" t="s">
        <v>712</v>
      </c>
      <c r="D116" t="s">
        <v>40</v>
      </c>
      <c r="E116" t="str">
        <f>VLOOKUP(A116,'2021 Congestions'!$A$2:$E$257,2)</f>
        <v>NOT CONGESTED</v>
      </c>
      <c r="F116" t="str">
        <f>VLOOKUP(A116,'Cleanup TMS'!$A$2:$CP$260,94)</f>
        <v>NOT CONGESTED</v>
      </c>
      <c r="G116" t="b">
        <f t="shared" si="1"/>
        <v>1</v>
      </c>
      <c r="H116">
        <f>VLOOKUP($A116,'2021 Congestions'!$A$2:$E$257,3)</f>
        <v>18210</v>
      </c>
      <c r="I116">
        <f>VLOOKUP(A116,'Cleanup TMS'!$A$2:$CP$260,42)</f>
        <v>18510</v>
      </c>
      <c r="J116">
        <f>VLOOKUP($A116,'2021 Congestions'!$A$2:$E$257,4)</f>
        <v>0.01</v>
      </c>
      <c r="K116">
        <f>VLOOKUP(A116,'Cleanup TMS'!$A$2:$CP$260,61)</f>
        <v>0.01</v>
      </c>
      <c r="L116">
        <f>VLOOKUP($A116,'2021 Congestions'!$A$2:$E$257,5)</f>
        <v>0.45</v>
      </c>
      <c r="M116">
        <f>VLOOKUP(A116,'Cleanup TMS'!$A$2:$CP$260,57)</f>
        <v>0.47</v>
      </c>
    </row>
    <row r="117" spans="1:13" hidden="1">
      <c r="A117" s="1">
        <v>3552100</v>
      </c>
      <c r="B117" t="s">
        <v>23</v>
      </c>
      <c r="C117" t="s">
        <v>97</v>
      </c>
      <c r="D117" t="s">
        <v>733</v>
      </c>
      <c r="E117" t="str">
        <f>VLOOKUP(A117,'2021 Congestions'!$A$2:$E$257,2)</f>
        <v>NOT CONGESTED</v>
      </c>
      <c r="F117" t="str">
        <f>VLOOKUP(A117,'Cleanup TMS'!$A$2:$CP$260,94)</f>
        <v>NOT CONGESTED</v>
      </c>
      <c r="G117" t="b">
        <f t="shared" si="1"/>
        <v>1</v>
      </c>
      <c r="H117">
        <f>VLOOKUP($A117,'2021 Congestions'!$A$2:$E$257,3)</f>
        <v>13660</v>
      </c>
      <c r="I117">
        <f>VLOOKUP(A117,'Cleanup TMS'!$A$2:$CP$260,42)</f>
        <v>12640</v>
      </c>
      <c r="J117">
        <f>VLOOKUP($A117,'2021 Congestions'!$A$2:$E$257,4)</f>
        <v>0.01</v>
      </c>
      <c r="K117">
        <f>VLOOKUP(A117,'Cleanup TMS'!$A$2:$CP$260,61)</f>
        <v>0.01</v>
      </c>
      <c r="L117">
        <f>VLOOKUP($A117,'2021 Congestions'!$A$2:$E$257,5)</f>
        <v>0.34</v>
      </c>
      <c r="M117">
        <f>VLOOKUP(A117,'Cleanup TMS'!$A$2:$CP$260,57)</f>
        <v>0.27</v>
      </c>
    </row>
    <row r="118" spans="1:13" hidden="1">
      <c r="A118" s="1">
        <v>3552110</v>
      </c>
      <c r="B118" t="s">
        <v>23</v>
      </c>
      <c r="C118" t="s">
        <v>733</v>
      </c>
      <c r="D118" t="s">
        <v>746</v>
      </c>
      <c r="E118" t="str">
        <f>VLOOKUP(A118,'2021 Congestions'!$A$2:$E$257,2)</f>
        <v>NOT CONGESTED</v>
      </c>
      <c r="F118" t="str">
        <f>VLOOKUP(A118,'Cleanup TMS'!$A$2:$CP$260,94)</f>
        <v>NOT CONGESTED</v>
      </c>
      <c r="G118" t="b">
        <f t="shared" si="1"/>
        <v>1</v>
      </c>
      <c r="H118">
        <f>VLOOKUP($A118,'2021 Congestions'!$A$2:$E$257,3)</f>
        <v>12310</v>
      </c>
      <c r="I118">
        <f>VLOOKUP(A118,'Cleanup TMS'!$A$2:$CP$260,42)</f>
        <v>11690</v>
      </c>
      <c r="J118">
        <f>VLOOKUP($A118,'2021 Congestions'!$A$2:$E$257,4)</f>
        <v>0.01</v>
      </c>
      <c r="K118">
        <f>VLOOKUP(A118,'Cleanup TMS'!$A$2:$CP$260,61)</f>
        <v>0.01</v>
      </c>
      <c r="L118">
        <f>VLOOKUP($A118,'2021 Congestions'!$A$2:$E$257,5)</f>
        <v>0.27</v>
      </c>
      <c r="M118">
        <f>VLOOKUP(A118,'Cleanup TMS'!$A$2:$CP$260,57)</f>
        <v>0.25</v>
      </c>
    </row>
    <row r="119" spans="1:13" hidden="1">
      <c r="A119" s="1">
        <v>3552120</v>
      </c>
      <c r="B119" t="s">
        <v>23</v>
      </c>
      <c r="C119" t="s">
        <v>746</v>
      </c>
      <c r="D119" t="s">
        <v>141</v>
      </c>
      <c r="E119" t="str">
        <f>VLOOKUP(A119,'2021 Congestions'!$A$2:$E$257,2)</f>
        <v>NOT CONGESTED</v>
      </c>
      <c r="F119" t="str">
        <f>VLOOKUP(A119,'Cleanup TMS'!$A$2:$CP$260,94)</f>
        <v>NOT CONGESTED</v>
      </c>
      <c r="G119" t="b">
        <f t="shared" si="1"/>
        <v>1</v>
      </c>
      <c r="H119">
        <f>VLOOKUP($A119,'2021 Congestions'!$A$2:$E$257,3)</f>
        <v>10600</v>
      </c>
      <c r="I119">
        <f>VLOOKUP(A119,'Cleanup TMS'!$A$2:$CP$260,42)</f>
        <v>10740</v>
      </c>
      <c r="J119">
        <f>VLOOKUP($A119,'2021 Congestions'!$A$2:$E$257,4)</f>
        <v>0.01</v>
      </c>
      <c r="K119">
        <f>VLOOKUP(A119,'Cleanup TMS'!$A$2:$CP$260,61)</f>
        <v>0.01</v>
      </c>
      <c r="L119">
        <f>VLOOKUP($A119,'2021 Congestions'!$A$2:$E$257,5)</f>
        <v>0.23</v>
      </c>
      <c r="M119">
        <f>VLOOKUP(A119,'Cleanup TMS'!$A$2:$CP$260,57)</f>
        <v>0.23</v>
      </c>
    </row>
    <row r="120" spans="1:13" hidden="1">
      <c r="A120" s="1">
        <v>3552130</v>
      </c>
      <c r="B120" t="s">
        <v>23</v>
      </c>
      <c r="C120" t="s">
        <v>66</v>
      </c>
      <c r="D120" t="s">
        <v>712</v>
      </c>
      <c r="E120" t="str">
        <f>VLOOKUP(A120,'2021 Congestions'!$A$2:$E$257,2)</f>
        <v>NOT CONGESTED</v>
      </c>
      <c r="F120" t="str">
        <f>VLOOKUP(A120,'Cleanup TMS'!$A$2:$CP$260,94)</f>
        <v>NOT CONGESTED</v>
      </c>
      <c r="G120" t="b">
        <f t="shared" si="1"/>
        <v>1</v>
      </c>
      <c r="H120">
        <f>VLOOKUP($A120,'2021 Congestions'!$A$2:$E$257,3)</f>
        <v>18210</v>
      </c>
      <c r="I120">
        <f>VLOOKUP(A120,'Cleanup TMS'!$A$2:$CP$260,42)</f>
        <v>18510</v>
      </c>
      <c r="J120">
        <f>VLOOKUP($A120,'2021 Congestions'!$A$2:$E$257,4)</f>
        <v>0.01</v>
      </c>
      <c r="K120">
        <f>VLOOKUP(A120,'Cleanup TMS'!$A$2:$CP$260,61)</f>
        <v>0.01</v>
      </c>
      <c r="L120">
        <f>VLOOKUP($A120,'2021 Congestions'!$A$2:$E$257,5)</f>
        <v>0.28999999999999998</v>
      </c>
      <c r="M120">
        <f>VLOOKUP(A120,'Cleanup TMS'!$A$2:$CP$260,57)</f>
        <v>0.3</v>
      </c>
    </row>
    <row r="121" spans="1:13" hidden="1">
      <c r="A121" s="1">
        <v>3553100</v>
      </c>
      <c r="B121" t="s">
        <v>743</v>
      </c>
      <c r="C121" t="s">
        <v>748</v>
      </c>
      <c r="D121" t="s">
        <v>715</v>
      </c>
      <c r="E121" t="str">
        <f>VLOOKUP(A121,'2021 Congestions'!$A$2:$E$257,2)</f>
        <v>NOT CONGESTED</v>
      </c>
      <c r="F121" t="str">
        <f>VLOOKUP(A121,'Cleanup TMS'!$A$2:$CP$260,94)</f>
        <v>NOT CONGESTED</v>
      </c>
      <c r="G121" t="b">
        <f t="shared" si="1"/>
        <v>1</v>
      </c>
      <c r="H121">
        <f>VLOOKUP($A121,'2021 Congestions'!$A$2:$E$257,3)</f>
        <v>6881.5999999999767</v>
      </c>
      <c r="I121">
        <f>VLOOKUP(A121,'Cleanup TMS'!$A$2:$CP$260,42)</f>
        <v>6975.3800000000047</v>
      </c>
      <c r="J121">
        <f>VLOOKUP($A121,'2021 Congestions'!$A$2:$E$257,4)</f>
        <v>2.5000000000000001E-2</v>
      </c>
      <c r="K121">
        <f>VLOOKUP(A121,'Cleanup TMS'!$A$2:$CP$260,61)</f>
        <v>0.02</v>
      </c>
      <c r="L121">
        <f>VLOOKUP($A121,'2021 Congestions'!$A$2:$E$257,5)</f>
        <v>0.3</v>
      </c>
      <c r="M121">
        <f>VLOOKUP(A121,'Cleanup TMS'!$A$2:$CP$260,57)</f>
        <v>0.3</v>
      </c>
    </row>
    <row r="122" spans="1:13" hidden="1">
      <c r="A122" s="1">
        <v>3553130</v>
      </c>
      <c r="B122" t="s">
        <v>717</v>
      </c>
      <c r="C122" t="s">
        <v>692</v>
      </c>
      <c r="D122" t="s">
        <v>741</v>
      </c>
      <c r="E122" t="str">
        <f>VLOOKUP(A122,'2021 Congestions'!$A$2:$E$257,2)</f>
        <v>NOT CONGESTED</v>
      </c>
      <c r="F122" t="str">
        <f>VLOOKUP(A122,'Cleanup TMS'!$A$2:$CP$260,94)</f>
        <v>NOT CONGESTED</v>
      </c>
      <c r="G122" t="b">
        <f t="shared" si="1"/>
        <v>1</v>
      </c>
      <c r="H122">
        <f>VLOOKUP($A122,'2021 Congestions'!$A$2:$E$257,3)</f>
        <v>3696</v>
      </c>
      <c r="I122">
        <f>VLOOKUP(A122,'Cleanup TMS'!$A$2:$CP$260,42)</f>
        <v>3626</v>
      </c>
      <c r="J122">
        <f>VLOOKUP($A122,'2021 Congestions'!$A$2:$E$257,4)</f>
        <v>0.01</v>
      </c>
      <c r="K122">
        <f>VLOOKUP(A122,'Cleanup TMS'!$A$2:$CP$260,61)</f>
        <v>1.2500000000000001E-2</v>
      </c>
      <c r="L122">
        <f>VLOOKUP($A122,'2021 Congestions'!$A$2:$E$257,5)</f>
        <v>0.36</v>
      </c>
      <c r="M122">
        <f>VLOOKUP(A122,'Cleanup TMS'!$A$2:$CP$260,57)</f>
        <v>0.42</v>
      </c>
    </row>
    <row r="123" spans="1:13" hidden="1">
      <c r="A123" s="1">
        <v>3553140</v>
      </c>
      <c r="B123" t="s">
        <v>715</v>
      </c>
      <c r="C123" t="s">
        <v>63</v>
      </c>
      <c r="D123" t="s">
        <v>751</v>
      </c>
      <c r="E123" t="str">
        <f>VLOOKUP(A123,'2021 Congestions'!$A$2:$E$257,2)</f>
        <v>NOT CONGESTED</v>
      </c>
      <c r="F123" t="str">
        <f>VLOOKUP(A123,'Cleanup TMS'!$A$2:$CP$260,94)</f>
        <v>NOT CONGESTED</v>
      </c>
      <c r="G123" t="b">
        <f t="shared" si="1"/>
        <v>1</v>
      </c>
      <c r="H123">
        <f>VLOOKUP($A123,'2021 Congestions'!$A$2:$E$257,3)</f>
        <v>3165</v>
      </c>
      <c r="I123">
        <f>VLOOKUP(A123,'Cleanup TMS'!$A$2:$CP$260,42)</f>
        <v>4863</v>
      </c>
      <c r="J123">
        <f>VLOOKUP($A123,'2021 Congestions'!$A$2:$E$257,4)</f>
        <v>0.01</v>
      </c>
      <c r="K123">
        <f>VLOOKUP(A123,'Cleanup TMS'!$A$2:$CP$260,61)</f>
        <v>4.4999999999999998E-2</v>
      </c>
      <c r="L123">
        <f>VLOOKUP($A123,'2021 Congestions'!$A$2:$E$257,5)</f>
        <v>0.27</v>
      </c>
      <c r="M123">
        <f>VLOOKUP(A123,'Cleanup TMS'!$A$2:$CP$260,57)</f>
        <v>0.37</v>
      </c>
    </row>
    <row r="124" spans="1:13" hidden="1">
      <c r="A124" s="1">
        <v>3553150</v>
      </c>
      <c r="B124" t="s">
        <v>715</v>
      </c>
      <c r="C124" t="s">
        <v>62</v>
      </c>
      <c r="D124" t="s">
        <v>63</v>
      </c>
      <c r="E124" t="str">
        <f>VLOOKUP(A124,'2021 Congestions'!$A$2:$E$257,2)</f>
        <v>NOT CONGESTED</v>
      </c>
      <c r="F124" t="str">
        <f>VLOOKUP(A124,'Cleanup TMS'!$A$2:$CP$260,94)</f>
        <v>NOT CONGESTED</v>
      </c>
      <c r="G124" t="b">
        <f t="shared" si="1"/>
        <v>1</v>
      </c>
      <c r="H124">
        <f>VLOOKUP($A124,'2021 Congestions'!$A$2:$E$257,3)</f>
        <v>2986</v>
      </c>
      <c r="I124">
        <f>VLOOKUP(A124,'Cleanup TMS'!$A$2:$CP$260,42)</f>
        <v>4567</v>
      </c>
      <c r="J124">
        <f>VLOOKUP($A124,'2021 Congestions'!$A$2:$E$257,4)</f>
        <v>0.01</v>
      </c>
      <c r="K124">
        <f>VLOOKUP(A124,'Cleanup TMS'!$A$2:$CP$260,61)</f>
        <v>0.05</v>
      </c>
      <c r="L124">
        <f>VLOOKUP($A124,'2021 Congestions'!$A$2:$E$257,5)</f>
        <v>0.19</v>
      </c>
      <c r="M124">
        <f>VLOOKUP(A124,'Cleanup TMS'!$A$2:$CP$260,57)</f>
        <v>0.31</v>
      </c>
    </row>
    <row r="125" spans="1:13" hidden="1">
      <c r="A125" s="1">
        <v>3553160</v>
      </c>
      <c r="B125" t="s">
        <v>728</v>
      </c>
      <c r="C125" t="s">
        <v>741</v>
      </c>
      <c r="D125" t="s">
        <v>93</v>
      </c>
      <c r="E125" t="str">
        <f>VLOOKUP(A125,'2021 Congestions'!$A$2:$E$257,2)</f>
        <v>NOT CONGESTED</v>
      </c>
      <c r="F125" t="str">
        <f>VLOOKUP(A125,'Cleanup TMS'!$A$2:$CP$260,94)</f>
        <v>NOT CONGESTED</v>
      </c>
      <c r="G125" t="b">
        <f t="shared" si="1"/>
        <v>1</v>
      </c>
      <c r="H125">
        <f>VLOOKUP($A125,'2021 Congestions'!$A$2:$E$257,3)</f>
        <v>7478</v>
      </c>
      <c r="I125">
        <f>VLOOKUP(A125,'Cleanup TMS'!$A$2:$CP$260,42)</f>
        <v>8713</v>
      </c>
      <c r="J125">
        <f>VLOOKUP($A125,'2021 Congestions'!$A$2:$E$257,4)</f>
        <v>2.5000000000000001E-2</v>
      </c>
      <c r="K125">
        <f>VLOOKUP(A125,'Cleanup TMS'!$A$2:$CP$260,61)</f>
        <v>4.4999999999999998E-2</v>
      </c>
      <c r="L125">
        <f>VLOOKUP($A125,'2021 Congestions'!$A$2:$E$257,5)</f>
        <v>0.34</v>
      </c>
      <c r="M125">
        <f>VLOOKUP(A125,'Cleanup TMS'!$A$2:$CP$260,57)</f>
        <v>0.41</v>
      </c>
    </row>
    <row r="126" spans="1:13" hidden="1">
      <c r="A126" s="1">
        <v>3553170</v>
      </c>
      <c r="B126" t="s">
        <v>728</v>
      </c>
      <c r="C126" t="s">
        <v>93</v>
      </c>
      <c r="D126" t="s">
        <v>89</v>
      </c>
      <c r="E126" t="str">
        <f>VLOOKUP(A126,'2021 Congestions'!$A$2:$E$257,2)</f>
        <v>NOT CONGESTED</v>
      </c>
      <c r="F126" t="str">
        <f>VLOOKUP(A126,'Cleanup TMS'!$A$2:$CP$260,94)</f>
        <v>NOT CONGESTED</v>
      </c>
      <c r="G126" t="b">
        <f t="shared" si="1"/>
        <v>1</v>
      </c>
      <c r="H126">
        <f>VLOOKUP($A126,'2021 Congestions'!$A$2:$E$257,3)</f>
        <v>6766</v>
      </c>
      <c r="I126">
        <f>VLOOKUP(A126,'Cleanup TMS'!$A$2:$CP$260,42)</f>
        <v>8341</v>
      </c>
      <c r="J126">
        <f>VLOOKUP($A126,'2021 Congestions'!$A$2:$E$257,4)</f>
        <v>1.2500000000000001E-2</v>
      </c>
      <c r="K126">
        <f>VLOOKUP(A126,'Cleanup TMS'!$A$2:$CP$260,61)</f>
        <v>0.04</v>
      </c>
      <c r="L126">
        <f>VLOOKUP($A126,'2021 Congestions'!$A$2:$E$257,5)</f>
        <v>0.3</v>
      </c>
      <c r="M126">
        <f>VLOOKUP(A126,'Cleanup TMS'!$A$2:$CP$260,57)</f>
        <v>0.41</v>
      </c>
    </row>
    <row r="127" spans="1:13" hidden="1">
      <c r="A127" s="1">
        <v>3553180</v>
      </c>
      <c r="B127" t="s">
        <v>728</v>
      </c>
      <c r="C127" t="s">
        <v>89</v>
      </c>
      <c r="D127" t="s">
        <v>81</v>
      </c>
      <c r="E127" t="str">
        <f>VLOOKUP(A127,'2021 Congestions'!$A$2:$E$257,2)</f>
        <v>NOT CONGESTED</v>
      </c>
      <c r="F127" t="str">
        <f>VLOOKUP(A127,'Cleanup TMS'!$A$2:$CP$260,94)</f>
        <v>NOT CONGESTED</v>
      </c>
      <c r="G127" t="b">
        <f t="shared" si="1"/>
        <v>1</v>
      </c>
      <c r="H127">
        <f>VLOOKUP($A127,'2021 Congestions'!$A$2:$E$257,3)</f>
        <v>5748</v>
      </c>
      <c r="I127">
        <f>VLOOKUP(A127,'Cleanup TMS'!$A$2:$CP$260,42)</f>
        <v>7301</v>
      </c>
      <c r="J127">
        <f>VLOOKUP($A127,'2021 Congestions'!$A$2:$E$257,4)</f>
        <v>1.2500000000000001E-2</v>
      </c>
      <c r="K127">
        <f>VLOOKUP(A127,'Cleanup TMS'!$A$2:$CP$260,61)</f>
        <v>3.5000000000000003E-2</v>
      </c>
      <c r="L127">
        <f>VLOOKUP($A127,'2021 Congestions'!$A$2:$E$257,5)</f>
        <v>0.27</v>
      </c>
      <c r="M127">
        <f>VLOOKUP(A127,'Cleanup TMS'!$A$2:$CP$260,57)</f>
        <v>0.28999999999999998</v>
      </c>
    </row>
    <row r="128" spans="1:13" hidden="1">
      <c r="A128" s="1">
        <v>3553190</v>
      </c>
      <c r="B128" t="s">
        <v>728</v>
      </c>
      <c r="C128" t="s">
        <v>81</v>
      </c>
      <c r="D128" t="s">
        <v>95</v>
      </c>
      <c r="E128" t="str">
        <f>VLOOKUP(A128,'2021 Congestions'!$A$2:$E$257,2)</f>
        <v>NOT CONGESTED</v>
      </c>
      <c r="F128" t="str">
        <f>VLOOKUP(A128,'Cleanup TMS'!$A$2:$CP$260,94)</f>
        <v>NOT CONGESTED</v>
      </c>
      <c r="G128" t="b">
        <f t="shared" si="1"/>
        <v>1</v>
      </c>
      <c r="H128">
        <f>VLOOKUP($A128,'2021 Congestions'!$A$2:$E$257,3)</f>
        <v>5889</v>
      </c>
      <c r="I128">
        <f>VLOOKUP(A128,'Cleanup TMS'!$A$2:$CP$260,42)</f>
        <v>7340</v>
      </c>
      <c r="J128">
        <f>VLOOKUP($A128,'2021 Congestions'!$A$2:$E$257,4)</f>
        <v>2.2499999999999999E-2</v>
      </c>
      <c r="K128">
        <f>VLOOKUP(A128,'Cleanup TMS'!$A$2:$CP$260,61)</f>
        <v>4.4999999999999998E-2</v>
      </c>
      <c r="L128">
        <f>VLOOKUP($A128,'2021 Congestions'!$A$2:$E$257,5)</f>
        <v>0.25</v>
      </c>
      <c r="M128">
        <f>VLOOKUP(A128,'Cleanup TMS'!$A$2:$CP$260,57)</f>
        <v>0.28000000000000003</v>
      </c>
    </row>
    <row r="129" spans="1:14" hidden="1">
      <c r="A129" s="1">
        <v>3553200</v>
      </c>
      <c r="B129" t="s">
        <v>728</v>
      </c>
      <c r="C129" t="s">
        <v>95</v>
      </c>
      <c r="D129" t="s">
        <v>708</v>
      </c>
      <c r="E129" t="str">
        <f>VLOOKUP(A129,'2021 Congestions'!$A$2:$E$257,2)</f>
        <v>NOT CONGESTED</v>
      </c>
      <c r="F129" t="str">
        <f>VLOOKUP(A129,'Cleanup TMS'!$A$2:$CP$260,94)</f>
        <v>NOT CONGESTED</v>
      </c>
      <c r="G129" t="b">
        <f t="shared" si="1"/>
        <v>1</v>
      </c>
      <c r="H129">
        <f>VLOOKUP($A129,'2021 Congestions'!$A$2:$E$257,3)</f>
        <v>6009</v>
      </c>
      <c r="I129">
        <f>VLOOKUP(A129,'Cleanup TMS'!$A$2:$CP$260,42)</f>
        <v>8608</v>
      </c>
      <c r="J129">
        <f>VLOOKUP($A129,'2021 Congestions'!$A$2:$E$257,4)</f>
        <v>0.01</v>
      </c>
      <c r="K129">
        <f>VLOOKUP(A129,'Cleanup TMS'!$A$2:$CP$260,61)</f>
        <v>4.2500000000000003E-2</v>
      </c>
      <c r="L129">
        <f>VLOOKUP($A129,'2021 Congestions'!$A$2:$E$257,5)</f>
        <v>0.27</v>
      </c>
      <c r="M129">
        <f>VLOOKUP(A129,'Cleanup TMS'!$A$2:$CP$260,57)</f>
        <v>0.34</v>
      </c>
    </row>
    <row r="130" spans="1:14" hidden="1">
      <c r="A130" s="1">
        <v>3553210</v>
      </c>
      <c r="B130" t="s">
        <v>728</v>
      </c>
      <c r="C130" t="s">
        <v>708</v>
      </c>
      <c r="D130" t="s">
        <v>748</v>
      </c>
      <c r="E130" t="str">
        <f>VLOOKUP(A130,'2021 Congestions'!$A$2:$E$257,2)</f>
        <v>NOT CONGESTED</v>
      </c>
      <c r="F130" t="str">
        <f>VLOOKUP(A130,'Cleanup TMS'!$A$2:$CP$260,94)</f>
        <v>NOT CONGESTED</v>
      </c>
      <c r="G130" t="b">
        <f t="shared" ref="G130:G193" si="2">F130=E130</f>
        <v>1</v>
      </c>
      <c r="H130">
        <f>VLOOKUP($A130,'2021 Congestions'!$A$2:$E$257,3)</f>
        <v>6009</v>
      </c>
      <c r="I130">
        <f>VLOOKUP(A130,'Cleanup TMS'!$A$2:$CP$260,42)</f>
        <v>8608</v>
      </c>
      <c r="J130">
        <f>VLOOKUP($A130,'2021 Congestions'!$A$2:$E$257,4)</f>
        <v>0.01</v>
      </c>
      <c r="K130">
        <f>VLOOKUP(A130,'Cleanup TMS'!$A$2:$CP$260,61)</f>
        <v>4.2500000000000003E-2</v>
      </c>
      <c r="L130">
        <f>VLOOKUP($A130,'2021 Congestions'!$A$2:$E$257,5)</f>
        <v>0.27</v>
      </c>
      <c r="M130">
        <f>VLOOKUP(A130,'Cleanup TMS'!$A$2:$CP$260,57)</f>
        <v>0.34</v>
      </c>
    </row>
    <row r="131" spans="1:14" hidden="1">
      <c r="A131" s="1">
        <v>3554120</v>
      </c>
      <c r="B131" t="s">
        <v>146</v>
      </c>
      <c r="C131" t="s">
        <v>147</v>
      </c>
      <c r="D131" t="s">
        <v>709</v>
      </c>
      <c r="E131" t="str">
        <f>VLOOKUP(A131,'2021 Congestions'!$A$2:$E$257,2)</f>
        <v>NOT CONGESTED</v>
      </c>
      <c r="F131" t="str">
        <f>VLOOKUP(A131,'Cleanup TMS'!$A$2:$CP$260,94)</f>
        <v>NOT CONGESTED</v>
      </c>
      <c r="G131" t="b">
        <f t="shared" si="2"/>
        <v>1</v>
      </c>
      <c r="H131">
        <f>VLOOKUP($A131,'2021 Congestions'!$A$2:$E$257,3)</f>
        <v>11870</v>
      </c>
      <c r="I131">
        <f>VLOOKUP(A131,'Cleanup TMS'!$A$2:$CP$260,42)</f>
        <v>12055</v>
      </c>
      <c r="J131">
        <f>VLOOKUP($A131,'2021 Congestions'!$A$2:$E$257,4)</f>
        <v>3.7499999999999999E-2</v>
      </c>
      <c r="K131">
        <f>VLOOKUP(A131,'Cleanup TMS'!$A$2:$CP$260,61)</f>
        <v>1.7500000000000002E-2</v>
      </c>
      <c r="L131">
        <f>VLOOKUP($A131,'2021 Congestions'!$A$2:$E$257,5)</f>
        <v>0.36</v>
      </c>
      <c r="M131">
        <f>VLOOKUP(A131,'Cleanup TMS'!$A$2:$CP$260,57)</f>
        <v>0.38</v>
      </c>
    </row>
    <row r="132" spans="1:14" hidden="1">
      <c r="A132" s="1">
        <v>3554130</v>
      </c>
      <c r="B132" t="s">
        <v>146</v>
      </c>
      <c r="C132" t="s">
        <v>709</v>
      </c>
      <c r="D132" t="s">
        <v>761</v>
      </c>
      <c r="E132" t="str">
        <f>VLOOKUP(A132,'2021 Congestions'!$A$2:$E$257,2)</f>
        <v>NOT CONGESTED</v>
      </c>
      <c r="F132" t="str">
        <f>VLOOKUP(A132,'Cleanup TMS'!$A$2:$CP$260,94)</f>
        <v>NOT CONGESTED</v>
      </c>
      <c r="G132" t="b">
        <f t="shared" si="2"/>
        <v>1</v>
      </c>
      <c r="H132">
        <f>VLOOKUP($A132,'2021 Congestions'!$A$2:$E$257,3)</f>
        <v>12542</v>
      </c>
      <c r="I132">
        <f>VLOOKUP(A132,'Cleanup TMS'!$A$2:$CP$260,42)</f>
        <v>13215</v>
      </c>
      <c r="J132">
        <f>VLOOKUP($A132,'2021 Congestions'!$A$2:$E$257,4)</f>
        <v>0.01</v>
      </c>
      <c r="K132">
        <f>VLOOKUP(A132,'Cleanup TMS'!$A$2:$CP$260,61)</f>
        <v>0.01</v>
      </c>
      <c r="L132">
        <f>VLOOKUP($A132,'2021 Congestions'!$A$2:$E$257,5)</f>
        <v>0.38</v>
      </c>
      <c r="M132">
        <f>VLOOKUP(A132,'Cleanup TMS'!$A$2:$CP$260,57)</f>
        <v>0.37</v>
      </c>
    </row>
    <row r="133" spans="1:14" hidden="1">
      <c r="A133" s="1">
        <v>3554140</v>
      </c>
      <c r="B133" t="s">
        <v>696</v>
      </c>
      <c r="C133" t="s">
        <v>40</v>
      </c>
      <c r="D133" t="s">
        <v>151</v>
      </c>
      <c r="E133" t="str">
        <f>VLOOKUP(A133,'2021 Congestions'!$A$2:$E$257,2)</f>
        <v>NOT CONGESTED</v>
      </c>
      <c r="F133" t="str">
        <f>VLOOKUP(A133,'Cleanup TMS'!$A$2:$CP$260,94)</f>
        <v>NOT CONGESTED</v>
      </c>
      <c r="G133" t="b">
        <f t="shared" si="2"/>
        <v>1</v>
      </c>
      <c r="H133">
        <f>VLOOKUP($A133,'2021 Congestions'!$A$2:$E$257,3)</f>
        <v>9833</v>
      </c>
      <c r="I133">
        <f>VLOOKUP(A133,'Cleanup TMS'!$A$2:$CP$260,42)</f>
        <v>12551</v>
      </c>
      <c r="J133">
        <f>VLOOKUP($A133,'2021 Congestions'!$A$2:$E$257,4)</f>
        <v>0.01</v>
      </c>
      <c r="K133">
        <f>VLOOKUP(A133,'Cleanup TMS'!$A$2:$CP$260,61)</f>
        <v>5.7500000000000002E-2</v>
      </c>
      <c r="L133">
        <f>VLOOKUP($A133,'2021 Congestions'!$A$2:$E$257,5)</f>
        <v>0.24</v>
      </c>
      <c r="M133">
        <f>VLOOKUP(A133,'Cleanup TMS'!$A$2:$CP$260,57)</f>
        <v>0.31</v>
      </c>
    </row>
    <row r="134" spans="1:14" hidden="1">
      <c r="A134" s="1">
        <v>3555100</v>
      </c>
      <c r="B134" t="s">
        <v>743</v>
      </c>
      <c r="C134" t="s">
        <v>97</v>
      </c>
      <c r="D134" t="s">
        <v>735</v>
      </c>
      <c r="E134" t="str">
        <f>VLOOKUP(A134,'2021 Congestions'!$A$2:$E$257,2)</f>
        <v>NOT CONGESTED</v>
      </c>
      <c r="F134" t="str">
        <f>VLOOKUP(A134,'Cleanup TMS'!$A$2:$CP$260,94)</f>
        <v>NOT CONGESTED</v>
      </c>
      <c r="G134" t="b">
        <f t="shared" si="2"/>
        <v>1</v>
      </c>
      <c r="H134">
        <f>VLOOKUP($A134,'2021 Congestions'!$A$2:$E$257,3)</f>
        <v>3490</v>
      </c>
      <c r="I134">
        <f>VLOOKUP(A134,'Cleanup TMS'!$A$2:$CP$260,42)</f>
        <v>4814</v>
      </c>
      <c r="J134">
        <f>VLOOKUP($A134,'2021 Congestions'!$A$2:$E$257,4)</f>
        <v>0.01</v>
      </c>
      <c r="K134">
        <f>VLOOKUP(A134,'Cleanup TMS'!$A$2:$CP$260,61)</f>
        <v>0.01</v>
      </c>
      <c r="L134">
        <f>VLOOKUP($A134,'2021 Congestions'!$A$2:$E$257,5)</f>
        <v>0.4</v>
      </c>
      <c r="M134">
        <f>VLOOKUP(A134,'Cleanup TMS'!$A$2:$CP$260,57)</f>
        <v>0.53</v>
      </c>
    </row>
    <row r="135" spans="1:14" hidden="1">
      <c r="A135" s="1">
        <v>3555110</v>
      </c>
      <c r="B135" t="s">
        <v>728</v>
      </c>
      <c r="C135" t="s">
        <v>735</v>
      </c>
      <c r="D135" t="s">
        <v>86</v>
      </c>
      <c r="E135" t="str">
        <f>VLOOKUP(A135,'2021 Congestions'!$A$2:$E$257,2)</f>
        <v>NOT CONGESTED</v>
      </c>
      <c r="F135" t="str">
        <f>VLOOKUP(A135,'Cleanup TMS'!$A$2:$CP$260,94)</f>
        <v>NOT CONGESTED</v>
      </c>
      <c r="G135" t="b">
        <f t="shared" si="2"/>
        <v>1</v>
      </c>
      <c r="H135">
        <f>VLOOKUP($A135,'2021 Congestions'!$A$2:$E$257,3)</f>
        <v>4113</v>
      </c>
      <c r="I135">
        <f>VLOOKUP(A135,'Cleanup TMS'!$A$2:$CP$260,42)</f>
        <v>5671</v>
      </c>
      <c r="J135">
        <f>VLOOKUP($A135,'2021 Congestions'!$A$2:$E$257,4)</f>
        <v>0.01</v>
      </c>
      <c r="K135">
        <f>VLOOKUP(A135,'Cleanup TMS'!$A$2:$CP$260,61)</f>
        <v>2.75E-2</v>
      </c>
      <c r="L135">
        <f>VLOOKUP($A135,'2021 Congestions'!$A$2:$E$257,5)</f>
        <v>0.46</v>
      </c>
      <c r="M135">
        <f>VLOOKUP(A135,'Cleanup TMS'!$A$2:$CP$260,57)</f>
        <v>0.63</v>
      </c>
    </row>
    <row r="136" spans="1:14" hidden="1">
      <c r="A136" s="1">
        <v>3555120</v>
      </c>
      <c r="B136" t="s">
        <v>728</v>
      </c>
      <c r="C136" t="s">
        <v>86</v>
      </c>
      <c r="D136" t="s">
        <v>87</v>
      </c>
      <c r="E136" t="str">
        <f>VLOOKUP(A136,'2021 Congestions'!$A$2:$E$257,2)</f>
        <v>NOT CONGESTED</v>
      </c>
      <c r="F136" t="str">
        <f>VLOOKUP(A136,'Cleanup TMS'!$A$2:$CP$260,94)</f>
        <v>NOT CONGESTED</v>
      </c>
      <c r="G136" t="b">
        <f t="shared" si="2"/>
        <v>1</v>
      </c>
      <c r="H136">
        <f>VLOOKUP($A136,'2021 Congestions'!$A$2:$E$257,3)</f>
        <v>5617</v>
      </c>
      <c r="I136">
        <f>VLOOKUP(A136,'Cleanup TMS'!$A$2:$CP$260,42)</f>
        <v>6286</v>
      </c>
      <c r="J136">
        <f>VLOOKUP($A136,'2021 Congestions'!$A$2:$E$257,4)</f>
        <v>0.01</v>
      </c>
      <c r="K136">
        <f>VLOOKUP(A136,'Cleanup TMS'!$A$2:$CP$260,61)</f>
        <v>2.5000000000000001E-2</v>
      </c>
      <c r="L136">
        <f>VLOOKUP($A136,'2021 Congestions'!$A$2:$E$257,5)</f>
        <v>0.25</v>
      </c>
      <c r="M136">
        <f>VLOOKUP(A136,'Cleanup TMS'!$A$2:$CP$260,57)</f>
        <v>0.27</v>
      </c>
    </row>
    <row r="137" spans="1:14" hidden="1">
      <c r="A137" s="1">
        <v>3555130</v>
      </c>
      <c r="B137" t="s">
        <v>728</v>
      </c>
      <c r="C137" t="s">
        <v>87</v>
      </c>
      <c r="D137" t="s">
        <v>98</v>
      </c>
      <c r="E137" t="str">
        <f>VLOOKUP(A137,'2021 Congestions'!$A$2:$E$257,2)</f>
        <v>NOT CONGESTED</v>
      </c>
      <c r="F137" t="str">
        <f>VLOOKUP(A137,'Cleanup TMS'!$A$2:$CP$260,94)</f>
        <v>NOT CONGESTED</v>
      </c>
      <c r="G137" t="b">
        <f t="shared" si="2"/>
        <v>1</v>
      </c>
      <c r="H137">
        <f>VLOOKUP($A137,'2021 Congestions'!$A$2:$E$257,3)</f>
        <v>7392.5999999999767</v>
      </c>
      <c r="I137">
        <f>VLOOKUP(A137,'Cleanup TMS'!$A$2:$CP$260,42)</f>
        <v>7397.5799999999581</v>
      </c>
      <c r="J137">
        <f>VLOOKUP($A137,'2021 Congestions'!$A$2:$E$257,4)</f>
        <v>0.01</v>
      </c>
      <c r="K137">
        <f>VLOOKUP(A137,'Cleanup TMS'!$A$2:$CP$260,61)</f>
        <v>0.01</v>
      </c>
      <c r="L137">
        <f>VLOOKUP($A137,'2021 Congestions'!$A$2:$E$257,5)</f>
        <v>0.19</v>
      </c>
      <c r="M137">
        <f>VLOOKUP(A137,'Cleanup TMS'!$A$2:$CP$260,57)</f>
        <v>0.19</v>
      </c>
    </row>
    <row r="138" spans="1:14" hidden="1">
      <c r="A138" s="1">
        <v>3556100</v>
      </c>
      <c r="B138" t="s">
        <v>728</v>
      </c>
      <c r="C138" t="s">
        <v>715</v>
      </c>
      <c r="D138" t="s">
        <v>96</v>
      </c>
      <c r="E138" t="str">
        <f>VLOOKUP(A138,'2021 Congestions'!$A$2:$E$257,2)</f>
        <v>NOT CONGESTED</v>
      </c>
      <c r="F138" t="str">
        <f>VLOOKUP(A138,'Cleanup TMS'!$A$2:$CP$260,94)</f>
        <v>NOT CONGESTED</v>
      </c>
      <c r="G138" t="b">
        <f t="shared" si="2"/>
        <v>1</v>
      </c>
      <c r="H138">
        <f>VLOOKUP($A138,'2021 Congestions'!$A$2:$E$257,3)</f>
        <v>3722</v>
      </c>
      <c r="I138">
        <f>VLOOKUP(A138,'Cleanup TMS'!$A$2:$CP$260,42)</f>
        <v>5600</v>
      </c>
      <c r="J138">
        <f>VLOOKUP($A138,'2021 Congestions'!$A$2:$E$257,4)</f>
        <v>0.01</v>
      </c>
      <c r="K138">
        <f>VLOOKUP(A138,'Cleanup TMS'!$A$2:$CP$260,61)</f>
        <v>1.2500000000000001E-2</v>
      </c>
      <c r="L138">
        <f>VLOOKUP($A138,'2021 Congestions'!$A$2:$E$257,5)</f>
        <v>0.17</v>
      </c>
      <c r="M138">
        <f>VLOOKUP(A138,'Cleanup TMS'!$A$2:$CP$260,57)</f>
        <v>0.25</v>
      </c>
    </row>
    <row r="139" spans="1:14" hidden="1">
      <c r="A139" s="1">
        <v>3556110</v>
      </c>
      <c r="B139" t="s">
        <v>728</v>
      </c>
      <c r="C139" t="s">
        <v>96</v>
      </c>
      <c r="D139" t="s">
        <v>56</v>
      </c>
      <c r="E139" t="str">
        <f>VLOOKUP(A139,'2021 Congestions'!$A$2:$E$257,2)</f>
        <v>NOT CONGESTED</v>
      </c>
      <c r="F139" t="str">
        <f>VLOOKUP(A139,'Cleanup TMS'!$A$2:$CP$260,94)</f>
        <v>NOT CONGESTED</v>
      </c>
      <c r="G139" t="b">
        <f t="shared" si="2"/>
        <v>1</v>
      </c>
      <c r="H139">
        <f>VLOOKUP($A139,'2021 Congestions'!$A$2:$E$257,3)</f>
        <v>3426</v>
      </c>
      <c r="I139">
        <f>VLOOKUP(A139,'Cleanup TMS'!$A$2:$CP$260,42)</f>
        <v>4221</v>
      </c>
      <c r="J139">
        <f>VLOOKUP($A139,'2021 Congestions'!$A$2:$E$257,4)</f>
        <v>5.7500000000000002E-2</v>
      </c>
      <c r="K139">
        <f>VLOOKUP(A139,'Cleanup TMS'!$A$2:$CP$260,61)</f>
        <v>0.02</v>
      </c>
      <c r="L139">
        <f>VLOOKUP($A139,'2021 Congestions'!$A$2:$E$257,5)</f>
        <v>0.16</v>
      </c>
      <c r="M139">
        <f>VLOOKUP(A139,'Cleanup TMS'!$A$2:$CP$260,57)</f>
        <v>0.19</v>
      </c>
    </row>
    <row r="140" spans="1:14" hidden="1">
      <c r="A140" s="1">
        <v>3557110</v>
      </c>
      <c r="B140" t="s">
        <v>744</v>
      </c>
      <c r="C140" t="s">
        <v>40</v>
      </c>
      <c r="D140" t="s">
        <v>58</v>
      </c>
      <c r="E140" t="str">
        <f>VLOOKUP(A140,'2021 Congestions'!$A$2:$E$257,2)</f>
        <v>NOT CONGESTED</v>
      </c>
      <c r="F140" t="str">
        <f>VLOOKUP(A140,'Cleanup TMS'!$A$2:$CP$260,94)</f>
        <v>NOT CONGESTED</v>
      </c>
      <c r="G140" t="b">
        <f t="shared" si="2"/>
        <v>1</v>
      </c>
      <c r="H140">
        <f>VLOOKUP($A140,'2021 Congestions'!$A$2:$E$257,3)</f>
        <v>9252</v>
      </c>
      <c r="I140">
        <f>VLOOKUP(A140,'Cleanup TMS'!$A$2:$CP$260,42)</f>
        <v>11776</v>
      </c>
      <c r="J140">
        <f>VLOOKUP($A140,'2021 Congestions'!$A$2:$E$257,4)</f>
        <v>8.2500000000000004E-2</v>
      </c>
      <c r="K140">
        <f>VLOOKUP(A140,'Cleanup TMS'!$A$2:$CP$260,61)</f>
        <v>5.7500000000000002E-2</v>
      </c>
      <c r="L140">
        <f>VLOOKUP($A140,'2021 Congestions'!$A$2:$E$257,5)</f>
        <v>0.33</v>
      </c>
      <c r="M140">
        <f>VLOOKUP(A140,'Cleanup TMS'!$A$2:$CP$260,57)</f>
        <v>0.4</v>
      </c>
    </row>
    <row r="141" spans="1:14" hidden="1">
      <c r="A141" s="1">
        <v>3557120</v>
      </c>
      <c r="B141" t="s">
        <v>744</v>
      </c>
      <c r="C141" t="s">
        <v>58</v>
      </c>
      <c r="D141" t="s">
        <v>59</v>
      </c>
      <c r="E141" t="str">
        <f>VLOOKUP(A141,'2021 Congestions'!$A$2:$E$257,2)</f>
        <v>NOT CONGESTED</v>
      </c>
      <c r="F141" t="str">
        <f>VLOOKUP(A141,'Cleanup TMS'!$A$2:$CP$260,94)</f>
        <v>NOT CONGESTED</v>
      </c>
      <c r="G141" t="b">
        <f t="shared" si="2"/>
        <v>1</v>
      </c>
      <c r="H141">
        <f>VLOOKUP($A141,'2021 Congestions'!$A$2:$E$257,3)</f>
        <v>13647.899999999907</v>
      </c>
      <c r="I141">
        <f>VLOOKUP(A141,'Cleanup TMS'!$A$2:$CP$260,42)</f>
        <v>15106.620000000112</v>
      </c>
      <c r="J141">
        <f>VLOOKUP($A141,'2021 Congestions'!$A$2:$E$257,4)</f>
        <v>0.10250000000000001</v>
      </c>
      <c r="K141">
        <f>VLOOKUP(A141,'Cleanup TMS'!$A$2:$CP$260,61)</f>
        <v>7.7499999999999999E-2</v>
      </c>
      <c r="L141">
        <f>VLOOKUP($A141,'2021 Congestions'!$A$2:$E$257,5)</f>
        <v>0.39</v>
      </c>
      <c r="M141">
        <f>VLOOKUP(A141,'Cleanup TMS'!$A$2:$CP$260,57)</f>
        <v>0.39</v>
      </c>
    </row>
    <row r="142" spans="1:14" hidden="1">
      <c r="A142" s="1">
        <v>3557130</v>
      </c>
      <c r="B142" t="s">
        <v>763</v>
      </c>
      <c r="C142" t="s">
        <v>59</v>
      </c>
      <c r="D142" t="s">
        <v>60</v>
      </c>
      <c r="E142" t="str">
        <f>VLOOKUP(A142,'2021 Congestions'!$A$2:$E$257,2)</f>
        <v>NOT CONGESTED</v>
      </c>
      <c r="F142" t="str">
        <f>VLOOKUP(A142,'Cleanup TMS'!$A$2:$CP$260,94)</f>
        <v>NOT CONGESTED</v>
      </c>
      <c r="G142" t="b">
        <f t="shared" si="2"/>
        <v>1</v>
      </c>
      <c r="H142">
        <f>VLOOKUP($A142,'2021 Congestions'!$A$2:$E$257,3)</f>
        <v>11047</v>
      </c>
      <c r="I142">
        <f>VLOOKUP(A142,'Cleanup TMS'!$A$2:$CP$260,42)</f>
        <v>24291</v>
      </c>
      <c r="J142">
        <f>VLOOKUP($A142,'2021 Congestions'!$A$2:$E$257,4)</f>
        <v>0.06</v>
      </c>
      <c r="K142">
        <f>VLOOKUP(A142,'Cleanup TMS'!$A$2:$CP$260,61)</f>
        <v>0.02</v>
      </c>
      <c r="L142">
        <f>VLOOKUP($A142,'2021 Congestions'!$A$2:$E$257,5)</f>
        <v>0.35</v>
      </c>
      <c r="M142">
        <f>VLOOKUP(A142,'Cleanup TMS'!$A$2:$CP$260,57)</f>
        <v>0.73</v>
      </c>
      <c r="N142" t="s">
        <v>892</v>
      </c>
    </row>
    <row r="143" spans="1:14" hidden="1">
      <c r="A143" s="1">
        <v>3557140</v>
      </c>
      <c r="B143" t="s">
        <v>744</v>
      </c>
      <c r="C143" t="s">
        <v>60</v>
      </c>
      <c r="D143" t="s">
        <v>23</v>
      </c>
      <c r="E143" t="str">
        <f>VLOOKUP(A143,'2021 Congestions'!$A$2:$E$257,2)</f>
        <v>NOT CONGESTED</v>
      </c>
      <c r="F143" t="str">
        <f>VLOOKUP(A143,'Cleanup TMS'!$A$2:$CP$260,94)</f>
        <v>NOT CONGESTED</v>
      </c>
      <c r="G143" t="b">
        <f t="shared" si="2"/>
        <v>1</v>
      </c>
      <c r="H143">
        <f>VLOOKUP($A143,'2021 Congestions'!$A$2:$E$257,3)</f>
        <v>12506</v>
      </c>
      <c r="I143">
        <f>VLOOKUP(A143,'Cleanup TMS'!$A$2:$CP$260,42)</f>
        <v>24892</v>
      </c>
      <c r="J143">
        <f>VLOOKUP($A143,'2021 Congestions'!$A$2:$E$257,4)</f>
        <v>5.2499999999999998E-2</v>
      </c>
      <c r="K143">
        <f>VLOOKUP(A143,'Cleanup TMS'!$A$2:$CP$260,61)</f>
        <v>7.0000000000000007E-2</v>
      </c>
      <c r="L143">
        <f>VLOOKUP($A143,'2021 Congestions'!$A$2:$E$257,5)</f>
        <v>0.32</v>
      </c>
      <c r="M143">
        <f>VLOOKUP(A143,'Cleanup TMS'!$A$2:$CP$260,57)</f>
        <v>0.59</v>
      </c>
    </row>
    <row r="144" spans="1:14" hidden="1">
      <c r="A144" s="1">
        <v>3558110</v>
      </c>
      <c r="B144" t="s">
        <v>81</v>
      </c>
      <c r="C144" t="s">
        <v>749</v>
      </c>
      <c r="D144" t="s">
        <v>762</v>
      </c>
      <c r="E144" t="str">
        <f>VLOOKUP(A144,'2021 Congestions'!$A$2:$E$257,2)</f>
        <v>NOT CONGESTED</v>
      </c>
      <c r="F144" t="str">
        <f>VLOOKUP(A144,'Cleanup TMS'!$A$2:$CP$260,94)</f>
        <v>NOT CONGESTED</v>
      </c>
      <c r="G144" t="b">
        <f t="shared" si="2"/>
        <v>1</v>
      </c>
      <c r="H144">
        <f>VLOOKUP($A144,'2021 Congestions'!$A$2:$E$257,3)</f>
        <v>7710</v>
      </c>
      <c r="I144">
        <f>VLOOKUP(A144,'Cleanup TMS'!$A$2:$CP$260,42)</f>
        <v>7631.428571428638</v>
      </c>
      <c r="J144">
        <f>VLOOKUP($A144,'2021 Congestions'!$A$2:$E$257,4)</f>
        <v>5.7500000000000002E-2</v>
      </c>
      <c r="K144">
        <f>VLOOKUP(A144,'Cleanup TMS'!$A$2:$CP$260,61)</f>
        <v>0.01</v>
      </c>
      <c r="L144">
        <f>VLOOKUP($A144,'2021 Congestions'!$A$2:$E$257,5)</f>
        <v>0.33</v>
      </c>
      <c r="M144">
        <f>VLOOKUP(A144,'Cleanup TMS'!$A$2:$CP$260,57)</f>
        <v>0.32</v>
      </c>
    </row>
    <row r="145" spans="1:14" hidden="1">
      <c r="A145" s="1">
        <v>3558120</v>
      </c>
      <c r="B145" t="s">
        <v>81</v>
      </c>
      <c r="C145" t="s">
        <v>750</v>
      </c>
      <c r="D145" t="s">
        <v>145</v>
      </c>
      <c r="E145" t="str">
        <f>VLOOKUP(A145,'2021 Congestions'!$A$2:$E$257,2)</f>
        <v>NOT CONGESTED</v>
      </c>
      <c r="F145" t="str">
        <f>VLOOKUP(A145,'Cleanup TMS'!$A$2:$CP$260,94)</f>
        <v>NOT CONGESTED</v>
      </c>
      <c r="G145" t="b">
        <f t="shared" si="2"/>
        <v>1</v>
      </c>
      <c r="H145">
        <f>VLOOKUP($A145,'2021 Congestions'!$A$2:$E$257,3)</f>
        <v>7940</v>
      </c>
      <c r="I145">
        <f>VLOOKUP(A145,'Cleanup TMS'!$A$2:$CP$260,42)</f>
        <v>7400</v>
      </c>
      <c r="J145">
        <f>VLOOKUP($A145,'2021 Congestions'!$A$2:$E$257,4)</f>
        <v>1.4999999999999999E-2</v>
      </c>
      <c r="K145">
        <f>VLOOKUP(A145,'Cleanup TMS'!$A$2:$CP$260,61)</f>
        <v>0.01</v>
      </c>
      <c r="L145">
        <f>VLOOKUP($A145,'2021 Congestions'!$A$2:$E$257,5)</f>
        <v>0.3</v>
      </c>
      <c r="M145">
        <f>VLOOKUP(A145,'Cleanup TMS'!$A$2:$CP$260,57)</f>
        <v>0.31</v>
      </c>
    </row>
    <row r="146" spans="1:14" hidden="1">
      <c r="A146" s="1">
        <v>3558140</v>
      </c>
      <c r="B146" t="s">
        <v>81</v>
      </c>
      <c r="C146" t="s">
        <v>145</v>
      </c>
      <c r="D146" t="s">
        <v>751</v>
      </c>
      <c r="E146" t="str">
        <f>VLOOKUP(A146,'2021 Congestions'!$A$2:$E$257,2)</f>
        <v>NOT CONGESTED</v>
      </c>
      <c r="F146" t="str">
        <f>VLOOKUP(A146,'Cleanup TMS'!$A$2:$CP$260,94)</f>
        <v>NOT CONGESTED</v>
      </c>
      <c r="G146" t="b">
        <f t="shared" si="2"/>
        <v>1</v>
      </c>
      <c r="H146">
        <f>VLOOKUP($A146,'2021 Congestions'!$A$2:$E$257,3)</f>
        <v>7940</v>
      </c>
      <c r="I146">
        <f>VLOOKUP(A146,'Cleanup TMS'!$A$2:$CP$260,42)</f>
        <v>7400</v>
      </c>
      <c r="J146">
        <f>VLOOKUP($A146,'2021 Congestions'!$A$2:$E$257,4)</f>
        <v>1.4999999999999999E-2</v>
      </c>
      <c r="K146">
        <f>VLOOKUP(A146,'Cleanup TMS'!$A$2:$CP$260,61)</f>
        <v>0.01</v>
      </c>
      <c r="L146">
        <f>VLOOKUP($A146,'2021 Congestions'!$A$2:$E$257,5)</f>
        <v>0.3</v>
      </c>
      <c r="M146">
        <f>VLOOKUP(A146,'Cleanup TMS'!$A$2:$CP$260,57)</f>
        <v>0.31</v>
      </c>
    </row>
    <row r="147" spans="1:14" hidden="1">
      <c r="A147" s="1">
        <v>3558150</v>
      </c>
      <c r="B147" t="s">
        <v>81</v>
      </c>
      <c r="C147" t="s">
        <v>751</v>
      </c>
      <c r="D147" t="s">
        <v>730</v>
      </c>
      <c r="E147" t="str">
        <f>VLOOKUP(A147,'2021 Congestions'!$A$2:$E$257,2)</f>
        <v>NOT CONGESTED</v>
      </c>
      <c r="F147" t="str">
        <f>VLOOKUP(A147,'Cleanup TMS'!$A$2:$CP$260,94)</f>
        <v>NOT CONGESTED</v>
      </c>
      <c r="G147" t="b">
        <f t="shared" si="2"/>
        <v>1</v>
      </c>
      <c r="H147">
        <f>VLOOKUP($A147,'2021 Congestions'!$A$2:$E$257,3)</f>
        <v>6390</v>
      </c>
      <c r="I147">
        <f>VLOOKUP(A147,'Cleanup TMS'!$A$2:$CP$260,42)</f>
        <v>7220</v>
      </c>
      <c r="J147">
        <f>VLOOKUP($A147,'2021 Congestions'!$A$2:$E$257,4)</f>
        <v>1.7500000000000002E-2</v>
      </c>
      <c r="K147">
        <f>VLOOKUP(A147,'Cleanup TMS'!$A$2:$CP$260,61)</f>
        <v>4.7500000000000001E-2</v>
      </c>
      <c r="L147">
        <f>VLOOKUP($A147,'2021 Congestions'!$A$2:$E$257,5)</f>
        <v>0.28000000000000003</v>
      </c>
      <c r="M147">
        <f>VLOOKUP(A147,'Cleanup TMS'!$A$2:$CP$260,57)</f>
        <v>0.28000000000000003</v>
      </c>
    </row>
    <row r="148" spans="1:14" hidden="1">
      <c r="A148" s="1">
        <v>3558170</v>
      </c>
      <c r="B148" t="s">
        <v>81</v>
      </c>
      <c r="C148" t="s">
        <v>62</v>
      </c>
      <c r="D148" t="s">
        <v>120</v>
      </c>
      <c r="E148" t="str">
        <f>VLOOKUP(A148,'2021 Congestions'!$A$2:$E$257,2)</f>
        <v>NOT CONGESTED</v>
      </c>
      <c r="F148" t="str">
        <f>VLOOKUP(A148,'Cleanup TMS'!$A$2:$CP$260,94)</f>
        <v>NOT CONGESTED</v>
      </c>
      <c r="G148" t="b">
        <f t="shared" si="2"/>
        <v>1</v>
      </c>
      <c r="H148">
        <f>VLOOKUP($A148,'2021 Congestions'!$A$2:$E$257,3)</f>
        <v>6525.714285714319</v>
      </c>
      <c r="I148">
        <f>VLOOKUP(A148,'Cleanup TMS'!$A$2:$CP$260,42)</f>
        <v>6250</v>
      </c>
      <c r="J148">
        <f>VLOOKUP($A148,'2021 Congestions'!$A$2:$E$257,4)</f>
        <v>0.04</v>
      </c>
      <c r="K148">
        <f>VLOOKUP(A148,'Cleanup TMS'!$A$2:$CP$260,61)</f>
        <v>2.75E-2</v>
      </c>
      <c r="L148">
        <f>VLOOKUP($A148,'2021 Congestions'!$A$2:$E$257,5)</f>
        <v>0.66</v>
      </c>
      <c r="M148">
        <f>VLOOKUP(A148,'Cleanup TMS'!$A$2:$CP$260,57)</f>
        <v>0.7</v>
      </c>
      <c r="N148" t="s">
        <v>893</v>
      </c>
    </row>
    <row r="149" spans="1:14" hidden="1">
      <c r="A149" s="1">
        <v>3558180</v>
      </c>
      <c r="B149" t="s">
        <v>81</v>
      </c>
      <c r="C149" t="s">
        <v>120</v>
      </c>
      <c r="D149" t="s">
        <v>734</v>
      </c>
      <c r="E149" t="str">
        <f>VLOOKUP(A149,'2021 Congestions'!$A$2:$E$257,2)</f>
        <v>NOT CONGESTED</v>
      </c>
      <c r="F149" t="str">
        <f>VLOOKUP(A149,'Cleanup TMS'!$A$2:$CP$260,94)</f>
        <v>NOT CONGESTED</v>
      </c>
      <c r="G149" t="b">
        <f t="shared" si="2"/>
        <v>1</v>
      </c>
      <c r="H149">
        <f>VLOOKUP($A149,'2021 Congestions'!$A$2:$E$257,3)</f>
        <v>7710</v>
      </c>
      <c r="I149">
        <f>VLOOKUP(A149,'Cleanup TMS'!$A$2:$CP$260,42)</f>
        <v>7631.428571428638</v>
      </c>
      <c r="J149">
        <f>VLOOKUP($A149,'2021 Congestions'!$A$2:$E$257,4)</f>
        <v>5.7500000000000002E-2</v>
      </c>
      <c r="K149">
        <f>VLOOKUP(A149,'Cleanup TMS'!$A$2:$CP$260,61)</f>
        <v>0.01</v>
      </c>
      <c r="L149">
        <f>VLOOKUP($A149,'2021 Congestions'!$A$2:$E$257,5)</f>
        <v>0.33</v>
      </c>
      <c r="M149">
        <f>VLOOKUP(A149,'Cleanup TMS'!$A$2:$CP$260,57)</f>
        <v>0.32</v>
      </c>
    </row>
    <row r="150" spans="1:14" hidden="1">
      <c r="A150" s="1">
        <v>3558190</v>
      </c>
      <c r="B150" t="s">
        <v>81</v>
      </c>
      <c r="C150" t="s">
        <v>734</v>
      </c>
      <c r="D150" t="s">
        <v>749</v>
      </c>
      <c r="E150" t="str">
        <f>VLOOKUP(A150,'2021 Congestions'!$A$2:$E$257,2)</f>
        <v>NOT CONGESTED</v>
      </c>
      <c r="F150" t="str">
        <f>VLOOKUP(A150,'Cleanup TMS'!$A$2:$CP$260,94)</f>
        <v>NOT CONGESTED</v>
      </c>
      <c r="G150" t="b">
        <f t="shared" si="2"/>
        <v>1</v>
      </c>
      <c r="H150">
        <f>VLOOKUP($A150,'2021 Congestions'!$A$2:$E$257,3)</f>
        <v>7710</v>
      </c>
      <c r="I150">
        <f>VLOOKUP(A150,'Cleanup TMS'!$A$2:$CP$260,42)</f>
        <v>7631.428571428638</v>
      </c>
      <c r="J150">
        <f>VLOOKUP($A150,'2021 Congestions'!$A$2:$E$257,4)</f>
        <v>5.7500000000000002E-2</v>
      </c>
      <c r="K150">
        <f>VLOOKUP(A150,'Cleanup TMS'!$A$2:$CP$260,61)</f>
        <v>0.01</v>
      </c>
      <c r="L150">
        <f>VLOOKUP($A150,'2021 Congestions'!$A$2:$E$257,5)</f>
        <v>0.33</v>
      </c>
      <c r="M150">
        <f>VLOOKUP(A150,'Cleanup TMS'!$A$2:$CP$260,57)</f>
        <v>0.32</v>
      </c>
    </row>
    <row r="151" spans="1:14" hidden="1">
      <c r="A151" s="247">
        <v>3559100</v>
      </c>
      <c r="B151" t="s">
        <v>62</v>
      </c>
      <c r="C151" t="s">
        <v>83</v>
      </c>
      <c r="D151" t="s">
        <v>734</v>
      </c>
      <c r="E151" t="str">
        <f>VLOOKUP(A151,'2021 Congestions'!$A$2:$E$257,2)</f>
        <v>NOT CONGESTED</v>
      </c>
      <c r="F151" t="str">
        <f>VLOOKUP(A151,'Cleanup TMS'!$A$2:$CP$260,94)</f>
        <v>NOT CONGESTED</v>
      </c>
      <c r="G151" t="b">
        <f t="shared" si="2"/>
        <v>1</v>
      </c>
      <c r="H151">
        <f>VLOOKUP($A151,'2021 Congestions'!$A$2:$E$257,3)</f>
        <v>6710</v>
      </c>
      <c r="I151">
        <f>VLOOKUP(A151,'Cleanup TMS'!$A$2:$CP$260,42)</f>
        <v>7020</v>
      </c>
      <c r="J151">
        <f>VLOOKUP($A151,'2021 Congestions'!$A$2:$E$257,4)</f>
        <v>0.01</v>
      </c>
      <c r="K151">
        <f>VLOOKUP(A151,'Cleanup TMS'!$A$2:$CP$260,61)</f>
        <v>0.01</v>
      </c>
      <c r="L151">
        <f>VLOOKUP($A151,'2021 Congestions'!$A$2:$E$257,5)</f>
        <v>0.78</v>
      </c>
      <c r="M151">
        <f>VLOOKUP(A151,'Cleanup TMS'!$A$2:$CP$260,57)</f>
        <v>0.64</v>
      </c>
    </row>
    <row r="152" spans="1:14" hidden="1">
      <c r="A152" s="1">
        <v>3559110</v>
      </c>
      <c r="B152" t="s">
        <v>62</v>
      </c>
      <c r="C152" t="s">
        <v>734</v>
      </c>
      <c r="D152" t="s">
        <v>81</v>
      </c>
      <c r="E152" t="str">
        <f>VLOOKUP(A152,'2021 Congestions'!$A$2:$E$257,2)</f>
        <v>NOT CONGESTED</v>
      </c>
      <c r="F152" t="str">
        <f>VLOOKUP(A152,'Cleanup TMS'!$A$2:$CP$260,94)</f>
        <v>NOT CONGESTED</v>
      </c>
      <c r="G152" t="b">
        <f t="shared" si="2"/>
        <v>1</v>
      </c>
      <c r="H152">
        <f>VLOOKUP($A152,'2021 Congestions'!$A$2:$E$257,3)</f>
        <v>6830</v>
      </c>
      <c r="I152">
        <f>VLOOKUP(A152,'Cleanup TMS'!$A$2:$CP$260,42)</f>
        <v>6890</v>
      </c>
      <c r="J152">
        <f>VLOOKUP($A152,'2021 Congestions'!$A$2:$E$257,4)</f>
        <v>0.01</v>
      </c>
      <c r="K152">
        <f>VLOOKUP(A152,'Cleanup TMS'!$A$2:$CP$260,61)</f>
        <v>0.01</v>
      </c>
      <c r="L152">
        <f>VLOOKUP($A152,'2021 Congestions'!$A$2:$E$257,5)</f>
        <v>0.79</v>
      </c>
      <c r="M152">
        <f>VLOOKUP(A152,'Cleanup TMS'!$A$2:$CP$260,57)</f>
        <v>0.77</v>
      </c>
    </row>
    <row r="153" spans="1:14">
      <c r="A153" s="1">
        <v>3560110</v>
      </c>
      <c r="B153" t="s">
        <v>62</v>
      </c>
      <c r="C153" t="s">
        <v>81</v>
      </c>
      <c r="D153" t="s">
        <v>715</v>
      </c>
      <c r="E153" t="str">
        <f>VLOOKUP(A153,'2021 Congestions'!$A$2:$E$257,2)</f>
        <v>APPROACHING CONGESTION</v>
      </c>
      <c r="F153" t="str">
        <f>VLOOKUP(A153,'Cleanup TMS'!$A$2:$CP$260,94)</f>
        <v>NOT CONGESTED</v>
      </c>
      <c r="G153" t="b">
        <f t="shared" si="2"/>
        <v>0</v>
      </c>
      <c r="H153">
        <f>VLOOKUP($A153,'2021 Congestions'!$A$2:$E$257,3)</f>
        <v>7990</v>
      </c>
      <c r="I153">
        <f>VLOOKUP(A153,'Cleanup TMS'!$A$2:$CP$260,42)</f>
        <v>7990</v>
      </c>
      <c r="J153">
        <f>VLOOKUP($A153,'2021 Congestions'!$A$2:$E$257,4)</f>
        <v>1.4999999999999999E-2</v>
      </c>
      <c r="K153">
        <f>VLOOKUP(A153,'Cleanup TMS'!$A$2:$CP$260,61)</f>
        <v>0.01</v>
      </c>
      <c r="L153">
        <f>VLOOKUP($A153,'2021 Congestions'!$A$2:$E$257,5)</f>
        <v>0.92</v>
      </c>
      <c r="M153">
        <f>VLOOKUP(A153,'Cleanup TMS'!$A$2:$CP$260,57)</f>
        <v>0.82</v>
      </c>
      <c r="N153" t="s">
        <v>1151</v>
      </c>
    </row>
    <row r="154" spans="1:14" hidden="1">
      <c r="A154" s="1">
        <v>3560120</v>
      </c>
      <c r="B154" t="s">
        <v>62</v>
      </c>
      <c r="C154" t="s">
        <v>715</v>
      </c>
      <c r="D154" t="s">
        <v>56</v>
      </c>
      <c r="E154" t="str">
        <f>VLOOKUP(A154,'2021 Congestions'!$A$2:$E$257,2)</f>
        <v>CONGESTED (2020)</v>
      </c>
      <c r="F154" t="str">
        <f>VLOOKUP(A154,'Cleanup TMS'!$A$2:$CP$260,94)</f>
        <v>CONGESTED (2020)</v>
      </c>
      <c r="G154" t="b">
        <f t="shared" si="2"/>
        <v>1</v>
      </c>
      <c r="H154">
        <f>VLOOKUP($A154,'2021 Congestions'!$A$2:$E$257,3)</f>
        <v>10730</v>
      </c>
      <c r="I154">
        <f>VLOOKUP(A154,'Cleanup TMS'!$A$2:$CP$260,42)</f>
        <v>10357.142857142899</v>
      </c>
      <c r="J154">
        <f>VLOOKUP($A154,'2021 Congestions'!$A$2:$E$257,4)</f>
        <v>0.03</v>
      </c>
      <c r="K154">
        <f>VLOOKUP(A154,'Cleanup TMS'!$A$2:$CP$260,61)</f>
        <v>0.01</v>
      </c>
      <c r="L154">
        <f>VLOOKUP($A154,'2021 Congestions'!$A$2:$E$257,5)</f>
        <v>1.24</v>
      </c>
      <c r="M154">
        <f>VLOOKUP(A154,'Cleanup TMS'!$A$2:$CP$260,57)</f>
        <v>1.1599999999999999</v>
      </c>
      <c r="N154" t="s">
        <v>891</v>
      </c>
    </row>
    <row r="155" spans="1:14" hidden="1">
      <c r="A155" s="1">
        <v>4000100</v>
      </c>
      <c r="B155" t="s">
        <v>107</v>
      </c>
      <c r="C155" t="s">
        <v>40</v>
      </c>
      <c r="D155" t="s">
        <v>54</v>
      </c>
      <c r="E155" t="str">
        <f>VLOOKUP(A155,'2021 Congestions'!$A$2:$E$257,2)</f>
        <v>NOT CONGESTED</v>
      </c>
      <c r="F155" t="str">
        <f>VLOOKUP(A155,'Cleanup TMS'!$A$2:$CP$260,94)</f>
        <v>NOT CONGESTED</v>
      </c>
      <c r="G155" t="b">
        <f t="shared" si="2"/>
        <v>1</v>
      </c>
      <c r="H155">
        <f>VLOOKUP($A155,'2021 Congestions'!$A$2:$E$257,3)</f>
        <v>1401</v>
      </c>
      <c r="I155">
        <f>VLOOKUP(A155,'Cleanup TMS'!$A$2:$CP$260,42)</f>
        <v>1256</v>
      </c>
      <c r="J155">
        <f>VLOOKUP($A155,'2021 Congestions'!$A$2:$E$257,4)</f>
        <v>0.06</v>
      </c>
      <c r="K155">
        <f>VLOOKUP(A155,'Cleanup TMS'!$A$2:$CP$260,61)</f>
        <v>0.05</v>
      </c>
      <c r="L155">
        <f>VLOOKUP($A155,'2021 Congestions'!$A$2:$E$257,5)</f>
        <v>0.08</v>
      </c>
      <c r="M155">
        <f>VLOOKUP(A155,'Cleanup TMS'!$A$2:$CP$260,57)</f>
        <v>7.0000000000000007E-2</v>
      </c>
    </row>
    <row r="156" spans="1:14" hidden="1">
      <c r="A156" s="1">
        <v>4002000</v>
      </c>
      <c r="B156" t="s">
        <v>54</v>
      </c>
      <c r="C156" t="s">
        <v>106</v>
      </c>
      <c r="D156" t="s">
        <v>107</v>
      </c>
      <c r="E156" t="str">
        <f>VLOOKUP(A156,'2021 Congestions'!$A$2:$E$257,2)</f>
        <v>NOT CONGESTED</v>
      </c>
      <c r="F156" t="str">
        <f>VLOOKUP(A156,'Cleanup TMS'!$A$2:$CP$260,94)</f>
        <v>NOT CONGESTED</v>
      </c>
      <c r="G156" t="b">
        <f t="shared" si="2"/>
        <v>1</v>
      </c>
      <c r="H156">
        <f>VLOOKUP($A156,'2021 Congestions'!$A$2:$E$257,3)</f>
        <v>4555</v>
      </c>
      <c r="I156">
        <f>VLOOKUP(A156,'Cleanup TMS'!$A$2:$CP$260,42)</f>
        <v>4597</v>
      </c>
      <c r="J156">
        <f>VLOOKUP($A156,'2021 Congestions'!$A$2:$E$257,4)</f>
        <v>0.03</v>
      </c>
      <c r="K156">
        <f>VLOOKUP(A156,'Cleanup TMS'!$A$2:$CP$260,61)</f>
        <v>4.2500000000000003E-2</v>
      </c>
      <c r="L156">
        <f>VLOOKUP($A156,'2021 Congestions'!$A$2:$E$257,5)</f>
        <v>0.22</v>
      </c>
      <c r="M156">
        <f>VLOOKUP(A156,'Cleanup TMS'!$A$2:$CP$260,57)</f>
        <v>0.26</v>
      </c>
    </row>
    <row r="157" spans="1:14" hidden="1">
      <c r="A157" s="1">
        <v>4008000</v>
      </c>
      <c r="B157" t="s">
        <v>115</v>
      </c>
      <c r="C157" t="s">
        <v>116</v>
      </c>
      <c r="D157" t="s">
        <v>716</v>
      </c>
      <c r="E157" t="str">
        <f>VLOOKUP(A157,'2021 Congestions'!$A$2:$E$257,2)</f>
        <v>NOT CONGESTED</v>
      </c>
      <c r="F157" t="str">
        <f>VLOOKUP(A157,'Cleanup TMS'!$A$2:$CP$260,94)</f>
        <v>NOT CONGESTED</v>
      </c>
      <c r="G157" t="b">
        <f t="shared" si="2"/>
        <v>1</v>
      </c>
      <c r="H157">
        <f>VLOOKUP($A157,'2021 Congestions'!$A$2:$E$257,3)</f>
        <v>381</v>
      </c>
      <c r="I157">
        <f>VLOOKUP(A157,'Cleanup TMS'!$A$2:$CP$260,42)</f>
        <v>560</v>
      </c>
      <c r="J157">
        <f>VLOOKUP($A157,'2021 Congestions'!$A$2:$E$257,4)</f>
        <v>0.01</v>
      </c>
      <c r="K157">
        <f>VLOOKUP(A157,'Cleanup TMS'!$A$2:$CP$260,61)</f>
        <v>0.05</v>
      </c>
      <c r="L157">
        <f>VLOOKUP($A157,'2021 Congestions'!$A$2:$E$257,5)</f>
        <v>0.04</v>
      </c>
      <c r="M157">
        <f>VLOOKUP(A157,'Cleanup TMS'!$A$2:$CP$260,57)</f>
        <v>7.0000000000000007E-2</v>
      </c>
    </row>
    <row r="158" spans="1:14" hidden="1">
      <c r="A158" s="1">
        <v>4009000</v>
      </c>
      <c r="B158" t="s">
        <v>59</v>
      </c>
      <c r="C158" t="s">
        <v>752</v>
      </c>
      <c r="D158" t="s">
        <v>758</v>
      </c>
      <c r="E158" t="str">
        <f>VLOOKUP(A158,'2021 Congestions'!$A$2:$E$257,2)</f>
        <v>NOT CONGESTED</v>
      </c>
      <c r="F158" t="str">
        <f>VLOOKUP(A158,'Cleanup TMS'!$A$2:$CP$260,94)</f>
        <v>NOT CONGESTED</v>
      </c>
      <c r="G158" t="b">
        <f t="shared" si="2"/>
        <v>1</v>
      </c>
      <c r="H158">
        <f>VLOOKUP($A158,'2021 Congestions'!$A$2:$E$257,3)</f>
        <v>5379</v>
      </c>
      <c r="I158">
        <f>VLOOKUP(A158,'Cleanup TMS'!$A$2:$CP$260,42)</f>
        <v>6079</v>
      </c>
      <c r="J158">
        <f>VLOOKUP($A158,'2021 Congestions'!$A$2:$E$257,4)</f>
        <v>9.7500000000000003E-2</v>
      </c>
      <c r="K158">
        <f>VLOOKUP(A158,'Cleanup TMS'!$A$2:$CP$260,61)</f>
        <v>0.05</v>
      </c>
      <c r="L158">
        <f>VLOOKUP($A158,'2021 Congestions'!$A$2:$E$257,5)</f>
        <v>0.49</v>
      </c>
      <c r="M158">
        <f>VLOOKUP(A158,'Cleanup TMS'!$A$2:$CP$260,57)</f>
        <v>0.47</v>
      </c>
    </row>
    <row r="159" spans="1:14" hidden="1">
      <c r="A159" s="1">
        <v>5000000</v>
      </c>
      <c r="B159" t="s">
        <v>18</v>
      </c>
      <c r="C159" t="s">
        <v>33</v>
      </c>
      <c r="D159" t="s">
        <v>34</v>
      </c>
      <c r="E159" t="str">
        <f>VLOOKUP(A159,'2021 Congestions'!$A$2:$E$257,2)</f>
        <v>NOT CONGESTED</v>
      </c>
      <c r="F159" t="str">
        <f>VLOOKUP(A159,'Cleanup TMS'!$A$2:$CP$260,94)</f>
        <v>NOT CONGESTED</v>
      </c>
      <c r="G159" t="b">
        <f t="shared" si="2"/>
        <v>1</v>
      </c>
      <c r="H159">
        <f>VLOOKUP($A159,'2021 Congestions'!$A$2:$E$257,3)</f>
        <v>15314</v>
      </c>
      <c r="I159">
        <f>VLOOKUP(A159,'Cleanup TMS'!$A$2:$CP$260,42)</f>
        <v>14555</v>
      </c>
      <c r="J159">
        <f>VLOOKUP($A159,'2021 Congestions'!$A$2:$E$257,4)</f>
        <v>0.01</v>
      </c>
      <c r="K159">
        <f>VLOOKUP(A159,'Cleanup TMS'!$A$2:$CP$260,61)</f>
        <v>0.01</v>
      </c>
      <c r="L159">
        <f>VLOOKUP($A159,'2021 Congestions'!$A$2:$E$257,5)</f>
        <v>0.48</v>
      </c>
      <c r="M159">
        <f>VLOOKUP(A159,'Cleanup TMS'!$A$2:$CP$260,57)</f>
        <v>0.48</v>
      </c>
    </row>
    <row r="160" spans="1:14" hidden="1">
      <c r="A160" s="1">
        <v>5000110</v>
      </c>
      <c r="B160" t="s">
        <v>35</v>
      </c>
      <c r="C160" t="s">
        <v>33</v>
      </c>
      <c r="D160" t="s">
        <v>36</v>
      </c>
      <c r="E160" t="str">
        <f>VLOOKUP(A160,'2021 Congestions'!$A$2:$E$257,2)</f>
        <v>NOT CONGESTED</v>
      </c>
      <c r="F160" t="str">
        <f>VLOOKUP(A160,'Cleanup TMS'!$A$2:$CP$260,94)</f>
        <v>NOT CONGESTED</v>
      </c>
      <c r="G160" t="b">
        <f t="shared" si="2"/>
        <v>1</v>
      </c>
      <c r="H160">
        <f>VLOOKUP($A160,'2021 Congestions'!$A$2:$E$257,3)</f>
        <v>10502</v>
      </c>
      <c r="I160">
        <f>VLOOKUP(A160,'Cleanup TMS'!$A$2:$CP$260,42)</f>
        <v>9956</v>
      </c>
      <c r="J160">
        <f>VLOOKUP($A160,'2021 Congestions'!$A$2:$E$257,4)</f>
        <v>0.01</v>
      </c>
      <c r="K160">
        <f>VLOOKUP(A160,'Cleanup TMS'!$A$2:$CP$260,61)</f>
        <v>0.01</v>
      </c>
      <c r="L160">
        <f>VLOOKUP($A160,'2021 Congestions'!$A$2:$E$257,5)</f>
        <v>0.37</v>
      </c>
      <c r="M160">
        <f>VLOOKUP(A160,'Cleanup TMS'!$A$2:$CP$260,57)</f>
        <v>0.37</v>
      </c>
    </row>
    <row r="161" spans="1:14" hidden="1">
      <c r="A161" s="1">
        <v>5000300</v>
      </c>
      <c r="B161" t="s">
        <v>33</v>
      </c>
      <c r="C161" t="s">
        <v>18</v>
      </c>
      <c r="D161" t="s">
        <v>123</v>
      </c>
      <c r="E161" t="str">
        <f>VLOOKUP(A161,'2021 Congestions'!$A$2:$E$257,2)</f>
        <v>NOT CONGESTED</v>
      </c>
      <c r="F161" t="str">
        <f>VLOOKUP(A161,'Cleanup TMS'!$A$2:$CP$260,94)</f>
        <v>NOT CONGESTED</v>
      </c>
      <c r="G161" t="b">
        <f t="shared" si="2"/>
        <v>1</v>
      </c>
      <c r="H161">
        <f>VLOOKUP($A161,'2021 Congestions'!$A$2:$E$257,3)</f>
        <v>16152</v>
      </c>
      <c r="I161">
        <f>VLOOKUP(A161,'Cleanup TMS'!$A$2:$CP$260,42)</f>
        <v>15151</v>
      </c>
      <c r="J161">
        <f>VLOOKUP($A161,'2021 Congestions'!$A$2:$E$257,4)</f>
        <v>0.01</v>
      </c>
      <c r="K161">
        <f>VLOOKUP(A161,'Cleanup TMS'!$A$2:$CP$260,61)</f>
        <v>0.01</v>
      </c>
      <c r="L161">
        <f>VLOOKUP($A161,'2021 Congestions'!$A$2:$E$257,5)</f>
        <v>0.49</v>
      </c>
      <c r="M161">
        <f>VLOOKUP(A161,'Cleanup TMS'!$A$2:$CP$260,57)</f>
        <v>0.52</v>
      </c>
    </row>
    <row r="162" spans="1:14" hidden="1">
      <c r="A162" s="1">
        <v>5000390</v>
      </c>
      <c r="B162" t="s">
        <v>33</v>
      </c>
      <c r="C162" t="s">
        <v>123</v>
      </c>
      <c r="D162" t="s">
        <v>35</v>
      </c>
      <c r="E162" t="str">
        <f>VLOOKUP(A162,'2021 Congestions'!$A$2:$E$257,2)</f>
        <v>NOT CONGESTED</v>
      </c>
      <c r="F162" t="str">
        <f>VLOOKUP(A162,'Cleanup TMS'!$A$2:$CP$260,94)</f>
        <v>NOT CONGESTED</v>
      </c>
      <c r="G162" t="b">
        <f t="shared" si="2"/>
        <v>1</v>
      </c>
      <c r="H162">
        <f>VLOOKUP($A162,'2021 Congestions'!$A$2:$E$257,3)</f>
        <v>18366</v>
      </c>
      <c r="I162">
        <f>VLOOKUP(A162,'Cleanup TMS'!$A$2:$CP$260,42)</f>
        <v>16992</v>
      </c>
      <c r="J162">
        <f>VLOOKUP($A162,'2021 Congestions'!$A$2:$E$257,4)</f>
        <v>0.01</v>
      </c>
      <c r="K162">
        <f>VLOOKUP(A162,'Cleanup TMS'!$A$2:$CP$260,61)</f>
        <v>0.01</v>
      </c>
      <c r="L162">
        <f>VLOOKUP($A162,'2021 Congestions'!$A$2:$E$257,5)</f>
        <v>0.75</v>
      </c>
      <c r="M162">
        <f>VLOOKUP(A162,'Cleanup TMS'!$A$2:$CP$260,57)</f>
        <v>0.56000000000000005</v>
      </c>
    </row>
    <row r="163" spans="1:14" hidden="1">
      <c r="A163" s="1">
        <v>5000420</v>
      </c>
      <c r="B163" t="s">
        <v>22</v>
      </c>
      <c r="C163" t="s">
        <v>126</v>
      </c>
      <c r="D163" t="s">
        <v>33</v>
      </c>
      <c r="E163" t="str">
        <f>VLOOKUP(A163,'2021 Congestions'!$A$2:$E$257,2)</f>
        <v>CONGESTED (2020)</v>
      </c>
      <c r="F163" t="str">
        <f>VLOOKUP(A163,'Cleanup TMS'!$A$2:$CP$260,94)</f>
        <v>CONGESTED (2020)</v>
      </c>
      <c r="G163" t="b">
        <f t="shared" si="2"/>
        <v>1</v>
      </c>
      <c r="H163">
        <f>VLOOKUP($A163,'2021 Congestions'!$A$2:$E$257,3)</f>
        <v>10995</v>
      </c>
      <c r="I163">
        <f>VLOOKUP(A163,'Cleanup TMS'!$A$2:$CP$260,42)</f>
        <v>10260</v>
      </c>
      <c r="J163">
        <f>VLOOKUP($A163,'2021 Congestions'!$A$2:$E$257,4)</f>
        <v>0.01</v>
      </c>
      <c r="K163">
        <f>VLOOKUP(A163,'Cleanup TMS'!$A$2:$CP$260,61)</f>
        <v>0.01</v>
      </c>
      <c r="L163">
        <f>VLOOKUP($A163,'2021 Congestions'!$A$2:$E$257,5)</f>
        <v>0</v>
      </c>
      <c r="M163">
        <f>VLOOKUP(A163,'Cleanup TMS'!$A$2:$CP$260,57)</f>
        <v>0</v>
      </c>
    </row>
    <row r="164" spans="1:14" hidden="1">
      <c r="A164" s="1">
        <v>5000430</v>
      </c>
      <c r="B164" t="s">
        <v>22</v>
      </c>
      <c r="C164" t="s">
        <v>716</v>
      </c>
      <c r="D164" t="s">
        <v>126</v>
      </c>
      <c r="E164" t="str">
        <f>VLOOKUP(A164,'2021 Congestions'!$A$2:$E$257,2)</f>
        <v>EXTREMELY (2020)</v>
      </c>
      <c r="F164" t="str">
        <f>VLOOKUP(A164,'Cleanup TMS'!$A$2:$CP$260,94)</f>
        <v>EXTREMELY (2020)</v>
      </c>
      <c r="G164" t="b">
        <f t="shared" si="2"/>
        <v>1</v>
      </c>
      <c r="H164">
        <f>VLOOKUP($A164,'2021 Congestions'!$A$2:$E$257,3)</f>
        <v>19318</v>
      </c>
      <c r="I164">
        <f>VLOOKUP(A164,'Cleanup TMS'!$A$2:$CP$260,42)</f>
        <v>16966</v>
      </c>
      <c r="J164">
        <f>VLOOKUP($A164,'2021 Congestions'!$A$2:$E$257,4)</f>
        <v>0.01</v>
      </c>
      <c r="K164">
        <f>VLOOKUP(A164,'Cleanup TMS'!$A$2:$CP$260,61)</f>
        <v>0.01</v>
      </c>
      <c r="L164">
        <f>VLOOKUP($A164,'2021 Congestions'!$A$2:$E$257,5)</f>
        <v>0</v>
      </c>
      <c r="M164">
        <f>VLOOKUP(A164,'Cleanup TMS'!$A$2:$CP$260,57)</f>
        <v>0</v>
      </c>
    </row>
    <row r="165" spans="1:14" hidden="1">
      <c r="A165" s="1">
        <v>5000500</v>
      </c>
      <c r="B165" t="s">
        <v>126</v>
      </c>
      <c r="C165" t="s">
        <v>22</v>
      </c>
      <c r="D165" t="s">
        <v>56</v>
      </c>
      <c r="E165" t="str">
        <f>VLOOKUP(A165,'2021 Congestions'!$A$2:$E$257,2)</f>
        <v>NOT CONGESTED</v>
      </c>
      <c r="F165" t="str">
        <f>VLOOKUP(A165,'Cleanup TMS'!$A$2:$CP$260,94)</f>
        <v>NOT CONGESTED</v>
      </c>
      <c r="G165" t="b">
        <f t="shared" si="2"/>
        <v>1</v>
      </c>
      <c r="H165">
        <f>VLOOKUP($A165,'2021 Congestions'!$A$2:$E$257,3)</f>
        <v>7558</v>
      </c>
      <c r="I165">
        <f>VLOOKUP(A165,'Cleanup TMS'!$A$2:$CP$260,42)</f>
        <v>7804</v>
      </c>
      <c r="J165">
        <f>VLOOKUP($A165,'2021 Congestions'!$A$2:$E$257,4)</f>
        <v>0.01</v>
      </c>
      <c r="K165">
        <f>VLOOKUP(A165,'Cleanup TMS'!$A$2:$CP$260,61)</f>
        <v>0.01</v>
      </c>
      <c r="L165">
        <f>VLOOKUP($A165,'2021 Congestions'!$A$2:$E$257,5)</f>
        <v>0.7</v>
      </c>
      <c r="M165">
        <f>VLOOKUP(A165,'Cleanup TMS'!$A$2:$CP$260,57)</f>
        <v>0.8</v>
      </c>
      <c r="N165" t="s">
        <v>890</v>
      </c>
    </row>
    <row r="166" spans="1:14">
      <c r="A166" s="1">
        <v>5000700</v>
      </c>
      <c r="B166" t="s">
        <v>231</v>
      </c>
      <c r="C166" t="s">
        <v>22</v>
      </c>
      <c r="D166" t="s">
        <v>56</v>
      </c>
      <c r="E166" t="str">
        <f>VLOOKUP(A166,'2021 Congestions'!$A$2:$E$257,2)</f>
        <v>APPROACHING CONGESTION</v>
      </c>
      <c r="F166" t="str">
        <f>VLOOKUP(A166,'Cleanup TMS'!$A$2:$CP$260,94)</f>
        <v>NOT CONGESTED</v>
      </c>
      <c r="G166" t="b">
        <f t="shared" si="2"/>
        <v>0</v>
      </c>
      <c r="H166">
        <f>VLOOKUP($A166,'2021 Congestions'!$A$2:$E$257,3)</f>
        <v>13110</v>
      </c>
      <c r="I166">
        <f>VLOOKUP(A166,'Cleanup TMS'!$A$2:$CP$260,42)</f>
        <v>11224</v>
      </c>
      <c r="J166">
        <f>VLOOKUP($A166,'2021 Congestions'!$A$2:$E$257,4)</f>
        <v>0.01</v>
      </c>
      <c r="K166">
        <f>VLOOKUP(A166,'Cleanup TMS'!$A$2:$CP$260,61)</f>
        <v>0.01</v>
      </c>
      <c r="L166">
        <f>VLOOKUP($A166,'2021 Congestions'!$A$2:$E$257,5)</f>
        <v>0.85</v>
      </c>
      <c r="M166">
        <f>VLOOKUP(A166,'Cleanup TMS'!$A$2:$CP$260,57)</f>
        <v>0.77</v>
      </c>
      <c r="N166" t="s">
        <v>1151</v>
      </c>
    </row>
    <row r="167" spans="1:14" hidden="1">
      <c r="A167" s="1">
        <v>5999990</v>
      </c>
      <c r="B167" t="s">
        <v>33</v>
      </c>
      <c r="C167" t="s">
        <v>35</v>
      </c>
      <c r="D167" t="s">
        <v>768</v>
      </c>
      <c r="E167" t="str">
        <f>VLOOKUP(A167,'2021 Congestions'!$A$2:$E$257,2)</f>
        <v>NOT CONGESTED</v>
      </c>
      <c r="F167" t="str">
        <f>VLOOKUP(A167,'Cleanup TMS'!$A$2:$CP$260,94)</f>
        <v>NOT CONGESTED</v>
      </c>
      <c r="G167" t="b">
        <f t="shared" si="2"/>
        <v>1</v>
      </c>
      <c r="H167">
        <f>VLOOKUP($A167,'2021 Congestions'!$A$2:$E$257,3)</f>
        <v>12419</v>
      </c>
      <c r="I167">
        <f>VLOOKUP(A167,'Cleanup TMS'!$A$2:$CP$260,42)</f>
        <v>11556</v>
      </c>
      <c r="J167">
        <f>VLOOKUP($A167,'2021 Congestions'!$A$2:$E$257,4)</f>
        <v>0.01</v>
      </c>
      <c r="K167">
        <f>VLOOKUP(A167,'Cleanup TMS'!$A$2:$CP$260,61)</f>
        <v>0.01</v>
      </c>
      <c r="L167">
        <f>VLOOKUP($A167,'2021 Congestions'!$A$2:$E$257,5)</f>
        <v>0.41</v>
      </c>
      <c r="M167">
        <f>VLOOKUP(A167,'Cleanup TMS'!$A$2:$CP$260,57)</f>
        <v>0.39</v>
      </c>
    </row>
    <row r="168" spans="1:14" hidden="1">
      <c r="A168" s="2">
        <v>6000001</v>
      </c>
      <c r="B168" t="s">
        <v>767</v>
      </c>
      <c r="C168" t="s">
        <v>23</v>
      </c>
      <c r="D168" t="s">
        <v>541</v>
      </c>
      <c r="E168" t="str">
        <f>VLOOKUP(A168,'2021 Congestions'!$A$2:$E$257,2)</f>
        <v>NOT CONGESTED</v>
      </c>
      <c r="F168" t="str">
        <f>VLOOKUP(A168,'Cleanup TMS'!$A$2:$CP$260,94)</f>
        <v>NOT CONGESTED</v>
      </c>
      <c r="G168" t="b">
        <f t="shared" si="2"/>
        <v>1</v>
      </c>
      <c r="H168">
        <f>VLOOKUP($A168,'2021 Congestions'!$A$2:$E$257,3)</f>
        <v>12814</v>
      </c>
      <c r="I168">
        <f>VLOOKUP(A168,'Cleanup TMS'!$A$2:$CP$260,42)</f>
        <v>16624</v>
      </c>
      <c r="J168">
        <f>VLOOKUP($A168,'2021 Congestions'!$A$2:$E$257,4)</f>
        <v>0.1075</v>
      </c>
      <c r="K168">
        <f>VLOOKUP(A168,'Cleanup TMS'!$A$2:$CP$260,61)</f>
        <v>8.7500000000000008E-2</v>
      </c>
      <c r="L168">
        <f>VLOOKUP($A168,'2021 Congestions'!$A$2:$E$257,5)</f>
        <v>0.37</v>
      </c>
      <c r="M168">
        <f>VLOOKUP(A168,'Cleanup TMS'!$A$2:$CP$260,57)</f>
        <v>0.43</v>
      </c>
    </row>
    <row r="169" spans="1:14" hidden="1">
      <c r="A169" s="2">
        <v>6000002</v>
      </c>
      <c r="B169" t="s">
        <v>767</v>
      </c>
      <c r="C169" t="s">
        <v>541</v>
      </c>
      <c r="D169" t="s">
        <v>683</v>
      </c>
      <c r="E169" t="str">
        <f>VLOOKUP(A169,'2021 Congestions'!$A$2:$E$257,2)</f>
        <v>NOT CONGESTED</v>
      </c>
      <c r="F169" t="str">
        <f>VLOOKUP(A169,'Cleanup TMS'!$A$2:$CP$260,94)</f>
        <v>NOT CONGESTED</v>
      </c>
      <c r="G169" t="b">
        <f t="shared" si="2"/>
        <v>1</v>
      </c>
      <c r="H169">
        <f>VLOOKUP($A169,'2021 Congestions'!$A$2:$E$257,3)</f>
        <v>14776</v>
      </c>
      <c r="I169">
        <f>VLOOKUP(A169,'Cleanup TMS'!$A$2:$CP$260,42)</f>
        <v>19101</v>
      </c>
      <c r="J169">
        <f>VLOOKUP($A169,'2021 Congestions'!$A$2:$E$257,4)</f>
        <v>0.05</v>
      </c>
      <c r="K169">
        <f>VLOOKUP(A169,'Cleanup TMS'!$A$2:$CP$260,61)</f>
        <v>5.2499999999999998E-2</v>
      </c>
      <c r="L169">
        <f>VLOOKUP($A169,'2021 Congestions'!$A$2:$E$257,5)</f>
        <v>0.4</v>
      </c>
      <c r="M169">
        <f>VLOOKUP(A169,'Cleanup TMS'!$A$2:$CP$260,57)</f>
        <v>0.52</v>
      </c>
    </row>
    <row r="170" spans="1:14" hidden="1">
      <c r="A170" s="2">
        <v>6000003</v>
      </c>
      <c r="B170" t="s">
        <v>55</v>
      </c>
      <c r="C170" t="s">
        <v>683</v>
      </c>
      <c r="D170" t="s">
        <v>684</v>
      </c>
      <c r="E170" t="str">
        <f>VLOOKUP(A170,'2021 Congestions'!$A$2:$E$257,2)</f>
        <v>NOT CONGESTED</v>
      </c>
      <c r="F170" t="str">
        <f>VLOOKUP(A170,'Cleanup TMS'!$A$2:$CP$260,94)</f>
        <v>NOT CONGESTED</v>
      </c>
      <c r="G170" t="b">
        <f t="shared" si="2"/>
        <v>1</v>
      </c>
      <c r="H170">
        <f>VLOOKUP($A170,'2021 Congestions'!$A$2:$E$257,3)</f>
        <v>13428</v>
      </c>
      <c r="I170">
        <f>VLOOKUP(A170,'Cleanup TMS'!$A$2:$CP$260,42)</f>
        <v>16973</v>
      </c>
      <c r="J170">
        <f>VLOOKUP($A170,'2021 Congestions'!$A$2:$E$257,4)</f>
        <v>5.5E-2</v>
      </c>
      <c r="K170">
        <f>VLOOKUP(A170,'Cleanup TMS'!$A$2:$CP$260,61)</f>
        <v>4.2500000000000003E-2</v>
      </c>
      <c r="L170">
        <f>VLOOKUP($A170,'2021 Congestions'!$A$2:$E$257,5)</f>
        <v>0.46</v>
      </c>
      <c r="M170">
        <f>VLOOKUP(A170,'Cleanup TMS'!$A$2:$CP$260,57)</f>
        <v>0.56000000000000005</v>
      </c>
    </row>
    <row r="171" spans="1:14" hidden="1">
      <c r="A171" s="2">
        <v>6000004</v>
      </c>
      <c r="B171" t="s">
        <v>55</v>
      </c>
      <c r="C171" t="s">
        <v>684</v>
      </c>
      <c r="D171" t="s">
        <v>727</v>
      </c>
      <c r="E171" t="str">
        <f>VLOOKUP(A171,'2021 Congestions'!$A$2:$E$257,2)</f>
        <v>NOT CONGESTED</v>
      </c>
      <c r="F171" t="str">
        <f>VLOOKUP(A171,'Cleanup TMS'!$A$2:$CP$260,94)</f>
        <v>NOT CONGESTED</v>
      </c>
      <c r="G171" t="b">
        <f t="shared" si="2"/>
        <v>1</v>
      </c>
      <c r="H171">
        <f>VLOOKUP($A171,'2021 Congestions'!$A$2:$E$257,3)</f>
        <v>15670</v>
      </c>
      <c r="I171">
        <f>VLOOKUP(A171,'Cleanup TMS'!$A$2:$CP$260,42)</f>
        <v>17949</v>
      </c>
      <c r="J171">
        <f>VLOOKUP($A171,'2021 Congestions'!$A$2:$E$257,4)</f>
        <v>0.01</v>
      </c>
      <c r="K171">
        <f>VLOOKUP(A171,'Cleanup TMS'!$A$2:$CP$260,61)</f>
        <v>0.01</v>
      </c>
      <c r="L171">
        <f>VLOOKUP($A171,'2021 Congestions'!$A$2:$E$257,5)</f>
        <v>0.52</v>
      </c>
      <c r="M171">
        <f>VLOOKUP(A171,'Cleanup TMS'!$A$2:$CP$260,57)</f>
        <v>0.61</v>
      </c>
    </row>
    <row r="172" spans="1:14" hidden="1">
      <c r="A172" s="1">
        <v>6000005</v>
      </c>
      <c r="B172" t="s">
        <v>18</v>
      </c>
      <c r="C172" t="s">
        <v>727</v>
      </c>
      <c r="D172" t="s">
        <v>28</v>
      </c>
      <c r="E172" t="str">
        <f>VLOOKUP(A172,'2021 Congestions'!$A$2:$E$257,2)</f>
        <v>NOT CONGESTED</v>
      </c>
      <c r="F172" t="str">
        <f>VLOOKUP(A172,'Cleanup TMS'!$A$2:$CP$260,94)</f>
        <v>NOT CONGESTED</v>
      </c>
      <c r="G172" t="b">
        <f t="shared" si="2"/>
        <v>1</v>
      </c>
      <c r="H172">
        <f>VLOOKUP($A172,'2021 Congestions'!$A$2:$E$257,3)</f>
        <v>21052</v>
      </c>
      <c r="I172">
        <f>VLOOKUP(A172,'Cleanup TMS'!$A$2:$CP$260,42)</f>
        <v>22158</v>
      </c>
      <c r="J172">
        <f>VLOOKUP($A172,'2021 Congestions'!$A$2:$E$257,4)</f>
        <v>2.75E-2</v>
      </c>
      <c r="K172">
        <f>VLOOKUP(A172,'Cleanup TMS'!$A$2:$CP$260,61)</f>
        <v>1.2500000000000001E-2</v>
      </c>
      <c r="L172">
        <f>VLOOKUP($A172,'2021 Congestions'!$A$2:$E$257,5)</f>
        <v>0.7</v>
      </c>
      <c r="M172">
        <f>VLOOKUP(A172,'Cleanup TMS'!$A$2:$CP$260,57)</f>
        <v>0.76</v>
      </c>
      <c r="N172" t="s">
        <v>893</v>
      </c>
    </row>
    <row r="173" spans="1:14" hidden="1">
      <c r="A173" s="1">
        <v>6000010</v>
      </c>
      <c r="B173" t="s">
        <v>18</v>
      </c>
      <c r="C173" t="s">
        <v>712</v>
      </c>
      <c r="D173" t="s">
        <v>727</v>
      </c>
      <c r="E173" t="str">
        <f>VLOOKUP(A173,'2021 Congestions'!$A$2:$E$257,2)</f>
        <v>NOT CONGESTED</v>
      </c>
      <c r="F173" t="str">
        <f>VLOOKUP(A173,'Cleanup TMS'!$A$2:$CP$260,94)</f>
        <v>NOT CONGESTED</v>
      </c>
      <c r="G173" t="b">
        <f t="shared" si="2"/>
        <v>1</v>
      </c>
      <c r="H173">
        <f>VLOOKUP($A173,'2021 Congestions'!$A$2:$E$257,3)</f>
        <v>5884</v>
      </c>
      <c r="I173">
        <f>VLOOKUP(A173,'Cleanup TMS'!$A$2:$CP$260,42)</f>
        <v>6714</v>
      </c>
      <c r="J173">
        <f>VLOOKUP($A173,'2021 Congestions'!$A$2:$E$257,4)</f>
        <v>6.7500000000000004E-2</v>
      </c>
      <c r="K173">
        <f>VLOOKUP(A173,'Cleanup TMS'!$A$2:$CP$260,61)</f>
        <v>7.4999999999999997E-2</v>
      </c>
      <c r="L173">
        <f>VLOOKUP($A173,'2021 Congestions'!$A$2:$E$257,5)</f>
        <v>0.19</v>
      </c>
      <c r="M173">
        <f>VLOOKUP(A173,'Cleanup TMS'!$A$2:$CP$260,57)</f>
        <v>0.23</v>
      </c>
    </row>
    <row r="174" spans="1:14" hidden="1">
      <c r="A174" s="1">
        <v>6000015</v>
      </c>
      <c r="B174" t="s">
        <v>18</v>
      </c>
      <c r="C174" t="s">
        <v>23</v>
      </c>
      <c r="D174" t="s">
        <v>712</v>
      </c>
      <c r="E174" t="str">
        <f>VLOOKUP(A174,'2021 Congestions'!$A$2:$E$257,2)</f>
        <v>NOT CONGESTED</v>
      </c>
      <c r="F174" t="str">
        <f>VLOOKUP(A174,'Cleanup TMS'!$A$2:$CP$260,94)</f>
        <v>NOT CONGESTED</v>
      </c>
      <c r="G174" t="b">
        <f t="shared" si="2"/>
        <v>1</v>
      </c>
      <c r="H174">
        <f>VLOOKUP($A174,'2021 Congestions'!$A$2:$E$257,3)</f>
        <v>12098</v>
      </c>
      <c r="I174">
        <f>VLOOKUP(A174,'Cleanup TMS'!$A$2:$CP$260,42)</f>
        <v>13948</v>
      </c>
      <c r="J174">
        <f>VLOOKUP($A174,'2021 Congestions'!$A$2:$E$257,4)</f>
        <v>0.01</v>
      </c>
      <c r="K174">
        <f>VLOOKUP(A174,'Cleanup TMS'!$A$2:$CP$260,61)</f>
        <v>0.01</v>
      </c>
      <c r="L174">
        <f>VLOOKUP($A174,'2021 Congestions'!$A$2:$E$257,5)</f>
        <v>0.4</v>
      </c>
      <c r="M174">
        <f>VLOOKUP(A174,'Cleanup TMS'!$A$2:$CP$260,57)</f>
        <v>0.49</v>
      </c>
    </row>
    <row r="175" spans="1:14" hidden="1">
      <c r="A175" s="1">
        <v>6000020</v>
      </c>
      <c r="B175" t="s">
        <v>124</v>
      </c>
      <c r="C175" t="s">
        <v>753</v>
      </c>
      <c r="D175" t="s">
        <v>125</v>
      </c>
      <c r="E175" t="str">
        <f>VLOOKUP(A175,'2021 Congestions'!$A$2:$E$257,2)</f>
        <v/>
      </c>
      <c r="F175" t="str">
        <f>VLOOKUP(A175,'Cleanup TMS'!$A$2:$CP$260,94)</f>
        <v/>
      </c>
      <c r="G175" t="b">
        <f t="shared" si="2"/>
        <v>1</v>
      </c>
      <c r="H175" t="str">
        <f>VLOOKUP($A175,'2021 Congestions'!$A$2:$E$257,3)</f>
        <v>-</v>
      </c>
      <c r="I175" t="str">
        <f>VLOOKUP(A175,'Cleanup TMS'!$A$2:$CP$260,42)</f>
        <v>-</v>
      </c>
      <c r="J175" t="str">
        <f>VLOOKUP($A175,'2021 Congestions'!$A$2:$E$257,4)</f>
        <v/>
      </c>
      <c r="K175" t="str">
        <f>VLOOKUP(A175,'Cleanup TMS'!$A$2:$CP$260,61)</f>
        <v>-</v>
      </c>
      <c r="L175">
        <f>VLOOKUP($A175,'2021 Congestions'!$A$2:$E$257,5)</f>
        <v>0</v>
      </c>
      <c r="M175">
        <f>VLOOKUP(A175,'Cleanup TMS'!$A$2:$CP$260,57)</f>
        <v>0</v>
      </c>
    </row>
    <row r="176" spans="1:14" hidden="1">
      <c r="A176" s="1">
        <v>6000030</v>
      </c>
      <c r="B176" t="s">
        <v>15</v>
      </c>
      <c r="C176" t="s">
        <v>753</v>
      </c>
      <c r="D176" t="s">
        <v>17</v>
      </c>
      <c r="E176" t="str">
        <f>VLOOKUP(A176,'2021 Congestions'!$A$2:$E$257,2)</f>
        <v>NOT CONGESTED</v>
      </c>
      <c r="F176" t="str">
        <f>VLOOKUP(A176,'Cleanup TMS'!$A$2:$CP$260,94)</f>
        <v>NOT CONGESTED</v>
      </c>
      <c r="G176" t="b">
        <f t="shared" si="2"/>
        <v>1</v>
      </c>
      <c r="H176">
        <f>VLOOKUP($A176,'2021 Congestions'!$A$2:$E$257,3)</f>
        <v>9125</v>
      </c>
      <c r="I176">
        <f>VLOOKUP(A176,'Cleanup TMS'!$A$2:$CP$260,42)</f>
        <v>9830</v>
      </c>
      <c r="J176">
        <f>VLOOKUP($A176,'2021 Congestions'!$A$2:$E$257,4)</f>
        <v>1.4999999999999999E-2</v>
      </c>
      <c r="K176">
        <f>VLOOKUP(A176,'Cleanup TMS'!$A$2:$CP$260,61)</f>
        <v>0.01</v>
      </c>
      <c r="L176">
        <f>VLOOKUP($A176,'2021 Congestions'!$A$2:$E$257,5)</f>
        <v>0.8</v>
      </c>
      <c r="M176">
        <f>VLOOKUP(A176,'Cleanup TMS'!$A$2:$CP$260,57)</f>
        <v>0.79</v>
      </c>
    </row>
    <row r="177" spans="1:14" hidden="1">
      <c r="A177" s="1">
        <v>6000035</v>
      </c>
      <c r="B177" t="s">
        <v>15</v>
      </c>
      <c r="C177" t="s">
        <v>17</v>
      </c>
      <c r="D177" t="s">
        <v>18</v>
      </c>
      <c r="E177" t="str">
        <f>VLOOKUP(A177,'2021 Congestions'!$A$2:$E$257,2)</f>
        <v>NOT CONGESTED</v>
      </c>
      <c r="F177" t="str">
        <f>VLOOKUP(A177,'Cleanup TMS'!$A$2:$CP$260,94)</f>
        <v>NOT CONGESTED</v>
      </c>
      <c r="G177" t="b">
        <f t="shared" si="2"/>
        <v>1</v>
      </c>
      <c r="H177">
        <f>VLOOKUP($A177,'2021 Congestions'!$A$2:$E$257,3)</f>
        <v>7571</v>
      </c>
      <c r="I177">
        <f>VLOOKUP(A177,'Cleanup TMS'!$A$2:$CP$260,42)</f>
        <v>7685</v>
      </c>
      <c r="J177">
        <f>VLOOKUP($A177,'2021 Congestions'!$A$2:$E$257,4)</f>
        <v>0.01</v>
      </c>
      <c r="K177">
        <f>VLOOKUP(A177,'Cleanup TMS'!$A$2:$CP$260,61)</f>
        <v>0.01</v>
      </c>
      <c r="L177">
        <f>VLOOKUP($A177,'2021 Congestions'!$A$2:$E$257,5)</f>
        <v>0.62</v>
      </c>
      <c r="M177">
        <f>VLOOKUP(A177,'Cleanup TMS'!$A$2:$CP$260,57)</f>
        <v>0.65</v>
      </c>
    </row>
    <row r="178" spans="1:14" hidden="1">
      <c r="A178" s="1">
        <v>6000045</v>
      </c>
      <c r="B178" t="s">
        <v>19</v>
      </c>
      <c r="C178" t="s">
        <v>20</v>
      </c>
      <c r="D178" t="s">
        <v>22</v>
      </c>
      <c r="E178" t="str">
        <f>VLOOKUP(A178,'2021 Congestions'!$A$2:$E$257,2)</f>
        <v>NOT CONGESTED</v>
      </c>
      <c r="F178" t="str">
        <f>VLOOKUP(A178,'Cleanup TMS'!$A$2:$CP$260,94)</f>
        <v>NOT CONGESTED</v>
      </c>
      <c r="G178" t="b">
        <f t="shared" si="2"/>
        <v>1</v>
      </c>
      <c r="H178">
        <f>VLOOKUP($A178,'2021 Congestions'!$A$2:$E$257,3)</f>
        <v>5554</v>
      </c>
      <c r="I178">
        <f>VLOOKUP(A178,'Cleanup TMS'!$A$2:$CP$260,42)</f>
        <v>5040</v>
      </c>
      <c r="J178">
        <f>VLOOKUP($A178,'2021 Congestions'!$A$2:$E$257,4)</f>
        <v>5.7500000000000002E-2</v>
      </c>
      <c r="K178">
        <f>VLOOKUP(A178,'Cleanup TMS'!$A$2:$CP$260,61)</f>
        <v>6.25E-2</v>
      </c>
      <c r="L178">
        <f>VLOOKUP($A178,'2021 Congestions'!$A$2:$E$257,5)</f>
        <v>0.44</v>
      </c>
      <c r="M178">
        <f>VLOOKUP(A178,'Cleanup TMS'!$A$2:$CP$260,57)</f>
        <v>0.39</v>
      </c>
    </row>
    <row r="179" spans="1:14" hidden="1">
      <c r="A179" s="1">
        <v>6000050</v>
      </c>
      <c r="B179" t="s">
        <v>19</v>
      </c>
      <c r="C179" t="s">
        <v>18</v>
      </c>
      <c r="D179" t="s">
        <v>20</v>
      </c>
      <c r="E179" t="str">
        <f>VLOOKUP(A179,'2021 Congestions'!$A$2:$E$257,2)</f>
        <v>NOT CONGESTED</v>
      </c>
      <c r="F179" t="str">
        <f>VLOOKUP(A179,'Cleanup TMS'!$A$2:$CP$260,94)</f>
        <v>NOT CONGESTED</v>
      </c>
      <c r="G179" t="b">
        <f t="shared" si="2"/>
        <v>1</v>
      </c>
      <c r="H179">
        <f>VLOOKUP($A179,'2021 Congestions'!$A$2:$E$257,3)</f>
        <v>4595</v>
      </c>
      <c r="I179">
        <f>VLOOKUP(A179,'Cleanup TMS'!$A$2:$CP$260,42)</f>
        <v>4689</v>
      </c>
      <c r="J179">
        <f>VLOOKUP($A179,'2021 Congestions'!$A$2:$E$257,4)</f>
        <v>0.01</v>
      </c>
      <c r="K179">
        <f>VLOOKUP(A179,'Cleanup TMS'!$A$2:$CP$260,61)</f>
        <v>2.2499999999999999E-2</v>
      </c>
      <c r="L179">
        <f>VLOOKUP($A179,'2021 Congestions'!$A$2:$E$257,5)</f>
        <v>0.36</v>
      </c>
      <c r="M179">
        <f>VLOOKUP(A179,'Cleanup TMS'!$A$2:$CP$260,57)</f>
        <v>0.36</v>
      </c>
    </row>
    <row r="180" spans="1:14" hidden="1">
      <c r="A180" s="1">
        <v>6000055</v>
      </c>
      <c r="B180" t="s">
        <v>20</v>
      </c>
      <c r="C180" t="s">
        <v>727</v>
      </c>
      <c r="D180" t="s">
        <v>100</v>
      </c>
      <c r="E180" t="str">
        <f>VLOOKUP(A180,'2021 Congestions'!$A$2:$E$257,2)</f>
        <v>NOT CONGESTED</v>
      </c>
      <c r="F180" t="str">
        <f>VLOOKUP(A180,'Cleanup TMS'!$A$2:$CP$260,94)</f>
        <v>NOT CONGESTED</v>
      </c>
      <c r="G180" t="b">
        <f t="shared" si="2"/>
        <v>1</v>
      </c>
      <c r="H180">
        <f>VLOOKUP($A180,'2021 Congestions'!$A$2:$E$257,3)</f>
        <v>3590</v>
      </c>
      <c r="I180">
        <f>VLOOKUP(A180,'Cleanup TMS'!$A$2:$CP$260,42)</f>
        <v>4010</v>
      </c>
      <c r="J180">
        <f>VLOOKUP($A180,'2021 Congestions'!$A$2:$E$257,4)</f>
        <v>0.01</v>
      </c>
      <c r="K180">
        <f>VLOOKUP(A180,'Cleanup TMS'!$A$2:$CP$260,61)</f>
        <v>0.01</v>
      </c>
      <c r="L180">
        <f>VLOOKUP($A180,'2021 Congestions'!$A$2:$E$257,5)</f>
        <v>0.3</v>
      </c>
      <c r="M180">
        <f>VLOOKUP(A180,'Cleanup TMS'!$A$2:$CP$260,57)</f>
        <v>0.32</v>
      </c>
    </row>
    <row r="181" spans="1:14" hidden="1">
      <c r="A181" s="1">
        <v>6000060</v>
      </c>
      <c r="B181" t="s">
        <v>20</v>
      </c>
      <c r="C181" t="s">
        <v>771</v>
      </c>
      <c r="D181" t="s">
        <v>19</v>
      </c>
      <c r="E181" t="str">
        <f>VLOOKUP(A181,'2021 Congestions'!$A$2:$E$257,2)</f>
        <v>NOT CONGESTED</v>
      </c>
      <c r="F181" t="str">
        <f>VLOOKUP(A181,'Cleanup TMS'!$A$2:$CP$260,94)</f>
        <v>NOT CONGESTED</v>
      </c>
      <c r="G181" t="b">
        <f t="shared" si="2"/>
        <v>1</v>
      </c>
      <c r="H181">
        <f>VLOOKUP($A181,'2021 Congestions'!$A$2:$E$257,3)</f>
        <v>4955</v>
      </c>
      <c r="I181">
        <f>VLOOKUP(A181,'Cleanup TMS'!$A$2:$CP$260,42)</f>
        <v>4881</v>
      </c>
      <c r="J181">
        <f>VLOOKUP($A181,'2021 Congestions'!$A$2:$E$257,4)</f>
        <v>0.01</v>
      </c>
      <c r="K181">
        <f>VLOOKUP(A181,'Cleanup TMS'!$A$2:$CP$260,61)</f>
        <v>0.01</v>
      </c>
      <c r="L181">
        <f>VLOOKUP($A181,'2021 Congestions'!$A$2:$E$257,5)</f>
        <v>0.39</v>
      </c>
      <c r="M181">
        <f>VLOOKUP(A181,'Cleanup TMS'!$A$2:$CP$260,57)</f>
        <v>0.35</v>
      </c>
    </row>
    <row r="182" spans="1:14" hidden="1">
      <c r="A182" s="1">
        <v>6000065</v>
      </c>
      <c r="B182" t="s">
        <v>20</v>
      </c>
      <c r="C182" t="s">
        <v>19</v>
      </c>
      <c r="D182" t="s">
        <v>101</v>
      </c>
      <c r="E182" t="str">
        <f>VLOOKUP(A182,'2021 Congestions'!$A$2:$E$257,2)</f>
        <v>NOT CONGESTED</v>
      </c>
      <c r="F182" t="str">
        <f>VLOOKUP(A182,'Cleanup TMS'!$A$2:$CP$260,94)</f>
        <v>NOT CONGESTED</v>
      </c>
      <c r="G182" t="b">
        <f t="shared" si="2"/>
        <v>1</v>
      </c>
      <c r="H182">
        <f>VLOOKUP($A182,'2021 Congestions'!$A$2:$E$257,3)</f>
        <v>7002</v>
      </c>
      <c r="I182">
        <f>VLOOKUP(A182,'Cleanup TMS'!$A$2:$CP$260,42)</f>
        <v>6251</v>
      </c>
      <c r="J182">
        <f>VLOOKUP($A182,'2021 Congestions'!$A$2:$E$257,4)</f>
        <v>0.01</v>
      </c>
      <c r="K182">
        <f>VLOOKUP(A182,'Cleanup TMS'!$A$2:$CP$260,61)</f>
        <v>1.4999999999999999E-2</v>
      </c>
      <c r="L182">
        <f>VLOOKUP($A182,'2021 Congestions'!$A$2:$E$257,5)</f>
        <v>0.56999999999999995</v>
      </c>
      <c r="M182">
        <f>VLOOKUP(A182,'Cleanup TMS'!$A$2:$CP$260,57)</f>
        <v>0.49</v>
      </c>
    </row>
    <row r="183" spans="1:14" hidden="1">
      <c r="A183" s="1">
        <v>6000070</v>
      </c>
      <c r="B183" t="s">
        <v>20</v>
      </c>
      <c r="C183" t="s">
        <v>772</v>
      </c>
      <c r="D183" t="s">
        <v>102</v>
      </c>
      <c r="E183" t="str">
        <f>VLOOKUP(A183,'2021 Congestions'!$A$2:$E$257,2)</f>
        <v>NOT CONGESTED</v>
      </c>
      <c r="F183" t="str">
        <f>VLOOKUP(A183,'Cleanup TMS'!$A$2:$CP$260,94)</f>
        <v>NOT CONGESTED</v>
      </c>
      <c r="G183" t="b">
        <f t="shared" si="2"/>
        <v>1</v>
      </c>
      <c r="H183">
        <f>VLOOKUP($A183,'2021 Congestions'!$A$2:$E$257,3)</f>
        <v>5687.5999999999767</v>
      </c>
      <c r="I183">
        <f>VLOOKUP(A183,'Cleanup TMS'!$A$2:$CP$260,42)</f>
        <v>5804.0800000000163</v>
      </c>
      <c r="J183">
        <f>VLOOKUP($A183,'2021 Congestions'!$A$2:$E$257,4)</f>
        <v>2.2499999999999999E-2</v>
      </c>
      <c r="K183">
        <f>VLOOKUP(A183,'Cleanup TMS'!$A$2:$CP$260,61)</f>
        <v>2.5000000000000001E-2</v>
      </c>
      <c r="L183">
        <f>VLOOKUP($A183,'2021 Congestions'!$A$2:$E$257,5)</f>
        <v>0.41</v>
      </c>
      <c r="M183">
        <f>VLOOKUP(A183,'Cleanup TMS'!$A$2:$CP$260,57)</f>
        <v>0.41</v>
      </c>
    </row>
    <row r="184" spans="1:14" hidden="1">
      <c r="A184" s="1">
        <v>6000080</v>
      </c>
      <c r="B184" t="s">
        <v>17</v>
      </c>
      <c r="C184" t="s">
        <v>103</v>
      </c>
      <c r="D184" t="s">
        <v>104</v>
      </c>
      <c r="E184" t="str">
        <f>VLOOKUP(A184,'2021 Congestions'!$A$2:$E$257,2)</f>
        <v/>
      </c>
      <c r="F184" t="str">
        <f>VLOOKUP(A184,'Cleanup TMS'!$A$2:$CP$260,94)</f>
        <v/>
      </c>
      <c r="G184" t="b">
        <f t="shared" si="2"/>
        <v>1</v>
      </c>
      <c r="H184" t="str">
        <f>VLOOKUP($A184,'2021 Congestions'!$A$2:$E$257,3)</f>
        <v>-</v>
      </c>
      <c r="I184" t="str">
        <f>VLOOKUP(A184,'Cleanup TMS'!$A$2:$CP$260,42)</f>
        <v>-</v>
      </c>
      <c r="J184" t="str">
        <f>VLOOKUP($A184,'2021 Congestions'!$A$2:$E$257,4)</f>
        <v/>
      </c>
      <c r="K184" t="str">
        <f>VLOOKUP(A184,'Cleanup TMS'!$A$2:$CP$260,61)</f>
        <v>-</v>
      </c>
      <c r="L184">
        <f>VLOOKUP($A184,'2021 Congestions'!$A$2:$E$257,5)</f>
        <v>0</v>
      </c>
      <c r="M184">
        <f>VLOOKUP(A184,'Cleanup TMS'!$A$2:$CP$260,57)</f>
        <v>0</v>
      </c>
    </row>
    <row r="185" spans="1:14" hidden="1">
      <c r="A185" s="1">
        <v>6000085</v>
      </c>
      <c r="B185" t="s">
        <v>127</v>
      </c>
      <c r="C185" t="s">
        <v>703</v>
      </c>
      <c r="D185" t="s">
        <v>716</v>
      </c>
      <c r="E185" t="str">
        <f>VLOOKUP(A185,'2021 Congestions'!$A$2:$E$257,2)</f>
        <v>NOT CONGESTED</v>
      </c>
      <c r="F185" t="str">
        <f>VLOOKUP(A185,'Cleanup TMS'!$A$2:$CP$260,94)</f>
        <v>NOT CONGESTED</v>
      </c>
      <c r="G185" t="b">
        <f t="shared" si="2"/>
        <v>1</v>
      </c>
      <c r="H185">
        <f>VLOOKUP($A185,'2021 Congestions'!$A$2:$E$257,3)</f>
        <v>2445</v>
      </c>
      <c r="I185">
        <f>VLOOKUP(A185,'Cleanup TMS'!$A$2:$CP$260,42)</f>
        <v>3362</v>
      </c>
      <c r="J185">
        <f>VLOOKUP($A185,'2021 Congestions'!$A$2:$E$257,4)</f>
        <v>8.7500000000000008E-2</v>
      </c>
      <c r="K185">
        <f>VLOOKUP(A185,'Cleanup TMS'!$A$2:$CP$260,61)</f>
        <v>7.2499999999999995E-2</v>
      </c>
      <c r="L185">
        <f>VLOOKUP($A185,'2021 Congestions'!$A$2:$E$257,5)</f>
        <v>0.28000000000000003</v>
      </c>
      <c r="M185">
        <f>VLOOKUP(A185,'Cleanup TMS'!$A$2:$CP$260,57)</f>
        <v>0.31</v>
      </c>
    </row>
    <row r="186" spans="1:14" hidden="1">
      <c r="A186" s="1">
        <v>6000090</v>
      </c>
      <c r="B186" t="s">
        <v>105</v>
      </c>
      <c r="C186" t="s">
        <v>726</v>
      </c>
      <c r="D186" t="s">
        <v>17</v>
      </c>
      <c r="E186" t="str">
        <f>VLOOKUP(A186,'2021 Congestions'!$A$2:$E$257,2)</f>
        <v>NOT CONGESTED</v>
      </c>
      <c r="F186" t="str">
        <f>VLOOKUP(A186,'Cleanup TMS'!$A$2:$CP$260,94)</f>
        <v>NOT CONGESTED</v>
      </c>
      <c r="G186" t="b">
        <f t="shared" si="2"/>
        <v>1</v>
      </c>
      <c r="H186">
        <f>VLOOKUP($A186,'2021 Congestions'!$A$2:$E$257,3)</f>
        <v>2220</v>
      </c>
      <c r="I186">
        <f>VLOOKUP(A186,'Cleanup TMS'!$A$2:$CP$260,42)</f>
        <v>1920</v>
      </c>
      <c r="J186">
        <f>VLOOKUP($A186,'2021 Congestions'!$A$2:$E$257,4)</f>
        <v>0.01</v>
      </c>
      <c r="K186">
        <f>VLOOKUP(A186,'Cleanup TMS'!$A$2:$CP$260,61)</f>
        <v>0.01</v>
      </c>
      <c r="L186">
        <f>VLOOKUP($A186,'2021 Congestions'!$A$2:$E$257,5)</f>
        <v>0.16</v>
      </c>
      <c r="M186">
        <f>VLOOKUP(A186,'Cleanup TMS'!$A$2:$CP$260,57)</f>
        <v>0.24</v>
      </c>
    </row>
    <row r="187" spans="1:14" hidden="1">
      <c r="A187" s="1">
        <v>6000095</v>
      </c>
      <c r="B187" t="s">
        <v>105</v>
      </c>
      <c r="C187" t="s">
        <v>17</v>
      </c>
      <c r="D187" t="s">
        <v>15</v>
      </c>
      <c r="E187" t="str">
        <f>VLOOKUP(A187,'2021 Congestions'!$A$2:$E$257,2)</f>
        <v/>
      </c>
      <c r="F187" t="str">
        <f>VLOOKUP(A187,'Cleanup TMS'!$A$2:$CP$260,94)</f>
        <v/>
      </c>
      <c r="G187" t="b">
        <f t="shared" si="2"/>
        <v>1</v>
      </c>
      <c r="H187" t="str">
        <f>VLOOKUP($A187,'2021 Congestions'!$A$2:$E$257,3)</f>
        <v>-</v>
      </c>
      <c r="I187" t="str">
        <f>VLOOKUP(A187,'Cleanup TMS'!$A$2:$CP$260,42)</f>
        <v>-</v>
      </c>
      <c r="J187" t="str">
        <f>VLOOKUP($A187,'2021 Congestions'!$A$2:$E$257,4)</f>
        <v/>
      </c>
      <c r="K187" t="str">
        <f>VLOOKUP(A187,'Cleanup TMS'!$A$2:$CP$260,61)</f>
        <v>-</v>
      </c>
      <c r="L187">
        <f>VLOOKUP($A187,'2021 Congestions'!$A$2:$E$257,5)</f>
        <v>0</v>
      </c>
      <c r="M187">
        <f>VLOOKUP(A187,'Cleanup TMS'!$A$2:$CP$260,57)</f>
        <v>0</v>
      </c>
    </row>
    <row r="188" spans="1:14" hidden="1">
      <c r="A188" s="1">
        <v>6000100</v>
      </c>
      <c r="B188" t="s">
        <v>697</v>
      </c>
      <c r="C188" t="s">
        <v>765</v>
      </c>
      <c r="D188" t="s">
        <v>129</v>
      </c>
      <c r="E188" t="str">
        <f>VLOOKUP(A188,'2021 Congestions'!$A$2:$E$257,2)</f>
        <v>NOT CONGESTED</v>
      </c>
      <c r="F188" t="str">
        <f>VLOOKUP(A188,'Cleanup TMS'!$A$2:$CP$260,94)</f>
        <v>NOT CONGESTED</v>
      </c>
      <c r="G188" t="b">
        <f t="shared" si="2"/>
        <v>1</v>
      </c>
      <c r="H188">
        <f>VLOOKUP($A188,'2021 Congestions'!$A$2:$E$257,3)</f>
        <v>6301</v>
      </c>
      <c r="I188">
        <f>VLOOKUP(A188,'Cleanup TMS'!$A$2:$CP$260,42)</f>
        <v>6500</v>
      </c>
      <c r="J188">
        <f>VLOOKUP($A188,'2021 Congestions'!$A$2:$E$257,4)</f>
        <v>0.01</v>
      </c>
      <c r="K188">
        <f>VLOOKUP(A188,'Cleanup TMS'!$A$2:$CP$260,61)</f>
        <v>0.01</v>
      </c>
      <c r="L188">
        <f>VLOOKUP($A188,'2021 Congestions'!$A$2:$E$257,5)</f>
        <v>0.49</v>
      </c>
      <c r="M188">
        <f>VLOOKUP(A188,'Cleanup TMS'!$A$2:$CP$260,57)</f>
        <v>0.59</v>
      </c>
    </row>
    <row r="189" spans="1:14" hidden="1">
      <c r="A189" s="1">
        <v>6000105</v>
      </c>
      <c r="B189" t="s">
        <v>697</v>
      </c>
      <c r="C189" t="s">
        <v>773</v>
      </c>
      <c r="D189" t="s">
        <v>130</v>
      </c>
      <c r="E189" t="str">
        <f>VLOOKUP(A189,'2021 Congestions'!$A$2:$E$257,2)</f>
        <v>NOT CONGESTED</v>
      </c>
      <c r="F189" t="str">
        <f>VLOOKUP(A189,'Cleanup TMS'!$A$2:$CP$260,94)</f>
        <v>NOT CONGESTED</v>
      </c>
      <c r="G189" t="b">
        <f t="shared" si="2"/>
        <v>1</v>
      </c>
      <c r="H189">
        <f>VLOOKUP($A189,'2021 Congestions'!$A$2:$E$257,3)</f>
        <v>5748</v>
      </c>
      <c r="I189">
        <f>VLOOKUP(A189,'Cleanup TMS'!$A$2:$CP$260,42)</f>
        <v>7015</v>
      </c>
      <c r="J189">
        <f>VLOOKUP($A189,'2021 Congestions'!$A$2:$E$257,4)</f>
        <v>0.01</v>
      </c>
      <c r="K189">
        <f>VLOOKUP(A189,'Cleanup TMS'!$A$2:$CP$260,61)</f>
        <v>0.01</v>
      </c>
      <c r="L189">
        <f>VLOOKUP($A189,'2021 Congestions'!$A$2:$E$257,5)</f>
        <v>0.45</v>
      </c>
      <c r="M189">
        <f>VLOOKUP(A189,'Cleanup TMS'!$A$2:$CP$260,57)</f>
        <v>0.56000000000000005</v>
      </c>
    </row>
    <row r="190" spans="1:14" hidden="1">
      <c r="A190" s="1">
        <v>6000110</v>
      </c>
      <c r="B190" t="s">
        <v>697</v>
      </c>
      <c r="C190" t="s">
        <v>131</v>
      </c>
      <c r="D190" t="s">
        <v>102</v>
      </c>
      <c r="E190" t="str">
        <f>VLOOKUP(A190,'2021 Congestions'!$A$2:$E$257,2)</f>
        <v>NOT CONGESTED</v>
      </c>
      <c r="F190" t="str">
        <f>VLOOKUP(A190,'Cleanup TMS'!$A$2:$CP$260,94)</f>
        <v>NOT CONGESTED</v>
      </c>
      <c r="G190" t="b">
        <f t="shared" si="2"/>
        <v>1</v>
      </c>
      <c r="H190">
        <f>VLOOKUP($A190,'2021 Congestions'!$A$2:$E$257,3)</f>
        <v>5373</v>
      </c>
      <c r="I190">
        <f>VLOOKUP(A190,'Cleanup TMS'!$A$2:$CP$260,42)</f>
        <v>6191</v>
      </c>
      <c r="J190">
        <f>VLOOKUP($A190,'2021 Congestions'!$A$2:$E$257,4)</f>
        <v>0.01</v>
      </c>
      <c r="K190">
        <f>VLOOKUP(A190,'Cleanup TMS'!$A$2:$CP$260,61)</f>
        <v>0.01</v>
      </c>
      <c r="L190">
        <f>VLOOKUP($A190,'2021 Congestions'!$A$2:$E$257,5)</f>
        <v>0.46</v>
      </c>
      <c r="M190">
        <f>VLOOKUP(A190,'Cleanup TMS'!$A$2:$CP$260,57)</f>
        <v>0.52</v>
      </c>
    </row>
    <row r="191" spans="1:14">
      <c r="A191" s="1">
        <v>6000115</v>
      </c>
      <c r="B191" t="s">
        <v>697</v>
      </c>
      <c r="C191" t="s">
        <v>102</v>
      </c>
      <c r="D191" t="s">
        <v>132</v>
      </c>
      <c r="E191" t="str">
        <f>VLOOKUP(A191,'2021 Congestions'!$A$2:$E$257,2)</f>
        <v>NOT CONGESTED</v>
      </c>
      <c r="F191" t="str">
        <f>VLOOKUP(A191,'Cleanup TMS'!$A$2:$CP$260,94)</f>
        <v>APPROACHING CONGESTION</v>
      </c>
      <c r="G191" t="b">
        <f t="shared" si="2"/>
        <v>0</v>
      </c>
      <c r="H191">
        <f>VLOOKUP($A191,'2021 Congestions'!$A$2:$E$257,3)</f>
        <v>9330</v>
      </c>
      <c r="I191">
        <f>VLOOKUP(A191,'Cleanup TMS'!$A$2:$CP$260,42)</f>
        <v>11040</v>
      </c>
      <c r="J191">
        <f>VLOOKUP($A191,'2021 Congestions'!$A$2:$E$257,4)</f>
        <v>2.2499999999999999E-2</v>
      </c>
      <c r="K191">
        <f>VLOOKUP(A191,'Cleanup TMS'!$A$2:$CP$260,61)</f>
        <v>1.7500000000000002E-2</v>
      </c>
      <c r="L191">
        <f>VLOOKUP($A191,'2021 Congestions'!$A$2:$E$257,5)</f>
        <v>0.72</v>
      </c>
      <c r="M191">
        <f>VLOOKUP(A191,'Cleanup TMS'!$A$2:$CP$260,57)</f>
        <v>0.86</v>
      </c>
      <c r="N191" t="s">
        <v>1149</v>
      </c>
    </row>
    <row r="192" spans="1:14" hidden="1">
      <c r="A192" s="1">
        <v>6000120</v>
      </c>
      <c r="B192" t="s">
        <v>697</v>
      </c>
      <c r="C192" t="s">
        <v>774</v>
      </c>
      <c r="D192" t="s">
        <v>133</v>
      </c>
      <c r="E192" t="str">
        <f>VLOOKUP(A192,'2021 Congestions'!$A$2:$E$257,2)</f>
        <v>NOT CONGESTED</v>
      </c>
      <c r="F192" t="str">
        <f>VLOOKUP(A192,'Cleanup TMS'!$A$2:$CP$260,94)</f>
        <v>NOT CONGESTED</v>
      </c>
      <c r="G192" t="b">
        <f t="shared" si="2"/>
        <v>1</v>
      </c>
      <c r="H192">
        <f>VLOOKUP($A192,'2021 Congestions'!$A$2:$E$257,3)</f>
        <v>0</v>
      </c>
      <c r="I192">
        <f>VLOOKUP(A192,'Cleanup TMS'!$A$2:$CP$260,42)</f>
        <v>5173</v>
      </c>
      <c r="J192">
        <f>VLOOKUP($A192,'2021 Congestions'!$A$2:$E$257,4)</f>
        <v>0</v>
      </c>
      <c r="K192">
        <f>VLOOKUP(A192,'Cleanup TMS'!$A$2:$CP$260,61)</f>
        <v>0.01</v>
      </c>
      <c r="L192">
        <f>VLOOKUP($A192,'2021 Congestions'!$A$2:$E$257,5)</f>
        <v>0.39</v>
      </c>
      <c r="M192">
        <f>VLOOKUP(A192,'Cleanup TMS'!$A$2:$CP$260,57)</f>
        <v>0.43</v>
      </c>
    </row>
    <row r="193" spans="1:14" hidden="1">
      <c r="A193" s="1">
        <v>6000125</v>
      </c>
      <c r="B193" t="s">
        <v>697</v>
      </c>
      <c r="C193" t="s">
        <v>20</v>
      </c>
      <c r="D193" t="s">
        <v>8</v>
      </c>
      <c r="E193" t="str">
        <f>VLOOKUP(A193,'2021 Congestions'!$A$2:$E$257,2)</f>
        <v>NOT CONGESTED</v>
      </c>
      <c r="F193" t="str">
        <f>VLOOKUP(A193,'Cleanup TMS'!$A$2:$CP$260,94)</f>
        <v>NOT CONGESTED</v>
      </c>
      <c r="G193" t="b">
        <f t="shared" si="2"/>
        <v>1</v>
      </c>
      <c r="H193">
        <f>VLOOKUP($A193,'2021 Congestions'!$A$2:$E$257,3)</f>
        <v>4599</v>
      </c>
      <c r="I193">
        <f>VLOOKUP(A193,'Cleanup TMS'!$A$2:$CP$260,42)</f>
        <v>4669</v>
      </c>
      <c r="J193">
        <f>VLOOKUP($A193,'2021 Congestions'!$A$2:$E$257,4)</f>
        <v>0.01</v>
      </c>
      <c r="K193">
        <f>VLOOKUP(A193,'Cleanup TMS'!$A$2:$CP$260,61)</f>
        <v>0.01</v>
      </c>
      <c r="L193">
        <f>VLOOKUP($A193,'2021 Congestions'!$A$2:$E$257,5)</f>
        <v>0.35</v>
      </c>
      <c r="M193">
        <f>VLOOKUP(A193,'Cleanup TMS'!$A$2:$CP$260,57)</f>
        <v>0.4</v>
      </c>
    </row>
    <row r="194" spans="1:14" hidden="1">
      <c r="A194" s="1">
        <v>6000130</v>
      </c>
      <c r="B194" t="s">
        <v>102</v>
      </c>
      <c r="C194" t="s">
        <v>20</v>
      </c>
      <c r="D194" t="s">
        <v>55</v>
      </c>
      <c r="E194" t="str">
        <f>VLOOKUP(A194,'2021 Congestions'!$A$2:$E$257,2)</f>
        <v>NOT CONGESTED</v>
      </c>
      <c r="F194" t="str">
        <f>VLOOKUP(A194,'Cleanup TMS'!$A$2:$CP$260,94)</f>
        <v>NOT CONGESTED</v>
      </c>
      <c r="G194" t="b">
        <f t="shared" ref="G194:G257" si="3">F194=E194</f>
        <v>1</v>
      </c>
      <c r="H194">
        <f>VLOOKUP($A194,'2021 Congestions'!$A$2:$E$257,3)</f>
        <v>10841</v>
      </c>
      <c r="I194">
        <f>VLOOKUP(A194,'Cleanup TMS'!$A$2:$CP$260,42)</f>
        <v>10488</v>
      </c>
      <c r="J194">
        <f>VLOOKUP($A194,'2021 Congestions'!$A$2:$E$257,4)</f>
        <v>0.01</v>
      </c>
      <c r="K194">
        <f>VLOOKUP(A194,'Cleanup TMS'!$A$2:$CP$260,61)</f>
        <v>0.01</v>
      </c>
      <c r="L194">
        <f>VLOOKUP($A194,'2021 Congestions'!$A$2:$E$257,5)</f>
        <v>0.34</v>
      </c>
      <c r="M194">
        <f>VLOOKUP(A194,'Cleanup TMS'!$A$2:$CP$260,57)</f>
        <v>0.37</v>
      </c>
    </row>
    <row r="195" spans="1:14" hidden="1">
      <c r="A195" s="1">
        <v>6000135</v>
      </c>
      <c r="B195" t="s">
        <v>102</v>
      </c>
      <c r="C195" t="s">
        <v>18</v>
      </c>
      <c r="D195" t="s">
        <v>20</v>
      </c>
      <c r="E195" t="str">
        <f>VLOOKUP(A195,'2021 Congestions'!$A$2:$E$257,2)</f>
        <v>NOT CONGESTED</v>
      </c>
      <c r="F195" t="str">
        <f>VLOOKUP(A195,'Cleanup TMS'!$A$2:$CP$260,94)</f>
        <v>NOT CONGESTED</v>
      </c>
      <c r="G195" t="b">
        <f t="shared" si="3"/>
        <v>1</v>
      </c>
      <c r="H195">
        <f>VLOOKUP($A195,'2021 Congestions'!$A$2:$E$257,3)</f>
        <v>10785</v>
      </c>
      <c r="I195">
        <f>VLOOKUP(A195,'Cleanup TMS'!$A$2:$CP$260,42)</f>
        <v>10322</v>
      </c>
      <c r="J195">
        <f>VLOOKUP($A195,'2021 Congestions'!$A$2:$E$257,4)</f>
        <v>0.01</v>
      </c>
      <c r="K195">
        <f>VLOOKUP(A195,'Cleanup TMS'!$A$2:$CP$260,61)</f>
        <v>0.01</v>
      </c>
      <c r="L195">
        <f>VLOOKUP($A195,'2021 Congestions'!$A$2:$E$257,5)</f>
        <v>0.35</v>
      </c>
      <c r="M195">
        <f>VLOOKUP(A195,'Cleanup TMS'!$A$2:$CP$260,57)</f>
        <v>0.35</v>
      </c>
    </row>
    <row r="196" spans="1:14" hidden="1">
      <c r="A196" s="1">
        <v>6000145</v>
      </c>
      <c r="B196" t="s">
        <v>694</v>
      </c>
      <c r="C196" t="s">
        <v>23</v>
      </c>
      <c r="D196" t="s">
        <v>712</v>
      </c>
      <c r="E196" t="str">
        <f>VLOOKUP(A196,'2021 Congestions'!$A$2:$E$257,2)</f>
        <v>NOT CONGESTED</v>
      </c>
      <c r="F196" t="str">
        <f>VLOOKUP(A196,'Cleanup TMS'!$A$2:$CP$260,94)</f>
        <v>NOT CONGESTED</v>
      </c>
      <c r="G196" t="b">
        <f t="shared" si="3"/>
        <v>1</v>
      </c>
      <c r="H196">
        <f>VLOOKUP($A196,'2021 Congestions'!$A$2:$E$257,3)</f>
        <v>11650</v>
      </c>
      <c r="I196">
        <f>VLOOKUP(A196,'Cleanup TMS'!$A$2:$CP$260,42)</f>
        <v>12446</v>
      </c>
      <c r="J196">
        <f>VLOOKUP($A196,'2021 Congestions'!$A$2:$E$257,4)</f>
        <v>5.7500000000000002E-2</v>
      </c>
      <c r="K196">
        <f>VLOOKUP(A196,'Cleanup TMS'!$A$2:$CP$260,61)</f>
        <v>4.4999999999999998E-2</v>
      </c>
      <c r="L196">
        <f>VLOOKUP($A196,'2021 Congestions'!$A$2:$E$257,5)</f>
        <v>0.35</v>
      </c>
      <c r="M196">
        <f>VLOOKUP(A196,'Cleanup TMS'!$A$2:$CP$260,57)</f>
        <v>0.41</v>
      </c>
    </row>
    <row r="197" spans="1:14" hidden="1">
      <c r="A197" s="1">
        <v>32230001</v>
      </c>
      <c r="B197" t="s">
        <v>118</v>
      </c>
      <c r="C197" t="s">
        <v>119</v>
      </c>
      <c r="D197" t="s">
        <v>40</v>
      </c>
      <c r="E197" t="str">
        <f>VLOOKUP(A197,'2021 Congestions'!$A$2:$E$257,2)</f>
        <v>NOT CONGESTED</v>
      </c>
      <c r="F197" t="str">
        <f>VLOOKUP(A197,'Cleanup TMS'!$A$2:$CP$260,94)</f>
        <v>NOT CONGESTED</v>
      </c>
      <c r="G197" t="b">
        <f t="shared" si="3"/>
        <v>1</v>
      </c>
      <c r="H197">
        <f>VLOOKUP($A197,'2021 Congestions'!$A$2:$E$257,3)</f>
        <v>1726</v>
      </c>
      <c r="I197">
        <f>VLOOKUP(A197,'Cleanup TMS'!$A$2:$CP$260,42)</f>
        <v>2532</v>
      </c>
      <c r="J197">
        <f>VLOOKUP($A197,'2021 Congestions'!$A$2:$E$257,4)</f>
        <v>1.2500000000000001E-2</v>
      </c>
      <c r="K197">
        <f>VLOOKUP(A197,'Cleanup TMS'!$A$2:$CP$260,61)</f>
        <v>0.03</v>
      </c>
      <c r="L197">
        <f>VLOOKUP($A197,'2021 Congestions'!$A$2:$E$257,5)</f>
        <v>0.11</v>
      </c>
      <c r="M197">
        <f>VLOOKUP(A197,'Cleanup TMS'!$A$2:$CP$260,57)</f>
        <v>0.15</v>
      </c>
    </row>
    <row r="198" spans="1:14" hidden="1">
      <c r="A198" s="1">
        <v>32531601</v>
      </c>
      <c r="B198" t="s">
        <v>40</v>
      </c>
      <c r="C198" t="s">
        <v>754</v>
      </c>
      <c r="D198" t="s">
        <v>722</v>
      </c>
      <c r="E198" t="str">
        <f>VLOOKUP(A198,'2021 Congestions'!$A$2:$E$257,2)</f>
        <v>NOT CONGESTED</v>
      </c>
      <c r="F198" t="str">
        <f>VLOOKUP(A198,'Cleanup TMS'!$A$2:$CP$260,94)</f>
        <v>NOT CONGESTED</v>
      </c>
      <c r="G198" t="b">
        <f t="shared" si="3"/>
        <v>1</v>
      </c>
      <c r="H198">
        <f>VLOOKUP($A198,'2021 Congestions'!$A$2:$E$257,3)</f>
        <v>5380</v>
      </c>
      <c r="I198">
        <f>VLOOKUP(A198,'Cleanup TMS'!$A$2:$CP$260,42)</f>
        <v>4850</v>
      </c>
      <c r="J198">
        <f>VLOOKUP($A198,'2021 Congestions'!$A$2:$E$257,4)</f>
        <v>0.01</v>
      </c>
      <c r="K198">
        <f>VLOOKUP(A198,'Cleanup TMS'!$A$2:$CP$260,61)</f>
        <v>0.01</v>
      </c>
      <c r="L198">
        <f>VLOOKUP($A198,'2021 Congestions'!$A$2:$E$257,5)</f>
        <v>0.25</v>
      </c>
      <c r="M198">
        <f>VLOOKUP(A198,'Cleanup TMS'!$A$2:$CP$260,57)</f>
        <v>0.2</v>
      </c>
    </row>
    <row r="199" spans="1:14" hidden="1">
      <c r="A199" s="1">
        <v>32531602</v>
      </c>
      <c r="B199" t="s">
        <v>40</v>
      </c>
      <c r="C199" t="s">
        <v>718</v>
      </c>
      <c r="D199" t="s">
        <v>754</v>
      </c>
      <c r="E199" t="str">
        <f>VLOOKUP(A199,'2021 Congestions'!$A$2:$E$257,2)</f>
        <v>NOT CONGESTED</v>
      </c>
      <c r="F199" t="str">
        <f>VLOOKUP(A199,'Cleanup TMS'!$A$2:$CP$260,94)</f>
        <v>NOT CONGESTED</v>
      </c>
      <c r="G199" t="b">
        <f t="shared" si="3"/>
        <v>1</v>
      </c>
      <c r="H199">
        <f>VLOOKUP($A199,'2021 Congestions'!$A$2:$E$257,3)</f>
        <v>4545</v>
      </c>
      <c r="I199">
        <f>VLOOKUP(A199,'Cleanup TMS'!$A$2:$CP$260,42)</f>
        <v>4160</v>
      </c>
      <c r="J199">
        <f>VLOOKUP($A199,'2021 Congestions'!$A$2:$E$257,4)</f>
        <v>0.01</v>
      </c>
      <c r="K199">
        <f>VLOOKUP(A199,'Cleanup TMS'!$A$2:$CP$260,61)</f>
        <v>0.01</v>
      </c>
      <c r="L199">
        <f>VLOOKUP($A199,'2021 Congestions'!$A$2:$E$257,5)</f>
        <v>0.3</v>
      </c>
      <c r="M199">
        <f>VLOOKUP(A199,'Cleanup TMS'!$A$2:$CP$260,57)</f>
        <v>0.3</v>
      </c>
    </row>
    <row r="200" spans="1:14">
      <c r="A200" s="1">
        <v>32532601</v>
      </c>
      <c r="B200" t="s">
        <v>40</v>
      </c>
      <c r="C200" t="s">
        <v>723</v>
      </c>
      <c r="D200" t="s">
        <v>724</v>
      </c>
      <c r="E200" t="str">
        <f>VLOOKUP(A200,'2021 Congestions'!$A$2:$E$257,2)</f>
        <v>APPROACHING CONGESTION</v>
      </c>
      <c r="F200" t="str">
        <f>VLOOKUP(A200,'Cleanup TMS'!$A$2:$CP$260,94)</f>
        <v>NOT CONGESTED</v>
      </c>
      <c r="G200" t="b">
        <f t="shared" si="3"/>
        <v>0</v>
      </c>
      <c r="H200">
        <f>VLOOKUP($A200,'2021 Congestions'!$A$2:$E$257,3)</f>
        <v>26690</v>
      </c>
      <c r="I200">
        <f>VLOOKUP(A200,'Cleanup TMS'!$A$2:$CP$260,42)</f>
        <v>30650</v>
      </c>
      <c r="J200">
        <f>VLOOKUP($A200,'2021 Congestions'!$A$2:$E$257,4)</f>
        <v>7.4999999999999997E-2</v>
      </c>
      <c r="K200">
        <f>VLOOKUP(A200,'Cleanup TMS'!$A$2:$CP$260,61)</f>
        <v>7.2499999999999995E-2</v>
      </c>
      <c r="L200">
        <f>VLOOKUP($A200,'2021 Congestions'!$A$2:$E$257,5)</f>
        <v>0.66</v>
      </c>
      <c r="M200">
        <f>VLOOKUP(A200,'Cleanup TMS'!$A$2:$CP$260,57)</f>
        <v>0.62</v>
      </c>
      <c r="N200" t="s">
        <v>1150</v>
      </c>
    </row>
    <row r="201" spans="1:14">
      <c r="A201" s="1">
        <v>32533001</v>
      </c>
      <c r="B201" t="s">
        <v>40</v>
      </c>
      <c r="C201" t="s">
        <v>726</v>
      </c>
      <c r="D201" t="s">
        <v>716</v>
      </c>
      <c r="E201" t="str">
        <f>VLOOKUP(A201,'2021 Congestions'!$A$2:$E$257,2)</f>
        <v>EXTREMELY (2025)</v>
      </c>
      <c r="F201" t="str">
        <f>VLOOKUP(A201,'Cleanup TMS'!$A$2:$CP$260,94)</f>
        <v>NOT CONGESTED</v>
      </c>
      <c r="G201" t="b">
        <f t="shared" si="3"/>
        <v>0</v>
      </c>
      <c r="H201">
        <f>VLOOKUP($A201,'2021 Congestions'!$A$2:$E$257,3)</f>
        <v>34150</v>
      </c>
      <c r="I201">
        <f>VLOOKUP(A201,'Cleanup TMS'!$A$2:$CP$260,42)</f>
        <v>31100</v>
      </c>
      <c r="J201">
        <f>VLOOKUP($A201,'2021 Congestions'!$A$2:$E$257,4)</f>
        <v>7.2499999999999995E-2</v>
      </c>
      <c r="K201">
        <f>VLOOKUP(A201,'Cleanup TMS'!$A$2:$CP$260,61)</f>
        <v>2.75E-2</v>
      </c>
      <c r="L201">
        <f>VLOOKUP($A201,'2021 Congestions'!$A$2:$E$257,5)</f>
        <v>0.8</v>
      </c>
      <c r="M201">
        <f>VLOOKUP(A201,'Cleanup TMS'!$A$2:$CP$260,57)</f>
        <v>0.62</v>
      </c>
      <c r="N201" t="s">
        <v>1150</v>
      </c>
    </row>
    <row r="202" spans="1:14" hidden="1">
      <c r="A202" s="1">
        <v>32533101</v>
      </c>
      <c r="B202" t="s">
        <v>40</v>
      </c>
      <c r="C202" t="s">
        <v>716</v>
      </c>
      <c r="D202" t="s">
        <v>173</v>
      </c>
      <c r="E202" t="str">
        <f>VLOOKUP(A202,'2021 Congestions'!$A$2:$E$257,2)</f>
        <v>NOT CONGESTED</v>
      </c>
      <c r="F202" t="str">
        <f>VLOOKUP(A202,'Cleanup TMS'!$A$2:$CP$260,94)</f>
        <v>NOT CONGESTED</v>
      </c>
      <c r="G202" t="b">
        <f t="shared" si="3"/>
        <v>1</v>
      </c>
      <c r="H202">
        <f>VLOOKUP($A202,'2021 Congestions'!$A$2:$E$257,3)</f>
        <v>19290</v>
      </c>
      <c r="I202">
        <f>VLOOKUP(A202,'Cleanup TMS'!$A$2:$CP$260,42)</f>
        <v>19580</v>
      </c>
      <c r="J202">
        <f>VLOOKUP($A202,'2021 Congestions'!$A$2:$E$257,4)</f>
        <v>0.01</v>
      </c>
      <c r="K202">
        <f>VLOOKUP(A202,'Cleanup TMS'!$A$2:$CP$260,61)</f>
        <v>0.01</v>
      </c>
      <c r="L202">
        <f>VLOOKUP($A202,'2021 Congestions'!$A$2:$E$257,5)</f>
        <v>0.48</v>
      </c>
      <c r="M202">
        <f>VLOOKUP(A202,'Cleanup TMS'!$A$2:$CP$260,57)</f>
        <v>0.59</v>
      </c>
    </row>
    <row r="203" spans="1:14" hidden="1">
      <c r="A203" s="1">
        <v>32533102</v>
      </c>
      <c r="B203" t="s">
        <v>40</v>
      </c>
      <c r="C203" t="s">
        <v>173</v>
      </c>
      <c r="D203" t="s">
        <v>34</v>
      </c>
      <c r="E203" t="str">
        <f>VLOOKUP(A203,'2021 Congestions'!$A$2:$E$257,2)</f>
        <v>NOT CONGESTED</v>
      </c>
      <c r="F203" t="str">
        <f>VLOOKUP(A203,'Cleanup TMS'!$A$2:$CP$260,94)</f>
        <v>NOT CONGESTED</v>
      </c>
      <c r="G203" t="b">
        <f t="shared" si="3"/>
        <v>1</v>
      </c>
      <c r="H203">
        <f>VLOOKUP($A203,'2021 Congestions'!$A$2:$E$257,3)</f>
        <v>19290</v>
      </c>
      <c r="I203">
        <f>VLOOKUP(A203,'Cleanup TMS'!$A$2:$CP$260,42)</f>
        <v>19580</v>
      </c>
      <c r="J203">
        <f>VLOOKUP($A203,'2021 Congestions'!$A$2:$E$257,4)</f>
        <v>0.01</v>
      </c>
      <c r="K203">
        <f>VLOOKUP(A203,'Cleanup TMS'!$A$2:$CP$260,61)</f>
        <v>0.01</v>
      </c>
      <c r="L203">
        <f>VLOOKUP($A203,'2021 Congestions'!$A$2:$E$257,5)</f>
        <v>0.48</v>
      </c>
      <c r="M203">
        <f>VLOOKUP(A203,'Cleanup TMS'!$A$2:$CP$260,57)</f>
        <v>0.59</v>
      </c>
    </row>
    <row r="204" spans="1:14" hidden="1">
      <c r="A204" s="1">
        <v>33000001</v>
      </c>
      <c r="B204" t="s">
        <v>18</v>
      </c>
      <c r="C204" t="s">
        <v>15</v>
      </c>
      <c r="D204" t="s">
        <v>30</v>
      </c>
      <c r="E204" t="str">
        <f>VLOOKUP(A204,'2021 Congestions'!$A$2:$E$257,2)</f>
        <v>NOT CONGESTED</v>
      </c>
      <c r="F204" t="str">
        <f>VLOOKUP(A204,'Cleanup TMS'!$A$2:$CP$260,94)</f>
        <v>NOT CONGESTED</v>
      </c>
      <c r="G204" t="b">
        <f t="shared" si="3"/>
        <v>1</v>
      </c>
      <c r="H204">
        <f>VLOOKUP($A204,'2021 Congestions'!$A$2:$E$257,3)</f>
        <v>18184</v>
      </c>
      <c r="I204">
        <f>VLOOKUP(A204,'Cleanup TMS'!$A$2:$CP$260,42)</f>
        <v>18280</v>
      </c>
      <c r="J204">
        <f>VLOOKUP($A204,'2021 Congestions'!$A$2:$E$257,4)</f>
        <v>0.01</v>
      </c>
      <c r="K204">
        <f>VLOOKUP(A204,'Cleanup TMS'!$A$2:$CP$260,61)</f>
        <v>0.01</v>
      </c>
      <c r="L204">
        <f>VLOOKUP($A204,'2021 Congestions'!$A$2:$E$257,5)</f>
        <v>0.56999999999999995</v>
      </c>
      <c r="M204">
        <f>VLOOKUP(A204,'Cleanup TMS'!$A$2:$CP$260,57)</f>
        <v>0.65</v>
      </c>
    </row>
    <row r="205" spans="1:14" hidden="1">
      <c r="A205" s="1">
        <v>33000002</v>
      </c>
      <c r="B205" t="s">
        <v>18</v>
      </c>
      <c r="C205" t="s">
        <v>30</v>
      </c>
      <c r="D205" t="s">
        <v>31</v>
      </c>
      <c r="E205" t="str">
        <f>VLOOKUP(A205,'2021 Congestions'!$A$2:$E$257,2)</f>
        <v>NOT CONGESTED</v>
      </c>
      <c r="F205" t="str">
        <f>VLOOKUP(A205,'Cleanup TMS'!$A$2:$CP$260,94)</f>
        <v>NOT CONGESTED</v>
      </c>
      <c r="G205" t="b">
        <f t="shared" si="3"/>
        <v>1</v>
      </c>
      <c r="H205">
        <f>VLOOKUP($A205,'2021 Congestions'!$A$2:$E$257,3)</f>
        <v>13663</v>
      </c>
      <c r="I205">
        <f>VLOOKUP(A205,'Cleanup TMS'!$A$2:$CP$260,42)</f>
        <v>18301</v>
      </c>
      <c r="J205">
        <f>VLOOKUP($A205,'2021 Congestions'!$A$2:$E$257,4)</f>
        <v>0.01</v>
      </c>
      <c r="K205">
        <f>VLOOKUP(A205,'Cleanup TMS'!$A$2:$CP$260,61)</f>
        <v>1.4999999999999999E-2</v>
      </c>
      <c r="L205">
        <f>VLOOKUP($A205,'2021 Congestions'!$A$2:$E$257,5)</f>
        <v>0.52</v>
      </c>
      <c r="M205">
        <f>VLOOKUP(A205,'Cleanup TMS'!$A$2:$CP$260,57)</f>
        <v>0.62</v>
      </c>
    </row>
    <row r="206" spans="1:14" hidden="1">
      <c r="A206" s="1">
        <v>33000003</v>
      </c>
      <c r="B206" t="s">
        <v>18</v>
      </c>
      <c r="C206" t="s">
        <v>31</v>
      </c>
      <c r="D206" t="s">
        <v>716</v>
      </c>
      <c r="E206" t="str">
        <f>VLOOKUP(A206,'2021 Congestions'!$A$2:$E$257,2)</f>
        <v>NOT CONGESTED</v>
      </c>
      <c r="F206" t="str">
        <f>VLOOKUP(A206,'Cleanup TMS'!$A$2:$CP$260,94)</f>
        <v>NOT CONGESTED</v>
      </c>
      <c r="G206" t="b">
        <f t="shared" si="3"/>
        <v>1</v>
      </c>
      <c r="H206">
        <f>VLOOKUP($A206,'2021 Congestions'!$A$2:$E$257,3)</f>
        <v>16881</v>
      </c>
      <c r="I206">
        <f>VLOOKUP(A206,'Cleanup TMS'!$A$2:$CP$260,42)</f>
        <v>15658</v>
      </c>
      <c r="J206">
        <f>VLOOKUP($A206,'2021 Congestions'!$A$2:$E$257,4)</f>
        <v>0.01</v>
      </c>
      <c r="K206">
        <f>VLOOKUP(A206,'Cleanup TMS'!$A$2:$CP$260,61)</f>
        <v>0.01</v>
      </c>
      <c r="L206">
        <f>VLOOKUP($A206,'2021 Congestions'!$A$2:$E$257,5)</f>
        <v>0.63</v>
      </c>
      <c r="M206">
        <f>VLOOKUP(A206,'Cleanup TMS'!$A$2:$CP$260,57)</f>
        <v>0.5</v>
      </c>
    </row>
    <row r="207" spans="1:14" hidden="1">
      <c r="A207" s="242">
        <v>35270001</v>
      </c>
      <c r="B207" t="s">
        <v>742</v>
      </c>
      <c r="C207" t="s">
        <v>40</v>
      </c>
      <c r="D207" t="s">
        <v>67</v>
      </c>
      <c r="E207" t="str">
        <f>VLOOKUP(A207,'2021 Congestions'!$A$2:$E$257,2)</f>
        <v>NOT CONGESTED</v>
      </c>
      <c r="F207" t="str">
        <f>VLOOKUP(A207,'Cleanup TMS'!$A$2:$CP$260,94)</f>
        <v>NOT CONGESTED</v>
      </c>
      <c r="G207" t="b">
        <f t="shared" si="3"/>
        <v>1</v>
      </c>
      <c r="H207">
        <f>VLOOKUP($A207,'2021 Congestions'!$A$2:$E$257,3)</f>
        <v>8740</v>
      </c>
      <c r="I207">
        <f>VLOOKUP(A207,'Cleanup TMS'!$A$2:$CP$260,42)</f>
        <v>8380</v>
      </c>
      <c r="J207">
        <f>VLOOKUP($A207,'2021 Congestions'!$A$2:$E$257,4)</f>
        <v>2.2499999999999999E-2</v>
      </c>
      <c r="K207">
        <f>VLOOKUP(A207,'Cleanup TMS'!$A$2:$CP$260,61)</f>
        <v>2.2499999999999999E-2</v>
      </c>
      <c r="L207">
        <f>VLOOKUP($A207,'2021 Congestions'!$A$2:$E$257,5)</f>
        <v>0.35</v>
      </c>
      <c r="M207">
        <f>VLOOKUP(A207,'Cleanup TMS'!$A$2:$CP$260,57)</f>
        <v>0.35</v>
      </c>
    </row>
    <row r="208" spans="1:14" hidden="1">
      <c r="A208" s="242">
        <v>35270002</v>
      </c>
      <c r="B208" t="s">
        <v>742</v>
      </c>
      <c r="C208" t="s">
        <v>67</v>
      </c>
      <c r="D208" t="s">
        <v>59</v>
      </c>
      <c r="E208" t="str">
        <f>VLOOKUP(A208,'2021 Congestions'!$A$2:$E$257,2)</f>
        <v>NOT CONGESTED</v>
      </c>
      <c r="F208" t="str">
        <f>VLOOKUP(A208,'Cleanup TMS'!$A$2:$CP$260,94)</f>
        <v>NOT CONGESTED</v>
      </c>
      <c r="G208" t="b">
        <f t="shared" si="3"/>
        <v>1</v>
      </c>
      <c r="H208">
        <f>VLOOKUP($A208,'2021 Congestions'!$A$2:$E$257,3)</f>
        <v>11299</v>
      </c>
      <c r="I208">
        <f>VLOOKUP(A208,'Cleanup TMS'!$A$2:$CP$260,42)</f>
        <v>15678</v>
      </c>
      <c r="J208">
        <f>VLOOKUP($A208,'2021 Congestions'!$A$2:$E$257,4)</f>
        <v>3.7499999999999999E-2</v>
      </c>
      <c r="K208">
        <f>VLOOKUP(A208,'Cleanup TMS'!$A$2:$CP$260,61)</f>
        <v>5.5E-2</v>
      </c>
      <c r="L208">
        <f>VLOOKUP($A208,'2021 Congestions'!$A$2:$E$257,5)</f>
        <v>0.44</v>
      </c>
      <c r="M208">
        <f>VLOOKUP(A208,'Cleanup TMS'!$A$2:$CP$260,57)</f>
        <v>0.54</v>
      </c>
    </row>
    <row r="209" spans="1:14" hidden="1">
      <c r="A209" s="242">
        <v>35270003</v>
      </c>
      <c r="B209" t="s">
        <v>742</v>
      </c>
      <c r="C209" t="s">
        <v>59</v>
      </c>
      <c r="D209" t="s">
        <v>56</v>
      </c>
      <c r="E209" t="str">
        <f>VLOOKUP(A209,'2021 Congestions'!$A$2:$E$257,2)</f>
        <v>NOT CONGESTED</v>
      </c>
      <c r="F209" t="str">
        <f>VLOOKUP(A209,'Cleanup TMS'!$A$2:$CP$260,94)</f>
        <v>NOT CONGESTED</v>
      </c>
      <c r="G209" t="b">
        <f t="shared" si="3"/>
        <v>1</v>
      </c>
      <c r="H209">
        <f>VLOOKUP($A209,'2021 Congestions'!$A$2:$E$257,3)</f>
        <v>11428</v>
      </c>
      <c r="I209">
        <f>VLOOKUP(A209,'Cleanup TMS'!$A$2:$CP$260,42)</f>
        <v>15563</v>
      </c>
      <c r="J209">
        <f>VLOOKUP($A209,'2021 Congestions'!$A$2:$E$257,4)</f>
        <v>2.2499999999999999E-2</v>
      </c>
      <c r="K209">
        <f>VLOOKUP(A209,'Cleanup TMS'!$A$2:$CP$260,61)</f>
        <v>5.5E-2</v>
      </c>
      <c r="L209">
        <f>VLOOKUP($A209,'2021 Congestions'!$A$2:$E$257,5)</f>
        <v>0.44</v>
      </c>
      <c r="M209">
        <f>VLOOKUP(A209,'Cleanup TMS'!$A$2:$CP$260,57)</f>
        <v>0.57999999999999996</v>
      </c>
    </row>
    <row r="210" spans="1:14" hidden="1">
      <c r="A210" s="1">
        <v>35281102</v>
      </c>
      <c r="B210" t="s">
        <v>712</v>
      </c>
      <c r="C210" t="s">
        <v>775</v>
      </c>
      <c r="D210" t="s">
        <v>39</v>
      </c>
      <c r="E210" t="str">
        <f>VLOOKUP(A210,'2021 Congestions'!$A$2:$E$257,2)</f>
        <v>NOT CONGESTED</v>
      </c>
      <c r="F210" t="str">
        <f>VLOOKUP(A210,'Cleanup TMS'!$A$2:$CP$260,94)</f>
        <v>NOT CONGESTED</v>
      </c>
      <c r="G210" t="b">
        <f t="shared" si="3"/>
        <v>1</v>
      </c>
      <c r="H210">
        <f>VLOOKUP($A210,'2021 Congestions'!$A$2:$E$257,3)</f>
        <v>1532</v>
      </c>
      <c r="I210">
        <f>VLOOKUP(A210,'Cleanup TMS'!$A$2:$CP$260,42)</f>
        <v>1599</v>
      </c>
      <c r="J210">
        <f>VLOOKUP($A210,'2021 Congestions'!$A$2:$E$257,4)</f>
        <v>4.2500000000000003E-2</v>
      </c>
      <c r="K210">
        <f>VLOOKUP(A210,'Cleanup TMS'!$A$2:$CP$260,61)</f>
        <v>7.4999999999999997E-2</v>
      </c>
      <c r="L210">
        <f>VLOOKUP($A210,'2021 Congestions'!$A$2:$E$257,5)</f>
        <v>0.09</v>
      </c>
      <c r="M210">
        <f>VLOOKUP(A210,'Cleanup TMS'!$A$2:$CP$260,57)</f>
        <v>0.09</v>
      </c>
    </row>
    <row r="211" spans="1:14" hidden="1">
      <c r="A211" s="1">
        <v>35281103</v>
      </c>
      <c r="B211" t="s">
        <v>712</v>
      </c>
      <c r="C211" t="s">
        <v>39</v>
      </c>
      <c r="D211" t="s">
        <v>40</v>
      </c>
      <c r="E211" t="str">
        <f>VLOOKUP(A211,'2021 Congestions'!$A$2:$E$257,2)</f>
        <v>NOT CONGESTED</v>
      </c>
      <c r="F211" t="str">
        <f>VLOOKUP(A211,'Cleanup TMS'!$A$2:$CP$260,94)</f>
        <v>NOT CONGESTED</v>
      </c>
      <c r="G211" t="b">
        <f t="shared" si="3"/>
        <v>1</v>
      </c>
      <c r="H211">
        <f>VLOOKUP($A211,'2021 Congestions'!$A$2:$E$257,3)</f>
        <v>16238.5</v>
      </c>
      <c r="I211">
        <f>VLOOKUP(A211,'Cleanup TMS'!$A$2:$CP$260,42)</f>
        <v>16340.600000000093</v>
      </c>
      <c r="J211">
        <f>VLOOKUP($A211,'2021 Congestions'!$A$2:$E$257,4)</f>
        <v>6.25E-2</v>
      </c>
      <c r="K211">
        <f>VLOOKUP(A211,'Cleanup TMS'!$A$2:$CP$260,61)</f>
        <v>0.08</v>
      </c>
      <c r="L211">
        <f>VLOOKUP($A211,'2021 Congestions'!$A$2:$E$257,5)</f>
        <v>0.48</v>
      </c>
      <c r="M211">
        <f>VLOOKUP(A211,'Cleanup TMS'!$A$2:$CP$260,57)</f>
        <v>0.6</v>
      </c>
    </row>
    <row r="212" spans="1:14" hidden="1">
      <c r="A212" s="1">
        <v>35281301</v>
      </c>
      <c r="B212" t="s">
        <v>712</v>
      </c>
      <c r="C212" t="s">
        <v>41</v>
      </c>
      <c r="D212" t="s">
        <v>18</v>
      </c>
      <c r="E212" t="str">
        <f>VLOOKUP(A212,'2021 Congestions'!$A$2:$E$257,2)</f>
        <v>NOT CONGESTED</v>
      </c>
      <c r="F212" t="str">
        <f>VLOOKUP(A212,'Cleanup TMS'!$A$2:$CP$260,94)</f>
        <v>NOT CONGESTED</v>
      </c>
      <c r="G212" t="b">
        <f t="shared" si="3"/>
        <v>1</v>
      </c>
      <c r="H212">
        <f>VLOOKUP($A212,'2021 Congestions'!$A$2:$E$257,3)</f>
        <v>5926</v>
      </c>
      <c r="I212">
        <f>VLOOKUP(A212,'Cleanup TMS'!$A$2:$CP$260,42)</f>
        <v>7827</v>
      </c>
      <c r="J212">
        <f>VLOOKUP($A212,'2021 Congestions'!$A$2:$E$257,4)</f>
        <v>0.01</v>
      </c>
      <c r="K212">
        <f>VLOOKUP(A212,'Cleanup TMS'!$A$2:$CP$260,61)</f>
        <v>0.01</v>
      </c>
      <c r="L212">
        <f>VLOOKUP($A212,'2021 Congestions'!$A$2:$E$257,5)</f>
        <v>0.18</v>
      </c>
      <c r="M212">
        <f>VLOOKUP(A212,'Cleanup TMS'!$A$2:$CP$260,57)</f>
        <v>0.24</v>
      </c>
    </row>
    <row r="213" spans="1:14" hidden="1">
      <c r="A213" s="1">
        <v>35281302</v>
      </c>
      <c r="B213" t="s">
        <v>712</v>
      </c>
      <c r="C213" t="s">
        <v>18</v>
      </c>
      <c r="D213" t="s">
        <v>42</v>
      </c>
      <c r="E213" t="str">
        <f>VLOOKUP(A213,'2021 Congestions'!$A$2:$E$257,2)</f>
        <v>NOT CONGESTED</v>
      </c>
      <c r="F213" t="str">
        <f>VLOOKUP(A213,'Cleanup TMS'!$A$2:$CP$260,94)</f>
        <v>NOT CONGESTED</v>
      </c>
      <c r="G213" t="b">
        <f t="shared" si="3"/>
        <v>1</v>
      </c>
      <c r="H213">
        <f>VLOOKUP($A213,'2021 Congestions'!$A$2:$E$257,3)</f>
        <v>2312</v>
      </c>
      <c r="I213">
        <f>VLOOKUP(A213,'Cleanup TMS'!$A$2:$CP$260,42)</f>
        <v>3155</v>
      </c>
      <c r="J213">
        <f>VLOOKUP($A213,'2021 Congestions'!$A$2:$E$257,4)</f>
        <v>5.2499999999999998E-2</v>
      </c>
      <c r="K213">
        <f>VLOOKUP(A213,'Cleanup TMS'!$A$2:$CP$260,61)</f>
        <v>9.2499999999999999E-2</v>
      </c>
      <c r="L213">
        <f>VLOOKUP($A213,'2021 Congestions'!$A$2:$E$257,5)</f>
        <v>0.13</v>
      </c>
      <c r="M213">
        <f>VLOOKUP(A213,'Cleanup TMS'!$A$2:$CP$260,57)</f>
        <v>0.15</v>
      </c>
    </row>
    <row r="214" spans="1:14" hidden="1">
      <c r="A214" s="1">
        <v>35310001</v>
      </c>
      <c r="B214" t="s">
        <v>745</v>
      </c>
      <c r="C214" t="s">
        <v>74</v>
      </c>
      <c r="D214" t="s">
        <v>75</v>
      </c>
      <c r="E214" t="str">
        <f>VLOOKUP(A214,'2021 Congestions'!$A$2:$E$257,2)</f>
        <v>NOT CONGESTED</v>
      </c>
      <c r="F214" t="str">
        <f>VLOOKUP(A214,'Cleanup TMS'!$A$2:$CP$260,94)</f>
        <v>NOT CONGESTED</v>
      </c>
      <c r="G214" t="b">
        <f t="shared" si="3"/>
        <v>1</v>
      </c>
      <c r="H214">
        <f>VLOOKUP($A214,'2021 Congestions'!$A$2:$E$257,3)</f>
        <v>5900</v>
      </c>
      <c r="I214">
        <f>VLOOKUP(A214,'Cleanup TMS'!$A$2:$CP$260,42)</f>
        <v>6470</v>
      </c>
      <c r="J214">
        <f>VLOOKUP($A214,'2021 Congestions'!$A$2:$E$257,4)</f>
        <v>0.01</v>
      </c>
      <c r="K214">
        <f>VLOOKUP(A214,'Cleanup TMS'!$A$2:$CP$260,61)</f>
        <v>0.01</v>
      </c>
      <c r="L214">
        <f>VLOOKUP($A214,'2021 Congestions'!$A$2:$E$257,5)</f>
        <v>0.23</v>
      </c>
      <c r="M214">
        <f>VLOOKUP(A214,'Cleanup TMS'!$A$2:$CP$260,57)</f>
        <v>0.21</v>
      </c>
    </row>
    <row r="215" spans="1:14" hidden="1">
      <c r="A215" s="1">
        <v>35310002</v>
      </c>
      <c r="B215" t="s">
        <v>745</v>
      </c>
      <c r="C215" t="s">
        <v>75</v>
      </c>
      <c r="D215" t="s">
        <v>77</v>
      </c>
      <c r="E215" t="str">
        <f>VLOOKUP(A215,'2021 Congestions'!$A$2:$E$257,2)</f>
        <v>NOT CONGESTED</v>
      </c>
      <c r="F215" t="str">
        <f>VLOOKUP(A215,'Cleanup TMS'!$A$2:$CP$260,94)</f>
        <v>NOT CONGESTED</v>
      </c>
      <c r="G215" t="b">
        <f t="shared" si="3"/>
        <v>1</v>
      </c>
      <c r="H215">
        <f>VLOOKUP($A215,'2021 Congestions'!$A$2:$E$257,3)</f>
        <v>5343</v>
      </c>
      <c r="I215">
        <f>VLOOKUP(A215,'Cleanup TMS'!$A$2:$CP$260,42)</f>
        <v>5951</v>
      </c>
      <c r="J215">
        <f>VLOOKUP($A215,'2021 Congestions'!$A$2:$E$257,4)</f>
        <v>0.01</v>
      </c>
      <c r="K215">
        <f>VLOOKUP(A215,'Cleanup TMS'!$A$2:$CP$260,61)</f>
        <v>0.01</v>
      </c>
      <c r="L215">
        <f>VLOOKUP($A215,'2021 Congestions'!$A$2:$E$257,5)</f>
        <v>0.14000000000000001</v>
      </c>
      <c r="M215">
        <f>VLOOKUP(A215,'Cleanup TMS'!$A$2:$CP$260,57)</f>
        <v>0.15</v>
      </c>
    </row>
    <row r="216" spans="1:14" hidden="1">
      <c r="A216" s="1">
        <v>35310003</v>
      </c>
      <c r="B216" t="s">
        <v>745</v>
      </c>
      <c r="C216" t="s">
        <v>77</v>
      </c>
      <c r="D216" t="s">
        <v>78</v>
      </c>
      <c r="E216" t="str">
        <f>VLOOKUP(A216,'2021 Congestions'!$A$2:$E$257,2)</f>
        <v>NOT CONGESTED</v>
      </c>
      <c r="F216" t="str">
        <f>VLOOKUP(A216,'Cleanup TMS'!$A$2:$CP$260,94)</f>
        <v>NOT CONGESTED</v>
      </c>
      <c r="G216" t="b">
        <f t="shared" si="3"/>
        <v>1</v>
      </c>
      <c r="H216">
        <f>VLOOKUP($A216,'2021 Congestions'!$A$2:$E$257,3)</f>
        <v>4575</v>
      </c>
      <c r="I216">
        <f>VLOOKUP(A216,'Cleanup TMS'!$A$2:$CP$260,42)</f>
        <v>5681</v>
      </c>
      <c r="J216">
        <f>VLOOKUP($A216,'2021 Congestions'!$A$2:$E$257,4)</f>
        <v>0.01</v>
      </c>
      <c r="K216">
        <f>VLOOKUP(A216,'Cleanup TMS'!$A$2:$CP$260,61)</f>
        <v>2.2499999999999999E-2</v>
      </c>
      <c r="L216">
        <f>VLOOKUP($A216,'2021 Congestions'!$A$2:$E$257,5)</f>
        <v>0.19</v>
      </c>
      <c r="M216">
        <f>VLOOKUP(A216,'Cleanup TMS'!$A$2:$CP$260,57)</f>
        <v>0.26</v>
      </c>
    </row>
    <row r="217" spans="1:14" hidden="1">
      <c r="A217" s="1">
        <v>35310004</v>
      </c>
      <c r="B217" t="s">
        <v>745</v>
      </c>
      <c r="C217" t="s">
        <v>78</v>
      </c>
      <c r="D217" t="s">
        <v>742</v>
      </c>
      <c r="E217" t="str">
        <f>VLOOKUP(A217,'2021 Congestions'!$A$2:$E$257,2)</f>
        <v>NOT CONGESTED</v>
      </c>
      <c r="F217" t="str">
        <f>VLOOKUP(A217,'Cleanup TMS'!$A$2:$CP$260,94)</f>
        <v>NOT CONGESTED</v>
      </c>
      <c r="G217" t="b">
        <f t="shared" si="3"/>
        <v>1</v>
      </c>
      <c r="H217">
        <f>VLOOKUP($A217,'2021 Congestions'!$A$2:$E$257,3)</f>
        <v>3877</v>
      </c>
      <c r="I217">
        <f>VLOOKUP(A217,'Cleanup TMS'!$A$2:$CP$260,42)</f>
        <v>5297</v>
      </c>
      <c r="J217">
        <f>VLOOKUP($A217,'2021 Congestions'!$A$2:$E$257,4)</f>
        <v>0.01</v>
      </c>
      <c r="K217">
        <f>VLOOKUP(A217,'Cleanup TMS'!$A$2:$CP$260,61)</f>
        <v>2.2499999999999999E-2</v>
      </c>
      <c r="L217">
        <f>VLOOKUP($A217,'2021 Congestions'!$A$2:$E$257,5)</f>
        <v>0.17</v>
      </c>
      <c r="M217">
        <f>VLOOKUP(A217,'Cleanup TMS'!$A$2:$CP$260,57)</f>
        <v>0.26</v>
      </c>
    </row>
    <row r="218" spans="1:14" hidden="1">
      <c r="A218" s="1">
        <v>35320001</v>
      </c>
      <c r="B218" t="s">
        <v>735</v>
      </c>
      <c r="C218" t="s">
        <v>730</v>
      </c>
      <c r="D218" t="s">
        <v>99</v>
      </c>
      <c r="E218" t="str">
        <f>VLOOKUP(A218,'2021 Congestions'!$A$2:$E$257,2)</f>
        <v>NOT CONGESTED</v>
      </c>
      <c r="F218" t="str">
        <f>VLOOKUP(A218,'Cleanup TMS'!$A$2:$CP$260,94)</f>
        <v>NOT CONGESTED</v>
      </c>
      <c r="G218" t="b">
        <f t="shared" si="3"/>
        <v>1</v>
      </c>
      <c r="H218">
        <f>VLOOKUP($A218,'2021 Congestions'!$A$2:$E$257,3)</f>
        <v>934</v>
      </c>
      <c r="I218">
        <f>VLOOKUP(A218,'Cleanup TMS'!$A$2:$CP$260,42)</f>
        <v>1053</v>
      </c>
      <c r="J218">
        <f>VLOOKUP($A218,'2021 Congestions'!$A$2:$E$257,4)</f>
        <v>0.01</v>
      </c>
      <c r="K218">
        <f>VLOOKUP(A218,'Cleanup TMS'!$A$2:$CP$260,61)</f>
        <v>0.01</v>
      </c>
      <c r="L218">
        <f>VLOOKUP($A218,'2021 Congestions'!$A$2:$E$257,5)</f>
        <v>0.06</v>
      </c>
      <c r="M218">
        <f>VLOOKUP(A218,'Cleanup TMS'!$A$2:$CP$260,57)</f>
        <v>7.0000000000000007E-2</v>
      </c>
    </row>
    <row r="219" spans="1:14" hidden="1">
      <c r="A219" s="1">
        <v>35331101</v>
      </c>
      <c r="B219" t="s">
        <v>727</v>
      </c>
      <c r="C219" t="s">
        <v>755</v>
      </c>
      <c r="D219" t="s">
        <v>759</v>
      </c>
      <c r="E219" t="str">
        <f>VLOOKUP(A219,'2021 Congestions'!$A$2:$E$257,2)</f>
        <v>NOT CONGESTED</v>
      </c>
      <c r="F219" t="str">
        <f>VLOOKUP(A219,'Cleanup TMS'!$A$2:$CP$260,94)</f>
        <v>NOT CONGESTED</v>
      </c>
      <c r="G219" t="b">
        <f t="shared" si="3"/>
        <v>1</v>
      </c>
      <c r="H219">
        <f>VLOOKUP($A219,'2021 Congestions'!$A$2:$E$257,3)</f>
        <v>23165</v>
      </c>
      <c r="I219">
        <f>VLOOKUP(A219,'Cleanup TMS'!$A$2:$CP$260,42)</f>
        <v>26935</v>
      </c>
      <c r="J219">
        <f>VLOOKUP($A219,'2021 Congestions'!$A$2:$E$257,4)</f>
        <v>0.06</v>
      </c>
      <c r="K219">
        <f>VLOOKUP(A219,'Cleanup TMS'!$A$2:$CP$260,61)</f>
        <v>4.4999999999999998E-2</v>
      </c>
      <c r="L219">
        <f>VLOOKUP($A219,'2021 Congestions'!$A$2:$E$257,5)</f>
        <v>0.56999999999999995</v>
      </c>
      <c r="M219">
        <f>VLOOKUP(A219,'Cleanup TMS'!$A$2:$CP$260,57)</f>
        <v>0.67</v>
      </c>
    </row>
    <row r="220" spans="1:14" hidden="1">
      <c r="A220" s="1">
        <v>35331102</v>
      </c>
      <c r="B220" t="s">
        <v>727</v>
      </c>
      <c r="C220" t="s">
        <v>756</v>
      </c>
      <c r="D220" t="s">
        <v>18</v>
      </c>
      <c r="E220" t="str">
        <f>VLOOKUP(A220,'2021 Congestions'!$A$2:$E$257,2)</f>
        <v>NOT CONGESTED</v>
      </c>
      <c r="F220" t="str">
        <f>VLOOKUP(A220,'Cleanup TMS'!$A$2:$CP$260,94)</f>
        <v>NOT CONGESTED</v>
      </c>
      <c r="G220" t="b">
        <f t="shared" si="3"/>
        <v>1</v>
      </c>
      <c r="H220">
        <f>VLOOKUP($A220,'2021 Congestions'!$A$2:$E$257,3)</f>
        <v>25683</v>
      </c>
      <c r="I220">
        <f>VLOOKUP(A220,'Cleanup TMS'!$A$2:$CP$260,42)</f>
        <v>28605</v>
      </c>
      <c r="J220">
        <f>VLOOKUP($A220,'2021 Congestions'!$A$2:$E$257,4)</f>
        <v>5.5E-2</v>
      </c>
      <c r="K220">
        <f>VLOOKUP(A220,'Cleanup TMS'!$A$2:$CP$260,61)</f>
        <v>3.7499999999999999E-2</v>
      </c>
      <c r="L220">
        <f>VLOOKUP($A220,'2021 Congestions'!$A$2:$E$257,5)</f>
        <v>0.67</v>
      </c>
      <c r="M220">
        <f>VLOOKUP(A220,'Cleanup TMS'!$A$2:$CP$260,57)</f>
        <v>0.69</v>
      </c>
      <c r="N220" t="s">
        <v>893</v>
      </c>
    </row>
    <row r="221" spans="1:14" hidden="1">
      <c r="A221" s="1">
        <v>35331103</v>
      </c>
      <c r="B221" t="s">
        <v>727</v>
      </c>
      <c r="C221" t="s">
        <v>18</v>
      </c>
      <c r="D221" t="s">
        <v>20</v>
      </c>
      <c r="E221" t="str">
        <f>VLOOKUP(A221,'2021 Congestions'!$A$2:$E$257,2)</f>
        <v>NOT CONGESTED</v>
      </c>
      <c r="F221" t="str">
        <f>VLOOKUP(A221,'Cleanup TMS'!$A$2:$CP$260,94)</f>
        <v>NOT CONGESTED</v>
      </c>
      <c r="G221" t="b">
        <f t="shared" si="3"/>
        <v>1</v>
      </c>
      <c r="H221">
        <f>VLOOKUP($A221,'2021 Congestions'!$A$2:$E$257,3)</f>
        <v>17753</v>
      </c>
      <c r="I221">
        <f>VLOOKUP(A221,'Cleanup TMS'!$A$2:$CP$260,42)</f>
        <v>19155</v>
      </c>
      <c r="J221">
        <f>VLOOKUP($A221,'2021 Congestions'!$A$2:$E$257,4)</f>
        <v>1.4999999999999999E-2</v>
      </c>
      <c r="K221">
        <f>VLOOKUP(A221,'Cleanup TMS'!$A$2:$CP$260,61)</f>
        <v>0.01</v>
      </c>
      <c r="L221">
        <f>VLOOKUP($A221,'2021 Congestions'!$A$2:$E$257,5)</f>
        <v>0.48</v>
      </c>
      <c r="M221">
        <f>VLOOKUP(A221,'Cleanup TMS'!$A$2:$CP$260,57)</f>
        <v>0.46</v>
      </c>
    </row>
    <row r="222" spans="1:14" hidden="1">
      <c r="A222" s="1">
        <v>35331104</v>
      </c>
      <c r="B222" t="s">
        <v>727</v>
      </c>
      <c r="C222" t="s">
        <v>20</v>
      </c>
      <c r="D222" t="s">
        <v>55</v>
      </c>
      <c r="E222" t="str">
        <f>VLOOKUP(A222,'2021 Congestions'!$A$2:$E$257,2)</f>
        <v>NOT CONGESTED</v>
      </c>
      <c r="F222" t="str">
        <f>VLOOKUP(A222,'Cleanup TMS'!$A$2:$CP$260,94)</f>
        <v>NOT CONGESTED</v>
      </c>
      <c r="G222" t="b">
        <f t="shared" si="3"/>
        <v>1</v>
      </c>
      <c r="H222">
        <f>VLOOKUP($A222,'2021 Congestions'!$A$2:$E$257,3)</f>
        <v>17753</v>
      </c>
      <c r="I222">
        <f>VLOOKUP(A222,'Cleanup TMS'!$A$2:$CP$260,42)</f>
        <v>19155</v>
      </c>
      <c r="J222">
        <f>VLOOKUP($A222,'2021 Congestions'!$A$2:$E$257,4)</f>
        <v>1.4999999999999999E-2</v>
      </c>
      <c r="K222">
        <f>VLOOKUP(A222,'Cleanup TMS'!$A$2:$CP$260,61)</f>
        <v>0.01</v>
      </c>
      <c r="L222">
        <f>VLOOKUP($A222,'2021 Congestions'!$A$2:$E$257,5)</f>
        <v>0.48</v>
      </c>
      <c r="M222">
        <f>VLOOKUP(A222,'Cleanup TMS'!$A$2:$CP$260,57)</f>
        <v>0.46</v>
      </c>
    </row>
    <row r="223" spans="1:14" hidden="1">
      <c r="A223" s="1">
        <v>35331105</v>
      </c>
      <c r="B223" t="s">
        <v>727</v>
      </c>
      <c r="C223" t="s">
        <v>55</v>
      </c>
      <c r="D223" t="s">
        <v>56</v>
      </c>
      <c r="E223" t="str">
        <f>VLOOKUP(A223,'2021 Congestions'!$A$2:$E$257,2)</f>
        <v>NOT CONGESTED</v>
      </c>
      <c r="F223" t="str">
        <f>VLOOKUP(A223,'Cleanup TMS'!$A$2:$CP$260,94)</f>
        <v>NOT CONGESTED</v>
      </c>
      <c r="G223" t="b">
        <f t="shared" si="3"/>
        <v>1</v>
      </c>
      <c r="H223">
        <f>VLOOKUP($A223,'2021 Congestions'!$A$2:$E$257,3)</f>
        <v>19173</v>
      </c>
      <c r="I223">
        <f>VLOOKUP(A223,'Cleanup TMS'!$A$2:$CP$260,42)</f>
        <v>21232</v>
      </c>
      <c r="J223">
        <f>VLOOKUP($A223,'2021 Congestions'!$A$2:$E$257,4)</f>
        <v>2.2499999999999999E-2</v>
      </c>
      <c r="K223">
        <f>VLOOKUP(A223,'Cleanup TMS'!$A$2:$CP$260,61)</f>
        <v>0.01</v>
      </c>
      <c r="L223">
        <f>VLOOKUP($A223,'2021 Congestions'!$A$2:$E$257,5)</f>
        <v>0.45</v>
      </c>
      <c r="M223">
        <f>VLOOKUP(A223,'Cleanup TMS'!$A$2:$CP$260,57)</f>
        <v>0.54</v>
      </c>
    </row>
    <row r="224" spans="1:14" hidden="1">
      <c r="A224" s="1">
        <v>35371401</v>
      </c>
      <c r="B224" t="s">
        <v>716</v>
      </c>
      <c r="C224" t="s">
        <v>51</v>
      </c>
      <c r="D224" t="s">
        <v>53</v>
      </c>
      <c r="E224" t="str">
        <f>VLOOKUP(A224,'2021 Congestions'!$A$2:$E$257,2)</f>
        <v>NOT CONGESTED</v>
      </c>
      <c r="F224" t="str">
        <f>VLOOKUP(A224,'Cleanup TMS'!$A$2:$CP$260,94)</f>
        <v>NOT CONGESTED</v>
      </c>
      <c r="G224" t="b">
        <f t="shared" si="3"/>
        <v>1</v>
      </c>
      <c r="H224">
        <f>VLOOKUP($A224,'2021 Congestions'!$A$2:$E$257,3)</f>
        <v>20981.199999999953</v>
      </c>
      <c r="I224">
        <f>VLOOKUP(A224,'Cleanup TMS'!$A$2:$CP$260,42)</f>
        <v>20116.159999999916</v>
      </c>
      <c r="J224">
        <f>VLOOKUP($A224,'2021 Congestions'!$A$2:$E$257,4)</f>
        <v>0.01</v>
      </c>
      <c r="K224">
        <f>VLOOKUP(A224,'Cleanup TMS'!$A$2:$CP$260,61)</f>
        <v>0.01</v>
      </c>
      <c r="L224">
        <f>VLOOKUP($A224,'2021 Congestions'!$A$2:$E$257,5)</f>
        <v>0.56000000000000005</v>
      </c>
      <c r="M224">
        <f>VLOOKUP(A224,'Cleanup TMS'!$A$2:$CP$260,57)</f>
        <v>0.56000000000000005</v>
      </c>
    </row>
    <row r="225" spans="1:13" hidden="1">
      <c r="A225" s="1">
        <v>35380001</v>
      </c>
      <c r="B225" t="s">
        <v>738</v>
      </c>
      <c r="C225" t="s">
        <v>88</v>
      </c>
      <c r="D225" t="s">
        <v>741</v>
      </c>
      <c r="E225" t="str">
        <f>VLOOKUP(A225,'2021 Congestions'!$A$2:$E$257,2)</f>
        <v>NOT CONGESTED</v>
      </c>
      <c r="F225" t="str">
        <f>VLOOKUP(A225,'Cleanup TMS'!$A$2:$CP$260,94)</f>
        <v>NOT CONGESTED</v>
      </c>
      <c r="G225" t="b">
        <f t="shared" si="3"/>
        <v>1</v>
      </c>
      <c r="H225">
        <f>VLOOKUP($A225,'2021 Congestions'!$A$2:$E$257,3)</f>
        <v>1854</v>
      </c>
      <c r="I225">
        <f>VLOOKUP(A225,'Cleanup TMS'!$A$2:$CP$260,42)</f>
        <v>2299</v>
      </c>
      <c r="J225">
        <f>VLOOKUP($A225,'2021 Congestions'!$A$2:$E$257,4)</f>
        <v>0.01</v>
      </c>
      <c r="K225">
        <f>VLOOKUP(A225,'Cleanup TMS'!$A$2:$CP$260,61)</f>
        <v>0.01</v>
      </c>
      <c r="L225">
        <f>VLOOKUP($A225,'2021 Congestions'!$A$2:$E$257,5)</f>
        <v>0.15</v>
      </c>
      <c r="M225">
        <f>VLOOKUP(A225,'Cleanup TMS'!$A$2:$CP$260,57)</f>
        <v>0.16</v>
      </c>
    </row>
    <row r="226" spans="1:13" hidden="1">
      <c r="A226" s="1">
        <v>35411002</v>
      </c>
      <c r="B226" t="s">
        <v>714</v>
      </c>
      <c r="C226" t="s">
        <v>48</v>
      </c>
      <c r="D226" t="s">
        <v>49</v>
      </c>
      <c r="E226" t="str">
        <f>VLOOKUP(A226,'2021 Congestions'!$A$2:$E$257,2)</f>
        <v>CONGESTED (2020)</v>
      </c>
      <c r="F226" t="str">
        <f>VLOOKUP(A226,'Cleanup TMS'!$A$2:$CP$260,94)</f>
        <v>CONGESTED (2020)</v>
      </c>
      <c r="G226" t="b">
        <f t="shared" si="3"/>
        <v>1</v>
      </c>
      <c r="H226">
        <f>VLOOKUP($A226,'2021 Congestions'!$A$2:$E$257,3)</f>
        <v>7210</v>
      </c>
      <c r="I226">
        <f>VLOOKUP(A226,'Cleanup TMS'!$A$2:$CP$260,42)</f>
        <v>11070</v>
      </c>
      <c r="J226">
        <f>VLOOKUP($A226,'2021 Congestions'!$A$2:$E$257,4)</f>
        <v>0.01</v>
      </c>
      <c r="K226">
        <f>VLOOKUP(A226,'Cleanup TMS'!$A$2:$CP$260,61)</f>
        <v>5.7500000000000002E-2</v>
      </c>
      <c r="L226">
        <f>VLOOKUP($A226,'2021 Congestions'!$A$2:$E$257,5)</f>
        <v>0</v>
      </c>
      <c r="M226">
        <f>VLOOKUP(A226,'Cleanup TMS'!$A$2:$CP$260,57)</f>
        <v>0</v>
      </c>
    </row>
    <row r="227" spans="1:13" hidden="1">
      <c r="A227" s="1">
        <v>35411003</v>
      </c>
      <c r="B227" t="s">
        <v>714</v>
      </c>
      <c r="C227" t="s">
        <v>49</v>
      </c>
      <c r="D227" t="s">
        <v>727</v>
      </c>
      <c r="E227" t="str">
        <f>VLOOKUP(A227,'2021 Congestions'!$A$2:$E$257,2)</f>
        <v>CONGESTED (2020)</v>
      </c>
      <c r="F227" t="str">
        <f>VLOOKUP(A227,'Cleanup TMS'!$A$2:$CP$260,94)</f>
        <v>CONGESTED (2020)</v>
      </c>
      <c r="G227" t="b">
        <f t="shared" si="3"/>
        <v>1</v>
      </c>
      <c r="H227">
        <f>VLOOKUP($A227,'2021 Congestions'!$A$2:$E$257,3)</f>
        <v>12976</v>
      </c>
      <c r="I227">
        <f>VLOOKUP(A227,'Cleanup TMS'!$A$2:$CP$260,42)</f>
        <v>13377</v>
      </c>
      <c r="J227">
        <f>VLOOKUP($A227,'2021 Congestions'!$A$2:$E$257,4)</f>
        <v>6.5000000000000002E-2</v>
      </c>
      <c r="K227">
        <f>VLOOKUP(A227,'Cleanup TMS'!$A$2:$CP$260,61)</f>
        <v>4.4999999999999998E-2</v>
      </c>
      <c r="L227">
        <f>VLOOKUP($A227,'2021 Congestions'!$A$2:$E$257,5)</f>
        <v>0</v>
      </c>
      <c r="M227">
        <f>VLOOKUP(A227,'Cleanup TMS'!$A$2:$CP$260,57)</f>
        <v>0</v>
      </c>
    </row>
    <row r="228" spans="1:13" hidden="1">
      <c r="A228" s="1">
        <v>35411101</v>
      </c>
      <c r="B228" t="s">
        <v>714</v>
      </c>
      <c r="C228" t="s">
        <v>47</v>
      </c>
      <c r="D228" t="s">
        <v>48</v>
      </c>
      <c r="E228" t="str">
        <f>VLOOKUP(A228,'2021 Congestions'!$A$2:$E$257,2)</f>
        <v>CONGESTED (2020)</v>
      </c>
      <c r="F228" t="str">
        <f>VLOOKUP(A228,'Cleanup TMS'!$A$2:$CP$260,94)</f>
        <v>CONGESTED (2020)</v>
      </c>
      <c r="G228" t="b">
        <f t="shared" si="3"/>
        <v>1</v>
      </c>
      <c r="H228">
        <f>VLOOKUP($A228,'2021 Congestions'!$A$2:$E$257,3)</f>
        <v>13177.800000000047</v>
      </c>
      <c r="I228">
        <f>VLOOKUP(A228,'Cleanup TMS'!$A$2:$CP$260,42)</f>
        <v>14229.800000000047</v>
      </c>
      <c r="J228">
        <f>VLOOKUP($A228,'2021 Congestions'!$A$2:$E$257,4)</f>
        <v>5.7500000000000002E-2</v>
      </c>
      <c r="K228">
        <f>VLOOKUP(A228,'Cleanup TMS'!$A$2:$CP$260,61)</f>
        <v>0.05</v>
      </c>
      <c r="L228">
        <f>VLOOKUP($A228,'2021 Congestions'!$A$2:$E$257,5)</f>
        <v>0</v>
      </c>
      <c r="M228">
        <f>VLOOKUP(A228,'Cleanup TMS'!$A$2:$CP$260,57)</f>
        <v>0</v>
      </c>
    </row>
    <row r="229" spans="1:13" hidden="1">
      <c r="A229" s="1">
        <v>35431101</v>
      </c>
      <c r="B229" t="s">
        <v>726</v>
      </c>
      <c r="C229" t="s">
        <v>73</v>
      </c>
      <c r="D229" t="s">
        <v>702</v>
      </c>
      <c r="E229" t="str">
        <f>VLOOKUP(A229,'2021 Congestions'!$A$2:$E$257,2)</f>
        <v>NOT CONGESTED</v>
      </c>
      <c r="F229" t="str">
        <f>VLOOKUP(A229,'Cleanup TMS'!$A$2:$CP$260,94)</f>
        <v>NOT CONGESTED</v>
      </c>
      <c r="G229" t="b">
        <f t="shared" si="3"/>
        <v>1</v>
      </c>
      <c r="H229">
        <f>VLOOKUP($A229,'2021 Congestions'!$A$2:$E$257,3)</f>
        <v>7420.4000000000233</v>
      </c>
      <c r="I229">
        <f>VLOOKUP(A229,'Cleanup TMS'!$A$2:$CP$260,42)</f>
        <v>7717.7199999999721</v>
      </c>
      <c r="J229">
        <f>VLOOKUP($A229,'2021 Congestions'!$A$2:$E$257,4)</f>
        <v>3.7499999999999999E-2</v>
      </c>
      <c r="K229">
        <f>VLOOKUP(A229,'Cleanup TMS'!$A$2:$CP$260,61)</f>
        <v>4.7500000000000001E-2</v>
      </c>
      <c r="L229">
        <f>VLOOKUP($A229,'2021 Congestions'!$A$2:$E$257,5)</f>
        <v>0.52</v>
      </c>
      <c r="M229">
        <f>VLOOKUP(A229,'Cleanup TMS'!$A$2:$CP$260,57)</f>
        <v>0.52</v>
      </c>
    </row>
    <row r="230" spans="1:13" hidden="1">
      <c r="A230" s="1">
        <v>35431102</v>
      </c>
      <c r="B230" t="s">
        <v>726</v>
      </c>
      <c r="C230" t="s">
        <v>702</v>
      </c>
      <c r="D230" t="s">
        <v>18</v>
      </c>
      <c r="E230" t="str">
        <f>VLOOKUP(A230,'2021 Congestions'!$A$2:$E$257,2)</f>
        <v>NOT CONGESTED</v>
      </c>
      <c r="F230" t="str">
        <f>VLOOKUP(A230,'Cleanup TMS'!$A$2:$CP$260,94)</f>
        <v>NOT CONGESTED</v>
      </c>
      <c r="G230" t="b">
        <f t="shared" si="3"/>
        <v>1</v>
      </c>
      <c r="H230">
        <f>VLOOKUP($A230,'2021 Congestions'!$A$2:$E$257,3)</f>
        <v>6806</v>
      </c>
      <c r="I230">
        <f>VLOOKUP(A230,'Cleanup TMS'!$A$2:$CP$260,42)</f>
        <v>7136</v>
      </c>
      <c r="J230">
        <f>VLOOKUP($A230,'2021 Congestions'!$A$2:$E$257,4)</f>
        <v>0.02</v>
      </c>
      <c r="K230">
        <f>VLOOKUP(A230,'Cleanup TMS'!$A$2:$CP$260,61)</f>
        <v>2.75E-2</v>
      </c>
      <c r="L230">
        <f>VLOOKUP($A230,'2021 Congestions'!$A$2:$E$257,5)</f>
        <v>0.46</v>
      </c>
      <c r="M230">
        <f>VLOOKUP(A230,'Cleanup TMS'!$A$2:$CP$260,57)</f>
        <v>0.54</v>
      </c>
    </row>
    <row r="231" spans="1:13" hidden="1">
      <c r="A231" s="1">
        <v>35480001</v>
      </c>
      <c r="B231" t="s">
        <v>81</v>
      </c>
      <c r="C231" t="s">
        <v>142</v>
      </c>
      <c r="D231" t="s">
        <v>62</v>
      </c>
      <c r="E231" t="str">
        <f>VLOOKUP(A231,'2021 Congestions'!$A$2:$E$257,2)</f>
        <v>NOT CONGESTED</v>
      </c>
      <c r="F231" t="str">
        <f>VLOOKUP(A231,'Cleanup TMS'!$A$2:$CP$260,94)</f>
        <v>NOT CONGESTED</v>
      </c>
      <c r="G231" t="b">
        <f t="shared" si="3"/>
        <v>1</v>
      </c>
      <c r="H231">
        <f>VLOOKUP($A231,'2021 Congestions'!$A$2:$E$257,3)</f>
        <v>3500</v>
      </c>
      <c r="I231">
        <f>VLOOKUP(A231,'Cleanup TMS'!$A$2:$CP$260,42)</f>
        <v>4080</v>
      </c>
      <c r="J231">
        <f>VLOOKUP($A231,'2021 Congestions'!$A$2:$E$257,4)</f>
        <v>0.01</v>
      </c>
      <c r="K231">
        <f>VLOOKUP(A231,'Cleanup TMS'!$A$2:$CP$260,61)</f>
        <v>4.2500000000000003E-2</v>
      </c>
      <c r="L231">
        <f>VLOOKUP($A231,'2021 Congestions'!$A$2:$E$257,5)</f>
        <v>0.4</v>
      </c>
      <c r="M231">
        <f>VLOOKUP(A231,'Cleanup TMS'!$A$2:$CP$260,57)</f>
        <v>0.38</v>
      </c>
    </row>
    <row r="232" spans="1:13" hidden="1">
      <c r="A232" s="1">
        <v>35501001</v>
      </c>
      <c r="B232" t="s">
        <v>733</v>
      </c>
      <c r="C232" t="s">
        <v>71</v>
      </c>
      <c r="D232" t="s">
        <v>66</v>
      </c>
      <c r="E232" t="str">
        <f>VLOOKUP(A232,'2021 Congestions'!$A$2:$E$257,2)</f>
        <v>NOT CONGESTED</v>
      </c>
      <c r="F232" t="str">
        <f>VLOOKUP(A232,'Cleanup TMS'!$A$2:$CP$260,94)</f>
        <v>NOT CONGESTED</v>
      </c>
      <c r="G232" t="b">
        <f t="shared" si="3"/>
        <v>1</v>
      </c>
      <c r="H232">
        <f>VLOOKUP($A232,'2021 Congestions'!$A$2:$E$257,3)</f>
        <v>7981</v>
      </c>
      <c r="I232">
        <f>VLOOKUP(A232,'Cleanup TMS'!$A$2:$CP$260,42)</f>
        <v>8454</v>
      </c>
      <c r="J232">
        <f>VLOOKUP($A232,'2021 Congestions'!$A$2:$E$257,4)</f>
        <v>0.01</v>
      </c>
      <c r="K232">
        <f>VLOOKUP(A232,'Cleanup TMS'!$A$2:$CP$260,61)</f>
        <v>0.01</v>
      </c>
      <c r="L232">
        <f>VLOOKUP($A232,'2021 Congestions'!$A$2:$E$257,5)</f>
        <v>0.4</v>
      </c>
      <c r="M232">
        <f>VLOOKUP(A232,'Cleanup TMS'!$A$2:$CP$260,57)</f>
        <v>0.41</v>
      </c>
    </row>
    <row r="233" spans="1:13" hidden="1">
      <c r="A233" s="1">
        <v>35511201</v>
      </c>
      <c r="B233" t="s">
        <v>23</v>
      </c>
      <c r="C233" t="s">
        <v>41</v>
      </c>
      <c r="D233" t="s">
        <v>18</v>
      </c>
      <c r="E233" t="str">
        <f>VLOOKUP(A233,'2021 Congestions'!$A$2:$E$257,2)</f>
        <v>NOT CONGESTED</v>
      </c>
      <c r="F233" t="str">
        <f>VLOOKUP(A233,'Cleanup TMS'!$A$2:$CP$260,94)</f>
        <v>NOT CONGESTED</v>
      </c>
      <c r="G233" t="b">
        <f t="shared" si="3"/>
        <v>1</v>
      </c>
      <c r="H233">
        <f>VLOOKUP($A233,'2021 Congestions'!$A$2:$E$257,3)</f>
        <v>16190</v>
      </c>
      <c r="I233">
        <f>VLOOKUP(A233,'Cleanup TMS'!$A$2:$CP$260,42)</f>
        <v>17810</v>
      </c>
      <c r="J233">
        <f>VLOOKUP($A233,'2021 Congestions'!$A$2:$E$257,4)</f>
        <v>0.01</v>
      </c>
      <c r="K233">
        <f>VLOOKUP(A233,'Cleanup TMS'!$A$2:$CP$260,61)</f>
        <v>0.01</v>
      </c>
      <c r="L233">
        <f>VLOOKUP($A233,'2021 Congestions'!$A$2:$E$257,5)</f>
        <v>0.38</v>
      </c>
      <c r="M233">
        <f>VLOOKUP(A233,'Cleanup TMS'!$A$2:$CP$260,57)</f>
        <v>0.45</v>
      </c>
    </row>
    <row r="234" spans="1:13" hidden="1">
      <c r="A234" s="1">
        <v>35511202</v>
      </c>
      <c r="B234" t="s">
        <v>23</v>
      </c>
      <c r="C234" t="s">
        <v>18</v>
      </c>
      <c r="D234" t="s">
        <v>721</v>
      </c>
      <c r="E234" t="str">
        <f>VLOOKUP(A234,'2021 Congestions'!$A$2:$E$257,2)</f>
        <v>NOT CONGESTED</v>
      </c>
      <c r="F234" t="str">
        <f>VLOOKUP(A234,'Cleanup TMS'!$A$2:$CP$260,94)</f>
        <v>NOT CONGESTED</v>
      </c>
      <c r="G234" t="b">
        <f t="shared" si="3"/>
        <v>1</v>
      </c>
      <c r="H234">
        <f>VLOOKUP($A234,'2021 Congestions'!$A$2:$E$257,3)</f>
        <v>21610</v>
      </c>
      <c r="I234">
        <f>VLOOKUP(A234,'Cleanup TMS'!$A$2:$CP$260,42)</f>
        <v>21620</v>
      </c>
      <c r="J234">
        <f>VLOOKUP($A234,'2021 Congestions'!$A$2:$E$257,4)</f>
        <v>2.75E-2</v>
      </c>
      <c r="K234">
        <f>VLOOKUP(A234,'Cleanup TMS'!$A$2:$CP$260,61)</f>
        <v>1.4999999999999999E-2</v>
      </c>
      <c r="L234">
        <f>VLOOKUP($A234,'2021 Congestions'!$A$2:$E$257,5)</f>
        <v>0.51</v>
      </c>
      <c r="M234">
        <f>VLOOKUP(A234,'Cleanup TMS'!$A$2:$CP$260,57)</f>
        <v>0.49</v>
      </c>
    </row>
    <row r="235" spans="1:13" hidden="1">
      <c r="A235" s="1">
        <v>35541001</v>
      </c>
      <c r="B235" t="s">
        <v>717</v>
      </c>
      <c r="C235" t="s">
        <v>98</v>
      </c>
      <c r="D235" t="s">
        <v>66</v>
      </c>
      <c r="E235" t="str">
        <f>VLOOKUP(A235,'2021 Congestions'!$A$2:$E$257,2)</f>
        <v>NOT CONGESTED</v>
      </c>
      <c r="F235" t="str">
        <f>VLOOKUP(A235,'Cleanup TMS'!$A$2:$CP$260,94)</f>
        <v>NOT CONGESTED</v>
      </c>
      <c r="G235" t="b">
        <f t="shared" si="3"/>
        <v>1</v>
      </c>
      <c r="H235">
        <f>VLOOKUP($A235,'2021 Congestions'!$A$2:$E$257,3)</f>
        <v>12541</v>
      </c>
      <c r="I235">
        <f>VLOOKUP(A235,'Cleanup TMS'!$A$2:$CP$260,42)</f>
        <v>18941</v>
      </c>
      <c r="J235">
        <f>VLOOKUP($A235,'2021 Congestions'!$A$2:$E$257,4)</f>
        <v>6.7500000000000004E-2</v>
      </c>
      <c r="K235">
        <f>VLOOKUP(A235,'Cleanup TMS'!$A$2:$CP$260,61)</f>
        <v>6.25E-2</v>
      </c>
      <c r="L235">
        <f>VLOOKUP($A235,'2021 Congestions'!$A$2:$E$257,5)</f>
        <v>0.27</v>
      </c>
      <c r="M235">
        <f>VLOOKUP(A235,'Cleanup TMS'!$A$2:$CP$260,57)</f>
        <v>0.34</v>
      </c>
    </row>
    <row r="236" spans="1:13" hidden="1">
      <c r="A236" s="1">
        <v>35541002</v>
      </c>
      <c r="B236" t="s">
        <v>146</v>
      </c>
      <c r="C236" t="s">
        <v>66</v>
      </c>
      <c r="D236" t="s">
        <v>147</v>
      </c>
      <c r="E236" t="str">
        <f>VLOOKUP(A236,'2021 Congestions'!$A$2:$E$257,2)</f>
        <v>NOT CONGESTED</v>
      </c>
      <c r="F236" t="str">
        <f>VLOOKUP(A236,'Cleanup TMS'!$A$2:$CP$260,94)</f>
        <v>NOT CONGESTED</v>
      </c>
      <c r="G236" t="b">
        <f t="shared" si="3"/>
        <v>1</v>
      </c>
      <c r="H236">
        <f>VLOOKUP($A236,'2021 Congestions'!$A$2:$E$257,3)</f>
        <v>16750</v>
      </c>
      <c r="I236">
        <f>VLOOKUP(A236,'Cleanup TMS'!$A$2:$CP$260,42)</f>
        <v>17514</v>
      </c>
      <c r="J236">
        <f>VLOOKUP($A236,'2021 Congestions'!$A$2:$E$257,4)</f>
        <v>4.7500000000000001E-2</v>
      </c>
      <c r="K236">
        <f>VLOOKUP(A236,'Cleanup TMS'!$A$2:$CP$260,61)</f>
        <v>3.5000000000000003E-2</v>
      </c>
      <c r="L236">
        <f>VLOOKUP($A236,'2021 Congestions'!$A$2:$E$257,5)</f>
        <v>0.43</v>
      </c>
      <c r="M236">
        <f>VLOOKUP(A236,'Cleanup TMS'!$A$2:$CP$260,57)</f>
        <v>0.42</v>
      </c>
    </row>
    <row r="237" spans="1:13" hidden="1">
      <c r="A237" s="1">
        <v>35581601</v>
      </c>
      <c r="B237" t="s">
        <v>81</v>
      </c>
      <c r="C237" t="s">
        <v>730</v>
      </c>
      <c r="D237" t="s">
        <v>40</v>
      </c>
      <c r="E237" t="str">
        <f>VLOOKUP(A237,'2021 Congestions'!$A$2:$E$257,2)</f>
        <v>NOT CONGESTED</v>
      </c>
      <c r="F237" t="str">
        <f>VLOOKUP(A237,'Cleanup TMS'!$A$2:$CP$260,94)</f>
        <v>NOT CONGESTED</v>
      </c>
      <c r="G237" t="b">
        <f t="shared" si="3"/>
        <v>1</v>
      </c>
      <c r="H237">
        <f>VLOOKUP($A237,'2021 Congestions'!$A$2:$E$257,3)</f>
        <v>5980</v>
      </c>
      <c r="I237">
        <f>VLOOKUP(A237,'Cleanup TMS'!$A$2:$CP$260,42)</f>
        <v>5400</v>
      </c>
      <c r="J237">
        <f>VLOOKUP($A237,'2021 Congestions'!$A$2:$E$257,4)</f>
        <v>3.2500000000000001E-2</v>
      </c>
      <c r="K237">
        <f>VLOOKUP(A237,'Cleanup TMS'!$A$2:$CP$260,61)</f>
        <v>0.01</v>
      </c>
      <c r="L237">
        <f>VLOOKUP($A237,'2021 Congestions'!$A$2:$E$257,5)</f>
        <v>0.21</v>
      </c>
      <c r="M237">
        <f>VLOOKUP(A237,'Cleanup TMS'!$A$2:$CP$260,57)</f>
        <v>0.23</v>
      </c>
    </row>
    <row r="238" spans="1:13" hidden="1">
      <c r="A238" s="1">
        <v>40010001</v>
      </c>
      <c r="B238" t="s">
        <v>53</v>
      </c>
      <c r="C238" t="s">
        <v>757</v>
      </c>
      <c r="D238" t="s">
        <v>106</v>
      </c>
      <c r="E238" t="str">
        <f>VLOOKUP(A238,'2021 Congestions'!$A$2:$E$257,2)</f>
        <v>NOT CONGESTED</v>
      </c>
      <c r="F238" t="str">
        <f>VLOOKUP(A238,'Cleanup TMS'!$A$2:$CP$260,94)</f>
        <v>NOT CONGESTED</v>
      </c>
      <c r="G238" t="b">
        <f t="shared" si="3"/>
        <v>1</v>
      </c>
      <c r="H238">
        <f>VLOOKUP($A238,'2021 Congestions'!$A$2:$E$257,3)</f>
        <v>3521.2999999999884</v>
      </c>
      <c r="I238">
        <f>VLOOKUP(A238,'Cleanup TMS'!$A$2:$CP$260,42)</f>
        <v>3484.6399999999849</v>
      </c>
      <c r="J238">
        <f>VLOOKUP($A238,'2021 Congestions'!$A$2:$E$257,4)</f>
        <v>0.01</v>
      </c>
      <c r="K238">
        <f>VLOOKUP(A238,'Cleanup TMS'!$A$2:$CP$260,61)</f>
        <v>2.2499999999999999E-2</v>
      </c>
      <c r="L238">
        <f>VLOOKUP($A238,'2021 Congestions'!$A$2:$E$257,5)</f>
        <v>0.12</v>
      </c>
      <c r="M238">
        <f>VLOOKUP(A238,'Cleanup TMS'!$A$2:$CP$260,57)</f>
        <v>0.12</v>
      </c>
    </row>
    <row r="239" spans="1:13" hidden="1">
      <c r="A239" s="1">
        <v>40090001</v>
      </c>
      <c r="B239" t="s">
        <v>59</v>
      </c>
      <c r="C239" t="s">
        <v>758</v>
      </c>
      <c r="D239" t="s">
        <v>701</v>
      </c>
      <c r="E239" t="str">
        <f>VLOOKUP(A239,'2021 Congestions'!$A$2:$E$257,2)</f>
        <v>NOT CONGESTED</v>
      </c>
      <c r="F239" t="str">
        <f>VLOOKUP(A239,'Cleanup TMS'!$A$2:$CP$260,94)</f>
        <v>NOT CONGESTED</v>
      </c>
      <c r="G239" t="b">
        <f t="shared" si="3"/>
        <v>1</v>
      </c>
      <c r="H239">
        <f>VLOOKUP($A239,'2021 Congestions'!$A$2:$E$257,3)</f>
        <v>7582</v>
      </c>
      <c r="I239">
        <f>VLOOKUP(A239,'Cleanup TMS'!$A$2:$CP$260,42)</f>
        <v>11703</v>
      </c>
      <c r="J239">
        <f>VLOOKUP($A239,'2021 Congestions'!$A$2:$E$257,4)</f>
        <v>0.10250000000000001</v>
      </c>
      <c r="K239">
        <f>VLOOKUP(A239,'Cleanup TMS'!$A$2:$CP$260,61)</f>
        <v>8.2500000000000004E-2</v>
      </c>
      <c r="L239">
        <f>VLOOKUP($A239,'2021 Congestions'!$A$2:$E$257,5)</f>
        <v>0.3</v>
      </c>
      <c r="M239">
        <f>VLOOKUP(A239,'Cleanup TMS'!$A$2:$CP$260,57)</f>
        <v>0.43</v>
      </c>
    </row>
    <row r="240" spans="1:13" hidden="1">
      <c r="A240" s="1">
        <v>40090002</v>
      </c>
      <c r="B240" t="s">
        <v>59</v>
      </c>
      <c r="C240" t="s">
        <v>701</v>
      </c>
      <c r="D240" t="s">
        <v>744</v>
      </c>
      <c r="E240" t="str">
        <f>VLOOKUP(A240,'2021 Congestions'!$A$2:$E$257,2)</f>
        <v>NOT CONGESTED</v>
      </c>
      <c r="F240" t="str">
        <f>VLOOKUP(A240,'Cleanup TMS'!$A$2:$CP$260,94)</f>
        <v>NOT CONGESTED</v>
      </c>
      <c r="G240" t="b">
        <f t="shared" si="3"/>
        <v>1</v>
      </c>
      <c r="H240">
        <f>VLOOKUP($A240,'2021 Congestions'!$A$2:$E$257,3)</f>
        <v>7582</v>
      </c>
      <c r="I240">
        <f>VLOOKUP(A240,'Cleanup TMS'!$A$2:$CP$260,42)</f>
        <v>11703</v>
      </c>
      <c r="J240">
        <f>VLOOKUP($A240,'2021 Congestions'!$A$2:$E$257,4)</f>
        <v>0.10250000000000001</v>
      </c>
      <c r="K240">
        <f>VLOOKUP(A240,'Cleanup TMS'!$A$2:$CP$260,61)</f>
        <v>8.2500000000000004E-2</v>
      </c>
      <c r="L240">
        <f>VLOOKUP($A240,'2021 Congestions'!$A$2:$E$257,5)</f>
        <v>0.2</v>
      </c>
      <c r="M240">
        <f>VLOOKUP(A240,'Cleanup TMS'!$A$2:$CP$260,57)</f>
        <v>0.28999999999999998</v>
      </c>
    </row>
    <row r="241" spans="1:14" hidden="1">
      <c r="A241" s="1">
        <v>40090003</v>
      </c>
      <c r="B241" t="s">
        <v>859</v>
      </c>
      <c r="C241" t="s">
        <v>744</v>
      </c>
      <c r="D241" t="s">
        <v>860</v>
      </c>
      <c r="F241" t="str">
        <f>VLOOKUP(A241,'Cleanup TMS'!$A$2:$CP$260,94)</f>
        <v>NOT CONGESTED</v>
      </c>
      <c r="G241" t="b">
        <f t="shared" si="3"/>
        <v>0</v>
      </c>
      <c r="H241">
        <f>VLOOKUP($A241,'2021 Congestions'!$A$2:$E$257,3)</f>
        <v>5583</v>
      </c>
      <c r="I241">
        <f>VLOOKUP(A241,'Cleanup TMS'!$A$2:$CP$260,42)</f>
        <v>7639</v>
      </c>
      <c r="J241">
        <f>VLOOKUP($A241,'2021 Congestions'!$A$2:$E$257,4)</f>
        <v>0.01</v>
      </c>
      <c r="K241">
        <f>VLOOKUP(A241,'Cleanup TMS'!$A$2:$CP$260,61)</f>
        <v>0.05</v>
      </c>
      <c r="L241">
        <f>VLOOKUP($A241,'2021 Congestions'!$A$2:$E$257,5)</f>
        <v>0.41</v>
      </c>
      <c r="M241">
        <f>VLOOKUP(A241,'Cleanup TMS'!$A$2:$CP$260,57)</f>
        <v>0.61</v>
      </c>
    </row>
    <row r="242" spans="1:14" hidden="1">
      <c r="A242" s="1">
        <v>50000101</v>
      </c>
      <c r="B242" t="s">
        <v>18</v>
      </c>
      <c r="C242" t="s">
        <v>716</v>
      </c>
      <c r="D242" t="s">
        <v>32</v>
      </c>
      <c r="E242" t="str">
        <f>VLOOKUP(A242,'2021 Congestions'!$A$2:$E$257,2)</f>
        <v>NOT CONGESTED</v>
      </c>
      <c r="F242" t="str">
        <f>VLOOKUP(A242,'Cleanup TMS'!$A$2:$CP$260,94)</f>
        <v>NOT CONGESTED</v>
      </c>
      <c r="G242" t="b">
        <f t="shared" si="3"/>
        <v>1</v>
      </c>
      <c r="H242">
        <f>VLOOKUP($A242,'2021 Congestions'!$A$2:$E$257,3)</f>
        <v>19390</v>
      </c>
      <c r="I242">
        <f>VLOOKUP(A242,'Cleanup TMS'!$A$2:$CP$260,42)</f>
        <v>17841</v>
      </c>
      <c r="J242">
        <f>VLOOKUP($A242,'2021 Congestions'!$A$2:$E$257,4)</f>
        <v>0.01</v>
      </c>
      <c r="K242">
        <f>VLOOKUP(A242,'Cleanup TMS'!$A$2:$CP$260,61)</f>
        <v>0.01</v>
      </c>
      <c r="L242">
        <f>VLOOKUP($A242,'2021 Congestions'!$A$2:$E$257,5)</f>
        <v>0.57999999999999996</v>
      </c>
      <c r="M242">
        <f>VLOOKUP(A242,'Cleanup TMS'!$A$2:$CP$260,57)</f>
        <v>0.55000000000000004</v>
      </c>
    </row>
    <row r="243" spans="1:14" hidden="1">
      <c r="A243" s="1">
        <v>50000102</v>
      </c>
      <c r="B243" t="s">
        <v>18</v>
      </c>
      <c r="C243" t="s">
        <v>32</v>
      </c>
      <c r="D243" t="s">
        <v>33</v>
      </c>
      <c r="E243" t="str">
        <f>VLOOKUP(A243,'2021 Congestions'!$A$2:$E$257,2)</f>
        <v>NOT CONGESTED</v>
      </c>
      <c r="F243" t="str">
        <f>VLOOKUP(A243,'Cleanup TMS'!$A$2:$CP$260,94)</f>
        <v>NOT CONGESTED</v>
      </c>
      <c r="G243" t="b">
        <f t="shared" si="3"/>
        <v>1</v>
      </c>
      <c r="H243">
        <f>VLOOKUP($A243,'2021 Congestions'!$A$2:$E$257,3)</f>
        <v>20056</v>
      </c>
      <c r="I243">
        <f>VLOOKUP(A243,'Cleanup TMS'!$A$2:$CP$260,42)</f>
        <v>19234</v>
      </c>
      <c r="J243">
        <f>VLOOKUP($A243,'2021 Congestions'!$A$2:$E$257,4)</f>
        <v>0.01</v>
      </c>
      <c r="K243">
        <f>VLOOKUP(A243,'Cleanup TMS'!$A$2:$CP$260,61)</f>
        <v>0.01</v>
      </c>
      <c r="L243">
        <f>VLOOKUP($A243,'2021 Congestions'!$A$2:$E$257,5)</f>
        <v>0.6</v>
      </c>
      <c r="M243">
        <f>VLOOKUP(A243,'Cleanup TMS'!$A$2:$CP$260,57)</f>
        <v>0.61</v>
      </c>
    </row>
    <row r="244" spans="1:14">
      <c r="A244" s="1">
        <v>59999951</v>
      </c>
      <c r="B244" t="s">
        <v>22</v>
      </c>
      <c r="C244" t="s">
        <v>727</v>
      </c>
      <c r="D244" t="s">
        <v>700</v>
      </c>
      <c r="E244" t="str">
        <f>VLOOKUP(A244,'2021 Congestions'!$A$2:$E$257,2)</f>
        <v>APPROACHING CONGESTION</v>
      </c>
      <c r="F244" t="str">
        <f>VLOOKUP(A244,'Cleanup TMS'!$A$2:$CP$260,94)</f>
        <v>NOT CONGESTED</v>
      </c>
      <c r="G244" t="b">
        <f t="shared" si="3"/>
        <v>0</v>
      </c>
      <c r="H244">
        <f>VLOOKUP($A244,'2021 Congestions'!$A$2:$E$257,3)</f>
        <v>22085</v>
      </c>
      <c r="I244">
        <f>VLOOKUP(A244,'Cleanup TMS'!$A$2:$CP$260,42)</f>
        <v>23375</v>
      </c>
      <c r="J244">
        <f>VLOOKUP($A244,'2021 Congestions'!$A$2:$E$257,4)</f>
        <v>2.2499999999999999E-2</v>
      </c>
      <c r="K244">
        <f>VLOOKUP(A244,'Cleanup TMS'!$A$2:$CP$260,61)</f>
        <v>0.01</v>
      </c>
      <c r="L244">
        <f>VLOOKUP($A244,'2021 Congestions'!$A$2:$E$257,5)</f>
        <v>0.87</v>
      </c>
      <c r="M244">
        <f>VLOOKUP(A244,'Cleanup TMS'!$A$2:$CP$260,57)</f>
        <v>0.77</v>
      </c>
      <c r="N244" t="s">
        <v>1150</v>
      </c>
    </row>
    <row r="245" spans="1:14" hidden="1">
      <c r="A245" s="1">
        <v>59999952</v>
      </c>
      <c r="B245" t="s">
        <v>22</v>
      </c>
      <c r="C245" t="s">
        <v>700</v>
      </c>
      <c r="D245" t="s">
        <v>19</v>
      </c>
      <c r="E245" t="str">
        <f>VLOOKUP(A245,'2021 Congestions'!$A$2:$E$257,2)</f>
        <v>NOT CONGESTED</v>
      </c>
      <c r="F245" t="str">
        <f>VLOOKUP(A245,'Cleanup TMS'!$A$2:$CP$260,94)</f>
        <v>NOT CONGESTED</v>
      </c>
      <c r="G245" t="b">
        <f t="shared" si="3"/>
        <v>1</v>
      </c>
      <c r="H245">
        <f>VLOOKUP($A245,'2021 Congestions'!$A$2:$E$257,3)</f>
        <v>13824</v>
      </c>
      <c r="I245">
        <f>VLOOKUP(A245,'Cleanup TMS'!$A$2:$CP$260,42)</f>
        <v>15263</v>
      </c>
      <c r="J245">
        <f>VLOOKUP($A245,'2021 Congestions'!$A$2:$E$257,4)</f>
        <v>1.2500000000000001E-2</v>
      </c>
      <c r="K245">
        <f>VLOOKUP(A245,'Cleanup TMS'!$A$2:$CP$260,61)</f>
        <v>0.01</v>
      </c>
      <c r="L245">
        <f>VLOOKUP($A245,'2021 Congestions'!$A$2:$E$257,5)</f>
        <v>0.45</v>
      </c>
      <c r="M245">
        <f>VLOOKUP(A245,'Cleanup TMS'!$A$2:$CP$260,57)</f>
        <v>0.5</v>
      </c>
    </row>
    <row r="246" spans="1:14" hidden="1">
      <c r="A246" s="1">
        <v>59999953</v>
      </c>
      <c r="B246" t="s">
        <v>22</v>
      </c>
      <c r="C246" t="s">
        <v>19</v>
      </c>
      <c r="D246" t="s">
        <v>699</v>
      </c>
      <c r="E246" t="str">
        <f>VLOOKUP(A246,'2021 Congestions'!$A$2:$E$257,2)</f>
        <v>NOT CONGESTED</v>
      </c>
      <c r="F246" t="str">
        <f>VLOOKUP(A246,'Cleanup TMS'!$A$2:$CP$260,94)</f>
        <v>NOT CONGESTED</v>
      </c>
      <c r="G246" t="b">
        <f t="shared" si="3"/>
        <v>1</v>
      </c>
      <c r="H246">
        <f>VLOOKUP($A246,'2021 Congestions'!$A$2:$E$257,3)</f>
        <v>11931</v>
      </c>
      <c r="I246">
        <f>VLOOKUP(A246,'Cleanup TMS'!$A$2:$CP$260,42)</f>
        <v>12929</v>
      </c>
      <c r="J246">
        <f>VLOOKUP($A246,'2021 Congestions'!$A$2:$E$257,4)</f>
        <v>0.01</v>
      </c>
      <c r="K246">
        <f>VLOOKUP(A246,'Cleanup TMS'!$A$2:$CP$260,61)</f>
        <v>0.01</v>
      </c>
      <c r="L246">
        <f>VLOOKUP($A246,'2021 Congestions'!$A$2:$E$257,5)</f>
        <v>0.39</v>
      </c>
      <c r="M246">
        <f>VLOOKUP(A246,'Cleanup TMS'!$A$2:$CP$260,57)</f>
        <v>0.42</v>
      </c>
    </row>
    <row r="247" spans="1:14" hidden="1">
      <c r="A247" s="1">
        <v>59999954</v>
      </c>
      <c r="B247" t="s">
        <v>22</v>
      </c>
      <c r="C247" t="s">
        <v>699</v>
      </c>
      <c r="D247" t="s">
        <v>102</v>
      </c>
      <c r="E247" t="str">
        <f>VLOOKUP(A247,'2021 Congestions'!$A$2:$E$257,2)</f>
        <v>NOT CONGESTED</v>
      </c>
      <c r="F247" t="str">
        <f>VLOOKUP(A247,'Cleanup TMS'!$A$2:$CP$260,94)</f>
        <v>NOT CONGESTED</v>
      </c>
      <c r="G247" t="b">
        <f t="shared" si="3"/>
        <v>1</v>
      </c>
      <c r="H247">
        <f>VLOOKUP($A247,'2021 Congestions'!$A$2:$E$257,3)</f>
        <v>14641</v>
      </c>
      <c r="I247">
        <f>VLOOKUP(A247,'Cleanup TMS'!$A$2:$CP$260,42)</f>
        <v>15312</v>
      </c>
      <c r="J247">
        <f>VLOOKUP($A247,'2021 Congestions'!$A$2:$E$257,4)</f>
        <v>0.01</v>
      </c>
      <c r="K247">
        <f>VLOOKUP(A247,'Cleanup TMS'!$A$2:$CP$260,61)</f>
        <v>0.01</v>
      </c>
      <c r="L247">
        <f>VLOOKUP($A247,'2021 Congestions'!$A$2:$E$257,5)</f>
        <v>0.52</v>
      </c>
      <c r="M247">
        <f>VLOOKUP(A247,'Cleanup TMS'!$A$2:$CP$260,57)</f>
        <v>0.51</v>
      </c>
    </row>
    <row r="248" spans="1:14" hidden="1">
      <c r="A248" s="1">
        <v>59999955</v>
      </c>
      <c r="B248" t="s">
        <v>22</v>
      </c>
      <c r="C248" t="s">
        <v>102</v>
      </c>
      <c r="D248" t="s">
        <v>716</v>
      </c>
      <c r="E248" t="str">
        <f>VLOOKUP(A248,'2021 Congestions'!$A$2:$E$257,2)</f>
        <v>NOT CONGESTED</v>
      </c>
      <c r="F248" t="str">
        <f>VLOOKUP(A248,'Cleanup TMS'!$A$2:$CP$260,94)</f>
        <v>NOT CONGESTED</v>
      </c>
      <c r="G248" t="b">
        <f t="shared" si="3"/>
        <v>1</v>
      </c>
      <c r="H248">
        <f>VLOOKUP($A248,'2021 Congestions'!$A$2:$E$257,3)</f>
        <v>26200</v>
      </c>
      <c r="I248">
        <f>VLOOKUP(A248,'Cleanup TMS'!$A$2:$CP$260,42)</f>
        <v>23474</v>
      </c>
      <c r="J248">
        <f>VLOOKUP($A248,'2021 Congestions'!$A$2:$E$257,4)</f>
        <v>0.01</v>
      </c>
      <c r="K248">
        <f>VLOOKUP(A248,'Cleanup TMS'!$A$2:$CP$260,61)</f>
        <v>0.01</v>
      </c>
      <c r="L248">
        <f>VLOOKUP($A248,'2021 Congestions'!$A$2:$E$257,5)</f>
        <v>0.79</v>
      </c>
      <c r="M248">
        <f>VLOOKUP(A248,'Cleanup TMS'!$A$2:$CP$260,57)</f>
        <v>0.75</v>
      </c>
      <c r="N248" t="s">
        <v>890</v>
      </c>
    </row>
    <row r="249" spans="1:14" hidden="1">
      <c r="A249" s="1">
        <v>60000051</v>
      </c>
      <c r="B249" t="s">
        <v>18</v>
      </c>
      <c r="C249" t="s">
        <v>14</v>
      </c>
      <c r="D249" t="s">
        <v>700</v>
      </c>
      <c r="E249" t="str">
        <f>VLOOKUP(A249,'2021 Congestions'!$A$2:$E$257,2)</f>
        <v>NOT CONGESTED</v>
      </c>
      <c r="F249" t="str">
        <f>VLOOKUP(A249,'Cleanup TMS'!$A$2:$CP$260,94)</f>
        <v>NOT CONGESTED</v>
      </c>
      <c r="G249" t="b">
        <f t="shared" si="3"/>
        <v>1</v>
      </c>
      <c r="H249">
        <f>VLOOKUP($A249,'2021 Congestions'!$A$2:$E$257,3)</f>
        <v>14067</v>
      </c>
      <c r="I249">
        <f>VLOOKUP(A249,'Cleanup TMS'!$A$2:$CP$260,42)</f>
        <v>15651</v>
      </c>
      <c r="J249">
        <f>VLOOKUP($A249,'2021 Congestions'!$A$2:$E$257,4)</f>
        <v>0.01</v>
      </c>
      <c r="K249">
        <f>VLOOKUP(A249,'Cleanup TMS'!$A$2:$CP$260,61)</f>
        <v>0.01</v>
      </c>
      <c r="L249">
        <f>VLOOKUP($A249,'2021 Congestions'!$A$2:$E$257,5)</f>
        <v>0.47</v>
      </c>
      <c r="M249">
        <f>VLOOKUP(A249,'Cleanup TMS'!$A$2:$CP$260,57)</f>
        <v>0.53</v>
      </c>
    </row>
    <row r="250" spans="1:14" hidden="1">
      <c r="A250" s="1">
        <v>60000052</v>
      </c>
      <c r="B250" t="s">
        <v>18</v>
      </c>
      <c r="C250" t="s">
        <v>700</v>
      </c>
      <c r="D250" t="s">
        <v>19</v>
      </c>
      <c r="E250" t="str">
        <f>VLOOKUP(A250,'2021 Congestions'!$A$2:$E$257,2)</f>
        <v>NOT CONGESTED</v>
      </c>
      <c r="F250" t="str">
        <f>VLOOKUP(A250,'Cleanup TMS'!$A$2:$CP$260,94)</f>
        <v>NOT CONGESTED</v>
      </c>
      <c r="G250" t="b">
        <f t="shared" si="3"/>
        <v>1</v>
      </c>
      <c r="H250">
        <f>VLOOKUP($A250,'2021 Congestions'!$A$2:$E$257,3)</f>
        <v>11886</v>
      </c>
      <c r="I250">
        <f>VLOOKUP(A250,'Cleanup TMS'!$A$2:$CP$260,42)</f>
        <v>12583</v>
      </c>
      <c r="J250">
        <f>VLOOKUP($A250,'2021 Congestions'!$A$2:$E$257,4)</f>
        <v>0.01</v>
      </c>
      <c r="K250">
        <f>VLOOKUP(A250,'Cleanup TMS'!$A$2:$CP$260,61)</f>
        <v>0.01</v>
      </c>
      <c r="L250">
        <f>VLOOKUP($A250,'2021 Congestions'!$A$2:$E$257,5)</f>
        <v>0.38</v>
      </c>
      <c r="M250">
        <f>VLOOKUP(A250,'Cleanup TMS'!$A$2:$CP$260,57)</f>
        <v>0.44</v>
      </c>
    </row>
    <row r="251" spans="1:14" hidden="1">
      <c r="A251" s="1">
        <v>60000053</v>
      </c>
      <c r="B251" t="s">
        <v>18</v>
      </c>
      <c r="C251" t="s">
        <v>19</v>
      </c>
      <c r="D251" t="s">
        <v>699</v>
      </c>
      <c r="E251" t="str">
        <f>VLOOKUP(A251,'2021 Congestions'!$A$2:$E$257,2)</f>
        <v>NOT CONGESTED</v>
      </c>
      <c r="F251" t="str">
        <f>VLOOKUP(A251,'Cleanup TMS'!$A$2:$CP$260,94)</f>
        <v>NOT CONGESTED</v>
      </c>
      <c r="G251" t="b">
        <f t="shared" si="3"/>
        <v>1</v>
      </c>
      <c r="H251">
        <f>VLOOKUP($A251,'2021 Congestions'!$A$2:$E$257,3)</f>
        <v>12972</v>
      </c>
      <c r="I251">
        <f>VLOOKUP(A251,'Cleanup TMS'!$A$2:$CP$260,42)</f>
        <v>13597</v>
      </c>
      <c r="J251">
        <f>VLOOKUP($A251,'2021 Congestions'!$A$2:$E$257,4)</f>
        <v>0.01</v>
      </c>
      <c r="K251">
        <f>VLOOKUP(A251,'Cleanup TMS'!$A$2:$CP$260,61)</f>
        <v>0.01</v>
      </c>
      <c r="L251">
        <f>VLOOKUP($A251,'2021 Congestions'!$A$2:$E$257,5)</f>
        <v>0.45</v>
      </c>
      <c r="M251">
        <f>VLOOKUP(A251,'Cleanup TMS'!$A$2:$CP$260,57)</f>
        <v>0.48</v>
      </c>
    </row>
    <row r="252" spans="1:14" hidden="1">
      <c r="A252" s="1">
        <v>60000054</v>
      </c>
      <c r="B252" t="s">
        <v>18</v>
      </c>
      <c r="C252" t="s">
        <v>699</v>
      </c>
      <c r="D252" t="s">
        <v>102</v>
      </c>
      <c r="E252" t="str">
        <f>VLOOKUP(A252,'2021 Congestions'!$A$2:$E$257,2)</f>
        <v>NOT CONGESTED</v>
      </c>
      <c r="F252" t="str">
        <f>VLOOKUP(A252,'Cleanup TMS'!$A$2:$CP$260,94)</f>
        <v>NOT CONGESTED</v>
      </c>
      <c r="G252" t="b">
        <f t="shared" si="3"/>
        <v>1</v>
      </c>
      <c r="H252">
        <f>VLOOKUP($A252,'2021 Congestions'!$A$2:$E$257,3)</f>
        <v>20739</v>
      </c>
      <c r="I252">
        <f>VLOOKUP(A252,'Cleanup TMS'!$A$2:$CP$260,42)</f>
        <v>21217</v>
      </c>
      <c r="J252">
        <f>VLOOKUP($A252,'2021 Congestions'!$A$2:$E$257,4)</f>
        <v>0.01</v>
      </c>
      <c r="K252">
        <f>VLOOKUP(A252,'Cleanup TMS'!$A$2:$CP$260,61)</f>
        <v>0.01</v>
      </c>
      <c r="L252">
        <f>VLOOKUP($A252,'2021 Congestions'!$A$2:$E$257,5)</f>
        <v>0.73</v>
      </c>
      <c r="M252">
        <f>VLOOKUP(A252,'Cleanup TMS'!$A$2:$CP$260,57)</f>
        <v>0.73</v>
      </c>
    </row>
    <row r="253" spans="1:14" hidden="1">
      <c r="A253" s="1">
        <v>60000055</v>
      </c>
      <c r="B253" t="s">
        <v>18</v>
      </c>
      <c r="C253" t="s">
        <v>102</v>
      </c>
      <c r="D253" t="s">
        <v>29</v>
      </c>
      <c r="E253" t="str">
        <f>VLOOKUP(A253,'2021 Congestions'!$A$2:$E$257,2)</f>
        <v>NOT CONGESTED</v>
      </c>
      <c r="F253" t="str">
        <f>VLOOKUP(A253,'Cleanup TMS'!$A$2:$CP$260,94)</f>
        <v>NOT CONGESTED</v>
      </c>
      <c r="G253" t="b">
        <f t="shared" si="3"/>
        <v>1</v>
      </c>
      <c r="H253">
        <f>VLOOKUP($A253,'2021 Congestions'!$A$2:$E$257,3)</f>
        <v>16957</v>
      </c>
      <c r="I253">
        <f>VLOOKUP(A253,'Cleanup TMS'!$A$2:$CP$260,42)</f>
        <v>17165</v>
      </c>
      <c r="J253">
        <f>VLOOKUP($A253,'2021 Congestions'!$A$2:$E$257,4)</f>
        <v>0.01</v>
      </c>
      <c r="K253">
        <f>VLOOKUP(A253,'Cleanup TMS'!$A$2:$CP$260,61)</f>
        <v>0.01</v>
      </c>
      <c r="L253">
        <f>VLOOKUP($A253,'2021 Congestions'!$A$2:$E$257,5)</f>
        <v>0.54</v>
      </c>
      <c r="M253">
        <f>VLOOKUP(A253,'Cleanup TMS'!$A$2:$CP$260,57)</f>
        <v>0.62</v>
      </c>
    </row>
    <row r="254" spans="1:14" hidden="1">
      <c r="A254" s="1">
        <v>60000056</v>
      </c>
      <c r="B254" t="s">
        <v>18</v>
      </c>
      <c r="C254" t="s">
        <v>29</v>
      </c>
      <c r="D254" t="s">
        <v>705</v>
      </c>
      <c r="E254" t="str">
        <f>VLOOKUP(A254,'2021 Congestions'!$A$2:$E$257,2)</f>
        <v>NOT CONGESTED</v>
      </c>
      <c r="F254" t="str">
        <f>VLOOKUP(A254,'Cleanup TMS'!$A$2:$CP$260,94)</f>
        <v>NOT CONGESTED</v>
      </c>
      <c r="G254" t="b">
        <f t="shared" si="3"/>
        <v>1</v>
      </c>
      <c r="H254">
        <f>VLOOKUP($A254,'2021 Congestions'!$A$2:$E$257,3)</f>
        <v>21275</v>
      </c>
      <c r="I254">
        <f>VLOOKUP(A254,'Cleanup TMS'!$A$2:$CP$260,42)</f>
        <v>20459</v>
      </c>
      <c r="J254">
        <f>VLOOKUP($A254,'2021 Congestions'!$A$2:$E$257,4)</f>
        <v>0.01</v>
      </c>
      <c r="K254">
        <f>VLOOKUP(A254,'Cleanup TMS'!$A$2:$CP$260,61)</f>
        <v>0.01</v>
      </c>
      <c r="L254">
        <f>VLOOKUP($A254,'2021 Congestions'!$A$2:$E$257,5)</f>
        <v>0.68</v>
      </c>
      <c r="M254">
        <f>VLOOKUP(A254,'Cleanup TMS'!$A$2:$CP$260,57)</f>
        <v>0.68</v>
      </c>
    </row>
    <row r="255" spans="1:14" hidden="1">
      <c r="A255" s="1">
        <v>60000201</v>
      </c>
      <c r="B255" t="s">
        <v>124</v>
      </c>
      <c r="C255" t="s">
        <v>125</v>
      </c>
      <c r="D255" t="s">
        <v>22</v>
      </c>
      <c r="E255" t="str">
        <f>VLOOKUP(A255,'2021 Congestions'!$A$2:$E$257,2)</f>
        <v/>
      </c>
      <c r="F255" t="str">
        <f>VLOOKUP(A255,'Cleanup TMS'!$A$2:$CP$260,94)</f>
        <v/>
      </c>
      <c r="G255" t="b">
        <f t="shared" si="3"/>
        <v>1</v>
      </c>
      <c r="H255" t="str">
        <f>VLOOKUP($A255,'2021 Congestions'!$A$2:$E$257,3)</f>
        <v>-</v>
      </c>
      <c r="I255" t="str">
        <f>VLOOKUP(A255,'Cleanup TMS'!$A$2:$CP$260,42)</f>
        <v>-</v>
      </c>
      <c r="J255" t="str">
        <f>VLOOKUP($A255,'2021 Congestions'!$A$2:$E$257,4)</f>
        <v/>
      </c>
      <c r="K255" t="str">
        <f>VLOOKUP(A255,'Cleanup TMS'!$A$2:$CP$260,61)</f>
        <v/>
      </c>
      <c r="L255">
        <f>VLOOKUP($A255,'2021 Congestions'!$A$2:$E$257,5)</f>
        <v>0</v>
      </c>
      <c r="M255">
        <f>VLOOKUP(A255,'Cleanup TMS'!$A$2:$CP$260,57)</f>
        <v>0</v>
      </c>
    </row>
    <row r="256" spans="1:14" hidden="1">
      <c r="A256" s="1">
        <v>60000801</v>
      </c>
      <c r="B256" t="s">
        <v>17</v>
      </c>
      <c r="C256" t="s">
        <v>104</v>
      </c>
      <c r="D256" t="s">
        <v>105</v>
      </c>
      <c r="E256" t="str">
        <f>VLOOKUP(A256,'2021 Congestions'!$A$2:$E$257,2)</f>
        <v>NOT CONGESTED</v>
      </c>
      <c r="F256" t="str">
        <f>VLOOKUP(A256,'Cleanup TMS'!$A$2:$CP$260,94)</f>
        <v>NOT CONGESTED</v>
      </c>
      <c r="G256" t="b">
        <f t="shared" si="3"/>
        <v>1</v>
      </c>
      <c r="H256">
        <f>VLOOKUP($A256,'2021 Congestions'!$A$2:$E$257,3)</f>
        <v>1135</v>
      </c>
      <c r="I256">
        <f>VLOOKUP(A256,'Cleanup TMS'!$A$2:$CP$260,42)</f>
        <v>1120</v>
      </c>
      <c r="J256">
        <f>VLOOKUP($A256,'2021 Congestions'!$A$2:$E$257,4)</f>
        <v>0.01</v>
      </c>
      <c r="K256">
        <f>VLOOKUP(A256,'Cleanup TMS'!$A$2:$CP$260,61)</f>
        <v>0.01</v>
      </c>
      <c r="L256">
        <f>VLOOKUP($A256,'2021 Congestions'!$A$2:$E$257,5)</f>
        <v>0.08</v>
      </c>
      <c r="M256">
        <f>VLOOKUP(A256,'Cleanup TMS'!$A$2:$CP$260,57)</f>
        <v>0.13</v>
      </c>
    </row>
    <row r="257" spans="1:13" hidden="1">
      <c r="A257" s="1">
        <v>60001001</v>
      </c>
      <c r="B257" t="s">
        <v>697</v>
      </c>
      <c r="C257" t="s">
        <v>129</v>
      </c>
      <c r="D257" t="s">
        <v>773</v>
      </c>
      <c r="E257" t="str">
        <f>VLOOKUP(A257,'2021 Congestions'!$A$2:$E$257,2)</f>
        <v>NOT CONGESTED</v>
      </c>
      <c r="F257" t="str">
        <f>VLOOKUP(A257,'Cleanup TMS'!$A$2:$CP$260,94)</f>
        <v>NOT CONGESTED</v>
      </c>
      <c r="G257" t="b">
        <f t="shared" si="3"/>
        <v>1</v>
      </c>
      <c r="H257">
        <f>VLOOKUP($A257,'2021 Congestions'!$A$2:$E$257,3)</f>
        <v>5485</v>
      </c>
      <c r="I257">
        <f>VLOOKUP(A257,'Cleanup TMS'!$A$2:$CP$260,42)</f>
        <v>6792</v>
      </c>
      <c r="J257">
        <f>VLOOKUP($A257,'2021 Congestions'!$A$2:$E$257,4)</f>
        <v>0.01</v>
      </c>
      <c r="K257">
        <f>VLOOKUP(A257,'Cleanup TMS'!$A$2:$CP$260,61)</f>
        <v>0.01</v>
      </c>
      <c r="L257">
        <f>VLOOKUP($A257,'2021 Congestions'!$A$2:$E$257,5)</f>
        <v>0.48</v>
      </c>
      <c r="M257">
        <f>VLOOKUP(A257,'Cleanup TMS'!$A$2:$CP$260,57)</f>
        <v>0.54</v>
      </c>
    </row>
    <row r="258" spans="1:13" hidden="1">
      <c r="A258" s="1">
        <v>60001051</v>
      </c>
      <c r="B258" t="s">
        <v>697</v>
      </c>
      <c r="C258" t="s">
        <v>130</v>
      </c>
      <c r="D258" t="s">
        <v>131</v>
      </c>
      <c r="E258" t="str">
        <f>VLOOKUP(A258,'2021 Congestions'!$A$2:$E$257,2)</f>
        <v>NOT CONGESTED</v>
      </c>
      <c r="F258" t="str">
        <f>VLOOKUP(A258,'Cleanup TMS'!$A$2:$CP$260,94)</f>
        <v>NOT CONGESTED</v>
      </c>
      <c r="G258" t="b">
        <f t="shared" ref="G258:G260" si="4">F258=E258</f>
        <v>1</v>
      </c>
      <c r="H258">
        <f>VLOOKUP($A258,'2021 Congestions'!$A$2:$E$257,3)</f>
        <v>5485</v>
      </c>
      <c r="I258">
        <f>VLOOKUP(A258,'Cleanup TMS'!$A$2:$CP$260,42)</f>
        <v>7857</v>
      </c>
      <c r="J258">
        <f>VLOOKUP($A258,'2021 Congestions'!$A$2:$E$257,4)</f>
        <v>0.01</v>
      </c>
      <c r="K258">
        <f>VLOOKUP(A258,'Cleanup TMS'!$A$2:$CP$260,61)</f>
        <v>0.01</v>
      </c>
      <c r="L258">
        <f>VLOOKUP($A258,'2021 Congestions'!$A$2:$E$257,5)</f>
        <v>0.48</v>
      </c>
      <c r="M258">
        <f>VLOOKUP(A258,'Cleanup TMS'!$A$2:$CP$260,57)</f>
        <v>0.65</v>
      </c>
    </row>
    <row r="259" spans="1:13" hidden="1">
      <c r="A259" s="1">
        <v>355113021</v>
      </c>
      <c r="B259" t="s">
        <v>23</v>
      </c>
      <c r="C259" t="s">
        <v>721</v>
      </c>
      <c r="D259" t="s">
        <v>56</v>
      </c>
      <c r="E259" t="str">
        <f>VLOOKUP(A259,'2021 Congestions'!$A$2:$E$257,2)</f>
        <v>NOT CONGESTED</v>
      </c>
      <c r="F259" t="str">
        <f>VLOOKUP(A259,'Cleanup TMS'!$A$2:$CP$260,94)</f>
        <v>NOT CONGESTED</v>
      </c>
      <c r="G259" t="b">
        <f t="shared" si="4"/>
        <v>1</v>
      </c>
      <c r="H259">
        <f>VLOOKUP($A259,'2021 Congestions'!$A$2:$E$257,3)</f>
        <v>5485</v>
      </c>
      <c r="I259">
        <f>VLOOKUP(A259,'Cleanup TMS'!$A$2:$CP$260,42)</f>
        <v>21620</v>
      </c>
      <c r="J259">
        <f>VLOOKUP($A259,'2021 Congestions'!$A$2:$E$257,4)</f>
        <v>0.01</v>
      </c>
      <c r="K259">
        <f>VLOOKUP(A259,'Cleanup TMS'!$A$2:$CP$260,61)</f>
        <v>1.4999999999999999E-2</v>
      </c>
      <c r="L259">
        <f>VLOOKUP($A259,'2021 Congestions'!$A$2:$E$257,5)</f>
        <v>0.48</v>
      </c>
      <c r="M259">
        <f>VLOOKUP(A259,'Cleanup TMS'!$A$2:$CP$260,57)</f>
        <v>0.52</v>
      </c>
    </row>
    <row r="260" spans="1:13" hidden="1">
      <c r="A260" s="1">
        <v>400100012</v>
      </c>
      <c r="B260" t="s">
        <v>53</v>
      </c>
      <c r="C260" t="s">
        <v>106</v>
      </c>
      <c r="D260" t="s">
        <v>107</v>
      </c>
      <c r="E260" t="str">
        <f>VLOOKUP(A260,'2021 Congestions'!$A$2:$E$257,2)</f>
        <v>NOT CONGESTED</v>
      </c>
      <c r="F260" t="str">
        <f>VLOOKUP(A260,'Cleanup TMS'!$A$2:$CP$260,94)</f>
        <v>NOT CONGESTED</v>
      </c>
      <c r="G260" t="b">
        <f t="shared" si="4"/>
        <v>1</v>
      </c>
      <c r="H260">
        <f>VLOOKUP($A260,'2021 Congestions'!$A$2:$E$257,3)</f>
        <v>5485</v>
      </c>
      <c r="I260">
        <f>VLOOKUP(A260,'Cleanup TMS'!$A$2:$CP$260,42)</f>
        <v>3938</v>
      </c>
      <c r="J260">
        <f>VLOOKUP($A260,'2021 Congestions'!$A$2:$E$257,4)</f>
        <v>0.01</v>
      </c>
      <c r="K260">
        <f>VLOOKUP(A260,'Cleanup TMS'!$A$2:$CP$260,61)</f>
        <v>2.75E-2</v>
      </c>
      <c r="L260">
        <f>VLOOKUP($A260,'2021 Congestions'!$A$2:$E$257,5)</f>
        <v>0.48</v>
      </c>
      <c r="M260">
        <f>VLOOKUP(A260,'Cleanup TMS'!$A$2:$CP$260,57)</f>
        <v>0.37</v>
      </c>
    </row>
  </sheetData>
  <autoFilter ref="A1:N260" xr:uid="{6B7FCCAA-2679-44D5-9425-C067D1254943}">
    <filterColumn colId="4">
      <customFilters>
        <customFilter operator="notEqual" val=" "/>
      </customFilters>
    </filterColumn>
    <filterColumn colId="6">
      <filters>
        <filter val="FALSE"/>
      </filters>
    </filterColumn>
  </autoFilter>
  <conditionalFormatting sqref="I4:I244">
    <cfRule type="cellIs" dxfId="34" priority="5" operator="greaterThan">
      <formula>$H4</formula>
    </cfRule>
    <cfRule type="cellIs" dxfId="33" priority="6" operator="lessThan">
      <formula>$H4</formula>
    </cfRule>
  </conditionalFormatting>
  <conditionalFormatting sqref="K4:K244">
    <cfRule type="cellIs" dxfId="32" priority="3" operator="greaterThan">
      <formula>$J4</formula>
    </cfRule>
    <cfRule type="cellIs" dxfId="31" priority="4" operator="lessThan">
      <formula>$J4</formula>
    </cfRule>
  </conditionalFormatting>
  <conditionalFormatting sqref="M4:M244">
    <cfRule type="cellIs" dxfId="30" priority="1" operator="lessThan">
      <formula>$L4</formula>
    </cfRule>
    <cfRule type="cellIs" dxfId="29" priority="2" operator="greaterThan">
      <formula>$L4</formula>
    </cfRule>
  </conditionalFormatting>
  <pageMargins left="0.7" right="0.7" top="0.75" bottom="0.75" header="0.3" footer="0.3"/>
  <pageSetup paperSize="9" orientation="portrait" horizontalDpi="30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B521D-A558-4F64-AFB2-C568A68C129B}">
  <dimension ref="A1:G23"/>
  <sheetViews>
    <sheetView workbookViewId="0">
      <selection activeCell="Q226" sqref="Q226"/>
    </sheetView>
  </sheetViews>
  <sheetFormatPr defaultRowHeight="15"/>
  <cols>
    <col min="1" max="1" width="11.140625" customWidth="1"/>
    <col min="2" max="2" width="32.7109375" bestFit="1" customWidth="1"/>
    <col min="3" max="3" width="26.140625" bestFit="1" customWidth="1"/>
    <col min="4" max="4" width="24.5703125" bestFit="1" customWidth="1"/>
    <col min="5" max="6" width="26.85546875" bestFit="1" customWidth="1"/>
    <col min="7" max="7" width="45.5703125" bestFit="1" customWidth="1"/>
  </cols>
  <sheetData>
    <row r="1" spans="1:7" ht="25.5">
      <c r="A1" s="373" t="s">
        <v>632</v>
      </c>
      <c r="B1" s="373" t="s">
        <v>894</v>
      </c>
      <c r="C1" s="373" t="s">
        <v>0</v>
      </c>
      <c r="D1" s="373" t="s">
        <v>1</v>
      </c>
      <c r="E1" s="373" t="s">
        <v>1152</v>
      </c>
      <c r="F1" s="373" t="s">
        <v>1153</v>
      </c>
      <c r="G1" s="373" t="s">
        <v>895</v>
      </c>
    </row>
    <row r="2" spans="1:7">
      <c r="A2" s="1">
        <v>4020</v>
      </c>
      <c r="B2" s="374" t="s">
        <v>157</v>
      </c>
      <c r="C2" s="374" t="s">
        <v>7</v>
      </c>
      <c r="D2" s="374" t="s">
        <v>18</v>
      </c>
      <c r="E2" s="374" t="s">
        <v>865</v>
      </c>
      <c r="F2" s="374" t="s">
        <v>866</v>
      </c>
      <c r="G2" s="374" t="s">
        <v>1149</v>
      </c>
    </row>
    <row r="3" spans="1:7">
      <c r="A3" s="2">
        <v>4830</v>
      </c>
      <c r="B3" s="374" t="s">
        <v>683</v>
      </c>
      <c r="C3" s="374" t="s">
        <v>18</v>
      </c>
      <c r="D3" s="374" t="s">
        <v>540</v>
      </c>
      <c r="E3" s="374" t="s">
        <v>865</v>
      </c>
      <c r="F3" s="374" t="s">
        <v>867</v>
      </c>
      <c r="G3" s="374" t="s">
        <v>892</v>
      </c>
    </row>
    <row r="4" spans="1:7">
      <c r="A4" s="2">
        <v>4885</v>
      </c>
      <c r="B4" s="374" t="s">
        <v>684</v>
      </c>
      <c r="C4" s="374" t="s">
        <v>540</v>
      </c>
      <c r="D4" s="374" t="s">
        <v>55</v>
      </c>
      <c r="E4" s="374" t="s">
        <v>866</v>
      </c>
      <c r="F4" s="374" t="s">
        <v>867</v>
      </c>
      <c r="G4" s="374" t="s">
        <v>892</v>
      </c>
    </row>
    <row r="5" spans="1:7">
      <c r="A5" s="1">
        <v>325310</v>
      </c>
      <c r="B5" s="374" t="s">
        <v>40</v>
      </c>
      <c r="C5" s="374" t="s">
        <v>161</v>
      </c>
      <c r="D5" s="374" t="s">
        <v>713</v>
      </c>
      <c r="E5" s="374" t="s">
        <v>866</v>
      </c>
      <c r="F5" s="374" t="s">
        <v>865</v>
      </c>
      <c r="G5" s="374" t="s">
        <v>1150</v>
      </c>
    </row>
    <row r="6" spans="1:7">
      <c r="A6" s="1">
        <v>3248105</v>
      </c>
      <c r="B6" s="374" t="s">
        <v>46</v>
      </c>
      <c r="C6" s="374" t="s">
        <v>711</v>
      </c>
      <c r="D6" s="374" t="s">
        <v>113</v>
      </c>
      <c r="E6" s="374" t="s">
        <v>865</v>
      </c>
      <c r="F6" s="374" t="s">
        <v>866</v>
      </c>
      <c r="G6" s="374" t="s">
        <v>892</v>
      </c>
    </row>
    <row r="7" spans="1:7">
      <c r="A7" s="1">
        <v>3253130</v>
      </c>
      <c r="B7" s="374" t="s">
        <v>692</v>
      </c>
      <c r="C7" s="374" t="s">
        <v>698</v>
      </c>
      <c r="D7" s="374" t="s">
        <v>717</v>
      </c>
      <c r="E7" s="374" t="s">
        <v>867</v>
      </c>
      <c r="F7" s="374" t="s">
        <v>865</v>
      </c>
      <c r="G7" s="374" t="s">
        <v>1151</v>
      </c>
    </row>
    <row r="8" spans="1:7">
      <c r="A8" s="1">
        <v>3253180</v>
      </c>
      <c r="B8" s="374" t="s">
        <v>40</v>
      </c>
      <c r="C8" s="374" t="s">
        <v>81</v>
      </c>
      <c r="D8" s="374" t="s">
        <v>720</v>
      </c>
      <c r="E8" s="374" t="s">
        <v>866</v>
      </c>
      <c r="F8" s="374" t="s">
        <v>868</v>
      </c>
      <c r="G8" s="374" t="s">
        <v>892</v>
      </c>
    </row>
    <row r="9" spans="1:7">
      <c r="A9" s="1">
        <v>3253200</v>
      </c>
      <c r="B9" s="374" t="s">
        <v>710</v>
      </c>
      <c r="C9" s="374" t="s">
        <v>706</v>
      </c>
      <c r="D9" s="374" t="s">
        <v>721</v>
      </c>
      <c r="E9" s="374" t="s">
        <v>868</v>
      </c>
      <c r="F9" s="374" t="s">
        <v>867</v>
      </c>
      <c r="G9" s="374" t="s">
        <v>1150</v>
      </c>
    </row>
    <row r="10" spans="1:7">
      <c r="A10" s="1">
        <v>3253210</v>
      </c>
      <c r="B10" s="374" t="s">
        <v>40</v>
      </c>
      <c r="C10" s="374" t="s">
        <v>721</v>
      </c>
      <c r="D10" s="374" t="s">
        <v>152</v>
      </c>
      <c r="E10" s="374" t="s">
        <v>869</v>
      </c>
      <c r="F10" s="374" t="s">
        <v>868</v>
      </c>
      <c r="G10" s="374" t="s">
        <v>1151</v>
      </c>
    </row>
    <row r="11" spans="1:7">
      <c r="A11" s="1">
        <v>3253220</v>
      </c>
      <c r="B11" s="374" t="s">
        <v>693</v>
      </c>
      <c r="C11" s="374" t="s">
        <v>152</v>
      </c>
      <c r="D11" s="374" t="s">
        <v>704</v>
      </c>
      <c r="E11" s="374" t="s">
        <v>866</v>
      </c>
      <c r="F11" s="374" t="s">
        <v>865</v>
      </c>
      <c r="G11" s="374" t="s">
        <v>1150</v>
      </c>
    </row>
    <row r="12" spans="1:7">
      <c r="A12" s="1">
        <v>3253270</v>
      </c>
      <c r="B12" s="374" t="s">
        <v>40</v>
      </c>
      <c r="C12" s="374" t="s">
        <v>766</v>
      </c>
      <c r="D12" s="374" t="s">
        <v>725</v>
      </c>
      <c r="E12" s="374" t="s">
        <v>866</v>
      </c>
      <c r="F12" s="374" t="s">
        <v>865</v>
      </c>
      <c r="G12" s="374" t="s">
        <v>1150</v>
      </c>
    </row>
    <row r="13" spans="1:7">
      <c r="A13" s="1">
        <v>3545110</v>
      </c>
      <c r="B13" s="374" t="s">
        <v>152</v>
      </c>
      <c r="C13" s="374" t="s">
        <v>40</v>
      </c>
      <c r="D13" s="374" t="s">
        <v>56</v>
      </c>
      <c r="E13" s="374" t="s">
        <v>681</v>
      </c>
      <c r="F13" s="374" t="s">
        <v>866</v>
      </c>
      <c r="G13" s="374" t="s">
        <v>1151</v>
      </c>
    </row>
    <row r="14" spans="1:7">
      <c r="A14" s="1">
        <v>3546130</v>
      </c>
      <c r="B14" s="374" t="s">
        <v>66</v>
      </c>
      <c r="C14" s="374" t="s">
        <v>717</v>
      </c>
      <c r="D14" s="374" t="s">
        <v>742</v>
      </c>
      <c r="E14" s="374" t="s">
        <v>865</v>
      </c>
      <c r="F14" s="374" t="s">
        <v>866</v>
      </c>
      <c r="G14" s="374" t="s">
        <v>892</v>
      </c>
    </row>
    <row r="15" spans="1:7">
      <c r="A15" s="1">
        <v>3546150</v>
      </c>
      <c r="B15" s="374" t="s">
        <v>66</v>
      </c>
      <c r="C15" s="374" t="s">
        <v>152</v>
      </c>
      <c r="D15" s="374" t="s">
        <v>23</v>
      </c>
      <c r="E15" s="374" t="s">
        <v>868</v>
      </c>
      <c r="F15" s="374" t="s">
        <v>681</v>
      </c>
      <c r="G15" s="374" t="s">
        <v>1150</v>
      </c>
    </row>
    <row r="16" spans="1:7">
      <c r="A16" s="1">
        <v>3546180</v>
      </c>
      <c r="B16" s="374" t="s">
        <v>66</v>
      </c>
      <c r="C16" s="374" t="s">
        <v>23</v>
      </c>
      <c r="D16" s="374" t="s">
        <v>34</v>
      </c>
      <c r="E16" s="374" t="s">
        <v>681</v>
      </c>
      <c r="F16" s="374" t="s">
        <v>867</v>
      </c>
      <c r="G16" s="374" t="s">
        <v>1151</v>
      </c>
    </row>
    <row r="17" spans="1:7">
      <c r="A17" s="1">
        <v>3557130</v>
      </c>
      <c r="B17" s="374" t="s">
        <v>763</v>
      </c>
      <c r="C17" s="374" t="s">
        <v>59</v>
      </c>
      <c r="D17" s="374" t="s">
        <v>60</v>
      </c>
      <c r="E17" s="374" t="s">
        <v>865</v>
      </c>
      <c r="F17" s="374" t="s">
        <v>867</v>
      </c>
      <c r="G17" s="374" t="s">
        <v>892</v>
      </c>
    </row>
    <row r="18" spans="1:7">
      <c r="A18" s="1">
        <v>3560110</v>
      </c>
      <c r="B18" s="374" t="s">
        <v>62</v>
      </c>
      <c r="C18" s="374" t="s">
        <v>81</v>
      </c>
      <c r="D18" s="374" t="s">
        <v>715</v>
      </c>
      <c r="E18" s="374" t="s">
        <v>866</v>
      </c>
      <c r="F18" s="374" t="s">
        <v>865</v>
      </c>
      <c r="G18" s="374" t="s">
        <v>1151</v>
      </c>
    </row>
    <row r="19" spans="1:7">
      <c r="A19" s="1">
        <v>5000700</v>
      </c>
      <c r="B19" s="374" t="s">
        <v>231</v>
      </c>
      <c r="C19" s="374" t="s">
        <v>22</v>
      </c>
      <c r="D19" s="374" t="s">
        <v>56</v>
      </c>
      <c r="E19" s="374" t="s">
        <v>866</v>
      </c>
      <c r="F19" s="374" t="s">
        <v>865</v>
      </c>
      <c r="G19" s="374" t="s">
        <v>1151</v>
      </c>
    </row>
    <row r="20" spans="1:7">
      <c r="A20" s="1">
        <v>6000115</v>
      </c>
      <c r="B20" s="374" t="s">
        <v>697</v>
      </c>
      <c r="C20" s="374" t="s">
        <v>102</v>
      </c>
      <c r="D20" s="374" t="s">
        <v>132</v>
      </c>
      <c r="E20" s="374" t="s">
        <v>865</v>
      </c>
      <c r="F20" s="374" t="s">
        <v>866</v>
      </c>
      <c r="G20" s="374" t="s">
        <v>1149</v>
      </c>
    </row>
    <row r="21" spans="1:7">
      <c r="A21" s="1">
        <v>32532601</v>
      </c>
      <c r="B21" s="374" t="s">
        <v>40</v>
      </c>
      <c r="C21" s="374" t="s">
        <v>723</v>
      </c>
      <c r="D21" s="374" t="s">
        <v>724</v>
      </c>
      <c r="E21" s="374" t="s">
        <v>866</v>
      </c>
      <c r="F21" s="374" t="s">
        <v>865</v>
      </c>
      <c r="G21" s="374" t="s">
        <v>1150</v>
      </c>
    </row>
    <row r="22" spans="1:7">
      <c r="A22" s="1">
        <v>32533001</v>
      </c>
      <c r="B22" s="374" t="s">
        <v>40</v>
      </c>
      <c r="C22" s="374" t="s">
        <v>726</v>
      </c>
      <c r="D22" s="374" t="s">
        <v>716</v>
      </c>
      <c r="E22" s="374" t="s">
        <v>868</v>
      </c>
      <c r="F22" s="374" t="s">
        <v>865</v>
      </c>
      <c r="G22" s="374" t="s">
        <v>1150</v>
      </c>
    </row>
    <row r="23" spans="1:7">
      <c r="A23" s="1">
        <v>59999951</v>
      </c>
      <c r="B23" s="374" t="s">
        <v>22</v>
      </c>
      <c r="C23" s="374" t="s">
        <v>727</v>
      </c>
      <c r="D23" s="374" t="s">
        <v>700</v>
      </c>
      <c r="E23" s="374" t="s">
        <v>866</v>
      </c>
      <c r="F23" s="374" t="s">
        <v>865</v>
      </c>
      <c r="G23" s="374" t="s">
        <v>1150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F0FF2-1C6D-495F-9F60-818C465E086D}">
  <dimension ref="A1:CZ21"/>
  <sheetViews>
    <sheetView workbookViewId="0">
      <pane xSplit="11" topLeftCell="CJ1" activePane="topRight" state="frozen"/>
      <selection activeCell="A260" sqref="A1:A260"/>
      <selection pane="topRight" activeCell="A260" sqref="A1:A260"/>
    </sheetView>
  </sheetViews>
  <sheetFormatPr defaultRowHeight="15"/>
  <cols>
    <col min="9" max="9" width="31.140625" bestFit="1" customWidth="1"/>
    <col min="10" max="10" width="26.140625" bestFit="1" customWidth="1"/>
    <col min="11" max="11" width="24.28515625" bestFit="1" customWidth="1"/>
    <col min="94" max="94" width="25.85546875" bestFit="1" customWidth="1"/>
    <col min="95" max="95" width="19.140625" bestFit="1" customWidth="1"/>
  </cols>
  <sheetData>
    <row r="1" spans="1:104" s="63" customFormat="1" ht="46.5" customHeight="1">
      <c r="A1" s="48" t="s">
        <v>176</v>
      </c>
      <c r="B1" s="48" t="s">
        <v>587</v>
      </c>
      <c r="C1" s="48" t="s">
        <v>856</v>
      </c>
      <c r="D1" s="48" t="s">
        <v>857</v>
      </c>
      <c r="E1" s="48" t="s">
        <v>177</v>
      </c>
      <c r="F1" s="48" t="s">
        <v>178</v>
      </c>
      <c r="G1" s="154" t="s">
        <v>678</v>
      </c>
      <c r="H1" s="48" t="s">
        <v>631</v>
      </c>
      <c r="I1" s="48" t="s">
        <v>179</v>
      </c>
      <c r="J1" s="261" t="s">
        <v>0</v>
      </c>
      <c r="K1" s="261" t="s">
        <v>1</v>
      </c>
      <c r="L1" s="48" t="s">
        <v>788</v>
      </c>
      <c r="M1" s="48" t="s">
        <v>789</v>
      </c>
      <c r="N1" s="48" t="s">
        <v>590</v>
      </c>
      <c r="O1" s="48" t="s">
        <v>591</v>
      </c>
      <c r="P1" s="48" t="s">
        <v>208</v>
      </c>
      <c r="Q1" s="48" t="s">
        <v>538</v>
      </c>
      <c r="R1" s="48" t="s">
        <v>592</v>
      </c>
      <c r="S1" s="48" t="s">
        <v>206</v>
      </c>
      <c r="T1" s="48" t="s">
        <v>207</v>
      </c>
      <c r="U1" s="48" t="s">
        <v>656</v>
      </c>
      <c r="V1" s="48" t="s">
        <v>180</v>
      </c>
      <c r="W1" s="50" t="s">
        <v>2</v>
      </c>
      <c r="X1" s="50" t="s">
        <v>181</v>
      </c>
      <c r="Y1" s="50" t="s">
        <v>182</v>
      </c>
      <c r="Z1" s="150" t="s">
        <v>677</v>
      </c>
      <c r="AA1" s="51" t="s">
        <v>603</v>
      </c>
      <c r="AB1" s="51" t="s">
        <v>604</v>
      </c>
      <c r="AC1" s="51" t="s">
        <v>605</v>
      </c>
      <c r="AD1" s="51" t="s">
        <v>606</v>
      </c>
      <c r="AE1" s="52" t="s">
        <v>190</v>
      </c>
      <c r="AF1" s="52" t="s">
        <v>226</v>
      </c>
      <c r="AG1" s="53" t="s">
        <v>227</v>
      </c>
      <c r="AH1" s="53" t="s">
        <v>228</v>
      </c>
      <c r="AI1" s="53" t="s">
        <v>229</v>
      </c>
      <c r="AJ1" s="53" t="s">
        <v>230</v>
      </c>
      <c r="AK1" s="51" t="s">
        <v>607</v>
      </c>
      <c r="AL1" s="51" t="s">
        <v>608</v>
      </c>
      <c r="AM1" s="51" t="s">
        <v>609</v>
      </c>
      <c r="AN1" s="51" t="s">
        <v>610</v>
      </c>
      <c r="AO1" s="51" t="s">
        <v>611</v>
      </c>
      <c r="AP1" s="51" t="s">
        <v>790</v>
      </c>
      <c r="AQ1" s="55" t="s">
        <v>791</v>
      </c>
      <c r="AR1" s="51" t="s">
        <v>792</v>
      </c>
      <c r="AS1" s="54" t="s">
        <v>793</v>
      </c>
      <c r="AT1" s="56" t="s">
        <v>594</v>
      </c>
      <c r="AU1" s="56" t="s">
        <v>595</v>
      </c>
      <c r="AV1" s="56" t="s">
        <v>596</v>
      </c>
      <c r="AW1" s="56" t="s">
        <v>597</v>
      </c>
      <c r="AX1" s="56" t="s">
        <v>598</v>
      </c>
      <c r="AY1" s="56" t="s">
        <v>599</v>
      </c>
      <c r="AZ1" s="56" t="s">
        <v>600</v>
      </c>
      <c r="BA1" s="56" t="s">
        <v>601</v>
      </c>
      <c r="BB1" s="56" t="s">
        <v>602</v>
      </c>
      <c r="BC1" s="57" t="s">
        <v>794</v>
      </c>
      <c r="BD1" s="57" t="s">
        <v>795</v>
      </c>
      <c r="BE1" s="58" t="s">
        <v>796</v>
      </c>
      <c r="BF1" s="56" t="s">
        <v>797</v>
      </c>
      <c r="BG1" s="147" t="s">
        <v>552</v>
      </c>
      <c r="BH1" s="137" t="s">
        <v>612</v>
      </c>
      <c r="BI1" s="137" t="s">
        <v>613</v>
      </c>
      <c r="BJ1" s="137" t="s">
        <v>614</v>
      </c>
      <c r="BK1" s="76" t="s">
        <v>798</v>
      </c>
      <c r="BL1" s="76" t="s">
        <v>799</v>
      </c>
      <c r="BM1" s="76" t="s">
        <v>800</v>
      </c>
      <c r="BN1" s="76" t="s">
        <v>801</v>
      </c>
      <c r="BO1" s="76" t="s">
        <v>802</v>
      </c>
      <c r="BP1" s="76" t="s">
        <v>803</v>
      </c>
      <c r="BQ1" s="76" t="s">
        <v>804</v>
      </c>
      <c r="BR1" s="76" t="s">
        <v>805</v>
      </c>
      <c r="BS1" s="76" t="s">
        <v>806</v>
      </c>
      <c r="BT1" s="59" t="s">
        <v>807</v>
      </c>
      <c r="BU1" s="59" t="s">
        <v>808</v>
      </c>
      <c r="BV1" s="59" t="s">
        <v>809</v>
      </c>
      <c r="BW1" s="59" t="s">
        <v>810</v>
      </c>
      <c r="BX1" s="80" t="s">
        <v>811</v>
      </c>
      <c r="BY1" s="80" t="s">
        <v>812</v>
      </c>
      <c r="BZ1" s="80" t="s">
        <v>813</v>
      </c>
      <c r="CA1" s="80" t="s">
        <v>814</v>
      </c>
      <c r="CB1" s="80" t="s">
        <v>815</v>
      </c>
      <c r="CC1" s="80" t="s">
        <v>816</v>
      </c>
      <c r="CD1" s="80" t="s">
        <v>817</v>
      </c>
      <c r="CE1" s="80" t="s">
        <v>818</v>
      </c>
      <c r="CF1" s="81" t="s">
        <v>819</v>
      </c>
      <c r="CG1" s="60" t="s">
        <v>820</v>
      </c>
      <c r="CH1" s="60" t="s">
        <v>821</v>
      </c>
      <c r="CI1" s="60" t="s">
        <v>822</v>
      </c>
      <c r="CJ1" s="61" t="s">
        <v>823</v>
      </c>
      <c r="CK1" s="62" t="s">
        <v>616</v>
      </c>
      <c r="CL1" s="62" t="s">
        <v>617</v>
      </c>
      <c r="CM1" s="62" t="s">
        <v>618</v>
      </c>
      <c r="CN1" s="62" t="s">
        <v>619</v>
      </c>
      <c r="CO1" s="62" t="s">
        <v>620</v>
      </c>
      <c r="CP1" s="48" t="s">
        <v>621</v>
      </c>
      <c r="CQ1" s="48" t="s">
        <v>622</v>
      </c>
      <c r="CR1" s="48" t="s">
        <v>623</v>
      </c>
      <c r="CS1" s="48" t="s">
        <v>826</v>
      </c>
      <c r="CT1" s="48" t="s">
        <v>824</v>
      </c>
      <c r="CU1" s="48" t="s">
        <v>825</v>
      </c>
      <c r="CV1" s="48" t="s">
        <v>827</v>
      </c>
      <c r="CW1" s="48" t="s">
        <v>624</v>
      </c>
      <c r="CX1" s="50" t="s">
        <v>585</v>
      </c>
      <c r="CY1" s="48" t="s">
        <v>828</v>
      </c>
      <c r="CZ1" s="48" t="s">
        <v>829</v>
      </c>
    </row>
    <row r="2" spans="1:104" s="4" customFormat="1" ht="12.75" customHeight="1">
      <c r="A2" s="1">
        <v>3248400</v>
      </c>
      <c r="B2" s="1">
        <v>94</v>
      </c>
      <c r="C2" s="1">
        <v>468</v>
      </c>
      <c r="D2" s="1">
        <v>94</v>
      </c>
      <c r="E2" s="1"/>
      <c r="F2" s="2" t="s">
        <v>6</v>
      </c>
      <c r="G2" s="156">
        <v>35</v>
      </c>
      <c r="H2" s="11">
        <v>1.31388845148</v>
      </c>
      <c r="I2" s="10" t="s">
        <v>108</v>
      </c>
      <c r="J2" s="10" t="s">
        <v>40</v>
      </c>
      <c r="K2" s="10" t="s">
        <v>54</v>
      </c>
      <c r="L2" s="157">
        <v>2</v>
      </c>
      <c r="M2" s="1">
        <v>2</v>
      </c>
      <c r="N2" s="1" t="s">
        <v>858</v>
      </c>
      <c r="O2" s="1" t="s">
        <v>858</v>
      </c>
      <c r="P2" s="1" t="s">
        <v>651</v>
      </c>
      <c r="Q2" s="1" t="s">
        <v>547</v>
      </c>
      <c r="R2" s="1" t="s">
        <v>547</v>
      </c>
      <c r="S2" s="1" t="s">
        <v>877</v>
      </c>
      <c r="T2" s="1" t="s">
        <v>218</v>
      </c>
      <c r="U2" s="1" t="s">
        <v>218</v>
      </c>
      <c r="V2" s="1" t="s">
        <v>10</v>
      </c>
      <c r="W2" s="1" t="s">
        <v>11</v>
      </c>
      <c r="X2" s="1" t="s">
        <v>21</v>
      </c>
      <c r="Y2" s="1" t="s">
        <v>4</v>
      </c>
      <c r="Z2" s="157" t="s">
        <v>863</v>
      </c>
      <c r="AA2" s="15">
        <v>0</v>
      </c>
      <c r="AB2" s="15">
        <v>7300</v>
      </c>
      <c r="AC2" s="15">
        <v>14800</v>
      </c>
      <c r="AD2" s="15">
        <v>15600</v>
      </c>
      <c r="AE2" s="35">
        <v>-0.1</v>
      </c>
      <c r="AF2" s="36" t="s">
        <v>547</v>
      </c>
      <c r="AG2" s="35">
        <v>-0.2</v>
      </c>
      <c r="AH2" s="35" t="s">
        <v>547</v>
      </c>
      <c r="AI2" s="35"/>
      <c r="AJ2" s="36"/>
      <c r="AK2" s="15">
        <v>0</v>
      </c>
      <c r="AL2" s="15">
        <v>5110</v>
      </c>
      <c r="AM2" s="15">
        <v>10360</v>
      </c>
      <c r="AN2" s="15">
        <v>10920</v>
      </c>
      <c r="AO2" s="3">
        <v>5110</v>
      </c>
      <c r="AP2" s="138">
        <v>3265</v>
      </c>
      <c r="AQ2" s="11">
        <v>0.64</v>
      </c>
      <c r="AR2" s="2" t="s">
        <v>4</v>
      </c>
      <c r="AS2" s="26">
        <v>1.57</v>
      </c>
      <c r="AT2" s="15">
        <v>0</v>
      </c>
      <c r="AU2" s="15">
        <v>370</v>
      </c>
      <c r="AV2" s="15">
        <v>750</v>
      </c>
      <c r="AW2" s="15">
        <v>800</v>
      </c>
      <c r="AX2" s="15">
        <v>0</v>
      </c>
      <c r="AY2" s="15">
        <v>259</v>
      </c>
      <c r="AZ2" s="15">
        <v>525</v>
      </c>
      <c r="BA2" s="15">
        <v>560</v>
      </c>
      <c r="BB2" s="3">
        <v>259</v>
      </c>
      <c r="BC2" s="138">
        <v>140</v>
      </c>
      <c r="BD2" s="138">
        <v>235</v>
      </c>
      <c r="BE2" s="11">
        <v>0.91</v>
      </c>
      <c r="BF2" s="2" t="s">
        <v>4</v>
      </c>
      <c r="BG2" s="135">
        <v>6.5000000000000002E-2</v>
      </c>
      <c r="BH2" s="135">
        <v>6.5000000000000002E-2</v>
      </c>
      <c r="BI2" s="38">
        <v>6.5000000000000002E-2</v>
      </c>
      <c r="BJ2" s="39" t="s">
        <v>547</v>
      </c>
      <c r="BK2" s="15">
        <v>0</v>
      </c>
      <c r="BL2" s="15">
        <v>7300</v>
      </c>
      <c r="BM2" s="15">
        <v>14800</v>
      </c>
      <c r="BN2" s="15">
        <v>15600</v>
      </c>
      <c r="BO2" s="15">
        <v>0</v>
      </c>
      <c r="BP2" s="15">
        <v>5110</v>
      </c>
      <c r="BQ2" s="15">
        <v>10360</v>
      </c>
      <c r="BR2" s="15">
        <v>10920</v>
      </c>
      <c r="BS2" s="3">
        <v>5110</v>
      </c>
      <c r="BT2" s="40">
        <v>4473</v>
      </c>
      <c r="BU2" s="41">
        <v>0.88</v>
      </c>
      <c r="BV2" s="2" t="s">
        <v>4</v>
      </c>
      <c r="BW2" s="2">
        <v>2.15</v>
      </c>
      <c r="BX2" s="15">
        <v>0</v>
      </c>
      <c r="BY2" s="15">
        <v>370</v>
      </c>
      <c r="BZ2" s="15">
        <v>750</v>
      </c>
      <c r="CA2" s="15">
        <v>800</v>
      </c>
      <c r="CB2" s="15">
        <v>0</v>
      </c>
      <c r="CC2" s="15">
        <v>259</v>
      </c>
      <c r="CD2" s="15">
        <v>525</v>
      </c>
      <c r="CE2" s="15">
        <v>560</v>
      </c>
      <c r="CF2" s="3">
        <v>259</v>
      </c>
      <c r="CG2" s="2">
        <v>192</v>
      </c>
      <c r="CH2" s="2">
        <v>322</v>
      </c>
      <c r="CI2" s="11">
        <v>1.24</v>
      </c>
      <c r="CJ2" s="2" t="s">
        <v>5</v>
      </c>
      <c r="CK2" s="3">
        <v>11794</v>
      </c>
      <c r="CL2" s="11">
        <v>0.38</v>
      </c>
      <c r="CM2" s="11" t="s">
        <v>865</v>
      </c>
      <c r="CN2" s="3">
        <v>605</v>
      </c>
      <c r="CO2" s="11">
        <v>0.53</v>
      </c>
      <c r="CP2" s="260" t="s">
        <v>867</v>
      </c>
      <c r="CQ2" s="3" t="s">
        <v>557</v>
      </c>
      <c r="CR2" s="44">
        <v>0</v>
      </c>
      <c r="CS2" s="11" t="s">
        <v>547</v>
      </c>
      <c r="CT2" s="11" t="s">
        <v>547</v>
      </c>
      <c r="CU2" s="11" t="s">
        <v>547</v>
      </c>
      <c r="CV2" s="11" t="s">
        <v>547</v>
      </c>
      <c r="CW2" s="2"/>
      <c r="CX2" s="1"/>
      <c r="CY2" s="145" t="s">
        <v>547</v>
      </c>
      <c r="CZ2" s="32" t="s">
        <v>547</v>
      </c>
    </row>
    <row r="3" spans="1:104" s="4" customFormat="1" ht="12.75" customHeight="1">
      <c r="A3" s="1">
        <v>3253130</v>
      </c>
      <c r="B3" s="1">
        <v>180117</v>
      </c>
      <c r="C3" s="1">
        <v>424</v>
      </c>
      <c r="D3" s="1" t="s">
        <v>137</v>
      </c>
      <c r="E3" s="1">
        <v>180117</v>
      </c>
      <c r="F3" s="2" t="s">
        <v>136</v>
      </c>
      <c r="G3" s="156">
        <v>30</v>
      </c>
      <c r="H3" s="11">
        <v>0.12536715220700001</v>
      </c>
      <c r="I3" s="10" t="s">
        <v>692</v>
      </c>
      <c r="J3" s="10" t="s">
        <v>698</v>
      </c>
      <c r="K3" s="10" t="s">
        <v>717</v>
      </c>
      <c r="L3" s="157">
        <v>2</v>
      </c>
      <c r="M3" s="1">
        <v>2</v>
      </c>
      <c r="N3" s="1" t="s">
        <v>858</v>
      </c>
      <c r="O3" s="1" t="s">
        <v>858</v>
      </c>
      <c r="P3" s="1" t="s">
        <v>651</v>
      </c>
      <c r="Q3" s="1" t="s">
        <v>547</v>
      </c>
      <c r="R3" s="1" t="s">
        <v>547</v>
      </c>
      <c r="S3" s="1" t="s">
        <v>877</v>
      </c>
      <c r="T3" s="1" t="s">
        <v>218</v>
      </c>
      <c r="U3" s="1" t="s">
        <v>218</v>
      </c>
      <c r="V3" s="1" t="s">
        <v>137</v>
      </c>
      <c r="W3" s="1" t="s">
        <v>76</v>
      </c>
      <c r="X3" s="1" t="s">
        <v>138</v>
      </c>
      <c r="Y3" s="1" t="s">
        <v>5</v>
      </c>
      <c r="Z3" s="157" t="s">
        <v>864</v>
      </c>
      <c r="AA3" s="15">
        <v>0</v>
      </c>
      <c r="AB3" s="15">
        <v>7300</v>
      </c>
      <c r="AC3" s="15">
        <v>14800</v>
      </c>
      <c r="AD3" s="15">
        <v>15600</v>
      </c>
      <c r="AE3" s="35" t="s">
        <v>547</v>
      </c>
      <c r="AF3" s="36" t="s">
        <v>547</v>
      </c>
      <c r="AG3" s="35">
        <v>-0.2</v>
      </c>
      <c r="AH3" s="35" t="s">
        <v>547</v>
      </c>
      <c r="AI3" s="35" t="s">
        <v>547</v>
      </c>
      <c r="AJ3" s="36"/>
      <c r="AK3" s="15">
        <v>0</v>
      </c>
      <c r="AL3" s="15">
        <v>5840</v>
      </c>
      <c r="AM3" s="15">
        <v>11840</v>
      </c>
      <c r="AN3" s="15">
        <v>12480</v>
      </c>
      <c r="AO3" s="3">
        <v>11840</v>
      </c>
      <c r="AP3" s="138">
        <v>10730</v>
      </c>
      <c r="AQ3" s="11">
        <v>0.91</v>
      </c>
      <c r="AR3" s="2" t="s">
        <v>5</v>
      </c>
      <c r="AS3" s="26">
        <v>0.49</v>
      </c>
      <c r="AT3" s="15">
        <v>0</v>
      </c>
      <c r="AU3" s="15">
        <v>370</v>
      </c>
      <c r="AV3" s="15">
        <v>750</v>
      </c>
      <c r="AW3" s="15">
        <v>800</v>
      </c>
      <c r="AX3" s="15">
        <v>0</v>
      </c>
      <c r="AY3" s="15">
        <v>296</v>
      </c>
      <c r="AZ3" s="15">
        <v>600</v>
      </c>
      <c r="BA3" s="15">
        <v>640</v>
      </c>
      <c r="BB3" s="3">
        <v>600</v>
      </c>
      <c r="BC3" s="138">
        <v>558</v>
      </c>
      <c r="BD3" s="138">
        <v>462</v>
      </c>
      <c r="BE3" s="11">
        <v>0.93</v>
      </c>
      <c r="BF3" s="2" t="s">
        <v>5</v>
      </c>
      <c r="BG3" s="135">
        <v>3.2500000000000001E-2</v>
      </c>
      <c r="BH3" s="135">
        <v>3.2500000000000001E-2</v>
      </c>
      <c r="BI3" s="38">
        <v>3.2500000000000001E-2</v>
      </c>
      <c r="BJ3" s="39" t="s">
        <v>547</v>
      </c>
      <c r="BK3" s="15">
        <v>0</v>
      </c>
      <c r="BL3" s="15">
        <v>7300</v>
      </c>
      <c r="BM3" s="15">
        <v>14800</v>
      </c>
      <c r="BN3" s="15">
        <v>15600</v>
      </c>
      <c r="BO3" s="15">
        <v>0</v>
      </c>
      <c r="BP3" s="15">
        <v>5840</v>
      </c>
      <c r="BQ3" s="15">
        <v>11840</v>
      </c>
      <c r="BR3" s="15">
        <v>12480</v>
      </c>
      <c r="BS3" s="3">
        <v>11840</v>
      </c>
      <c r="BT3" s="40">
        <v>12591</v>
      </c>
      <c r="BU3" s="41">
        <v>1.06</v>
      </c>
      <c r="BV3" s="2" t="s">
        <v>657</v>
      </c>
      <c r="BW3" s="2">
        <v>0.57999999999999996</v>
      </c>
      <c r="BX3" s="15">
        <v>0</v>
      </c>
      <c r="BY3" s="15">
        <v>370</v>
      </c>
      <c r="BZ3" s="15">
        <v>750</v>
      </c>
      <c r="CA3" s="15">
        <v>800</v>
      </c>
      <c r="CB3" s="15">
        <v>0</v>
      </c>
      <c r="CC3" s="15">
        <v>296</v>
      </c>
      <c r="CD3" s="15">
        <v>600</v>
      </c>
      <c r="CE3" s="15">
        <v>640</v>
      </c>
      <c r="CF3" s="3">
        <v>600</v>
      </c>
      <c r="CG3" s="2">
        <v>655</v>
      </c>
      <c r="CH3" s="2">
        <v>542</v>
      </c>
      <c r="CI3" s="11">
        <v>1.0900000000000001</v>
      </c>
      <c r="CJ3" s="2" t="s">
        <v>657</v>
      </c>
      <c r="CK3" s="3">
        <v>13478</v>
      </c>
      <c r="CL3" s="11">
        <v>0.93</v>
      </c>
      <c r="CM3" s="11" t="s">
        <v>867</v>
      </c>
      <c r="CN3" s="3">
        <v>691</v>
      </c>
      <c r="CO3" s="11">
        <v>0.95</v>
      </c>
      <c r="CP3" s="156" t="s">
        <v>867</v>
      </c>
      <c r="CQ3" s="2" t="s">
        <v>628</v>
      </c>
      <c r="CR3" s="44">
        <v>1</v>
      </c>
      <c r="CS3" s="11" t="s">
        <v>547</v>
      </c>
      <c r="CT3" s="11">
        <v>0.13</v>
      </c>
      <c r="CU3" s="11" t="s">
        <v>547</v>
      </c>
      <c r="CV3" s="11" t="s">
        <v>547</v>
      </c>
      <c r="CW3" s="2" t="s">
        <v>586</v>
      </c>
      <c r="CX3" s="1"/>
      <c r="CY3" s="145" t="s">
        <v>547</v>
      </c>
      <c r="CZ3" s="32">
        <v>0.57999999999999996</v>
      </c>
    </row>
    <row r="4" spans="1:104" s="4" customFormat="1" ht="12.75" customHeight="1">
      <c r="A4" s="1">
        <v>3253180</v>
      </c>
      <c r="B4" s="1">
        <v>180083</v>
      </c>
      <c r="C4" s="1">
        <v>434</v>
      </c>
      <c r="D4" s="1" t="s">
        <v>137</v>
      </c>
      <c r="E4" s="1">
        <v>180083</v>
      </c>
      <c r="F4" s="2" t="s">
        <v>136</v>
      </c>
      <c r="G4" s="156">
        <v>45</v>
      </c>
      <c r="H4" s="11">
        <v>0.109679660035</v>
      </c>
      <c r="I4" s="10" t="s">
        <v>40</v>
      </c>
      <c r="J4" s="10" t="s">
        <v>81</v>
      </c>
      <c r="K4" s="10" t="s">
        <v>720</v>
      </c>
      <c r="L4" s="157">
        <v>2</v>
      </c>
      <c r="M4" s="1">
        <v>2</v>
      </c>
      <c r="N4" s="1" t="s">
        <v>858</v>
      </c>
      <c r="O4" s="1" t="s">
        <v>858</v>
      </c>
      <c r="P4" s="1" t="s">
        <v>651</v>
      </c>
      <c r="Q4" s="1" t="s">
        <v>547</v>
      </c>
      <c r="R4" s="1" t="s">
        <v>547</v>
      </c>
      <c r="S4" s="1" t="s">
        <v>878</v>
      </c>
      <c r="T4" s="1" t="s">
        <v>217</v>
      </c>
      <c r="U4" s="1" t="s">
        <v>217</v>
      </c>
      <c r="V4" s="1" t="s">
        <v>137</v>
      </c>
      <c r="W4" s="1" t="s">
        <v>11</v>
      </c>
      <c r="X4" s="1" t="s">
        <v>138</v>
      </c>
      <c r="Y4" s="1" t="s">
        <v>5</v>
      </c>
      <c r="Z4" s="157" t="s">
        <v>864</v>
      </c>
      <c r="AA4" s="15">
        <v>0</v>
      </c>
      <c r="AB4" s="15">
        <v>16800</v>
      </c>
      <c r="AC4" s="15">
        <v>17700</v>
      </c>
      <c r="AD4" s="15">
        <v>17700</v>
      </c>
      <c r="AE4" s="35" t="s">
        <v>547</v>
      </c>
      <c r="AF4" s="36" t="s">
        <v>547</v>
      </c>
      <c r="AG4" s="35"/>
      <c r="AH4" s="35" t="s">
        <v>547</v>
      </c>
      <c r="AI4" s="35"/>
      <c r="AJ4" s="36">
        <v>0.05</v>
      </c>
      <c r="AK4" s="15">
        <v>0</v>
      </c>
      <c r="AL4" s="15">
        <v>17640</v>
      </c>
      <c r="AM4" s="15">
        <v>18585</v>
      </c>
      <c r="AN4" s="15">
        <v>18585</v>
      </c>
      <c r="AO4" s="3">
        <v>18585</v>
      </c>
      <c r="AP4" s="138">
        <v>14620</v>
      </c>
      <c r="AQ4" s="11">
        <v>0.79</v>
      </c>
      <c r="AR4" s="2" t="s">
        <v>4</v>
      </c>
      <c r="AS4" s="26">
        <v>0.59</v>
      </c>
      <c r="AT4" s="15">
        <v>0</v>
      </c>
      <c r="AU4" s="15">
        <v>830</v>
      </c>
      <c r="AV4" s="15">
        <v>880</v>
      </c>
      <c r="AW4" s="15">
        <v>880</v>
      </c>
      <c r="AX4" s="15">
        <v>0</v>
      </c>
      <c r="AY4" s="15">
        <v>872</v>
      </c>
      <c r="AZ4" s="15">
        <v>924</v>
      </c>
      <c r="BA4" s="15">
        <v>924</v>
      </c>
      <c r="BB4" s="3">
        <v>924</v>
      </c>
      <c r="BC4" s="138">
        <v>760</v>
      </c>
      <c r="BD4" s="138">
        <v>629</v>
      </c>
      <c r="BE4" s="11">
        <v>0.82</v>
      </c>
      <c r="BF4" s="2" t="s">
        <v>4</v>
      </c>
      <c r="BG4" s="135">
        <v>2.75E-2</v>
      </c>
      <c r="BH4" s="135">
        <v>2.75E-2</v>
      </c>
      <c r="BI4" s="38">
        <v>2.75E-2</v>
      </c>
      <c r="BJ4" s="39" t="s">
        <v>547</v>
      </c>
      <c r="BK4" s="15">
        <v>0</v>
      </c>
      <c r="BL4" s="15">
        <v>16800</v>
      </c>
      <c r="BM4" s="15">
        <v>17700</v>
      </c>
      <c r="BN4" s="15">
        <v>17700</v>
      </c>
      <c r="BO4" s="15">
        <v>0</v>
      </c>
      <c r="BP4" s="15">
        <v>17640</v>
      </c>
      <c r="BQ4" s="15">
        <v>18585</v>
      </c>
      <c r="BR4" s="15">
        <v>18585</v>
      </c>
      <c r="BS4" s="3">
        <v>18585</v>
      </c>
      <c r="BT4" s="40">
        <v>16744</v>
      </c>
      <c r="BU4" s="41">
        <v>0.9</v>
      </c>
      <c r="BV4" s="2" t="s">
        <v>4</v>
      </c>
      <c r="BW4" s="2">
        <v>0.67</v>
      </c>
      <c r="BX4" s="15">
        <v>0</v>
      </c>
      <c r="BY4" s="15">
        <v>830</v>
      </c>
      <c r="BZ4" s="15">
        <v>880</v>
      </c>
      <c r="CA4" s="15">
        <v>880</v>
      </c>
      <c r="CB4" s="15">
        <v>0</v>
      </c>
      <c r="CC4" s="15">
        <v>872</v>
      </c>
      <c r="CD4" s="15">
        <v>924</v>
      </c>
      <c r="CE4" s="15">
        <v>924</v>
      </c>
      <c r="CF4" s="3">
        <v>924</v>
      </c>
      <c r="CG4" s="2">
        <v>870</v>
      </c>
      <c r="CH4" s="2">
        <v>720</v>
      </c>
      <c r="CI4" s="11">
        <v>0.94</v>
      </c>
      <c r="CJ4" s="2" t="s">
        <v>4</v>
      </c>
      <c r="CK4" s="3">
        <v>20072</v>
      </c>
      <c r="CL4" s="11">
        <v>0.83</v>
      </c>
      <c r="CM4" s="11" t="s">
        <v>866</v>
      </c>
      <c r="CN4" s="3">
        <v>998</v>
      </c>
      <c r="CO4" s="11">
        <v>0.87</v>
      </c>
      <c r="CP4" s="156" t="s">
        <v>866</v>
      </c>
      <c r="CQ4" s="3" t="s">
        <v>557</v>
      </c>
      <c r="CR4" s="44">
        <v>0</v>
      </c>
      <c r="CS4" s="11" t="s">
        <v>547</v>
      </c>
      <c r="CT4" s="11" t="s">
        <v>547</v>
      </c>
      <c r="CU4" s="11" t="s">
        <v>547</v>
      </c>
      <c r="CV4" s="11" t="s">
        <v>547</v>
      </c>
      <c r="CW4" s="2" t="s">
        <v>586</v>
      </c>
      <c r="CX4" s="1" t="s">
        <v>585</v>
      </c>
      <c r="CY4" s="145" t="s">
        <v>547</v>
      </c>
      <c r="CZ4" s="32" t="s">
        <v>547</v>
      </c>
    </row>
    <row r="5" spans="1:104" s="9" customFormat="1" ht="12.75" customHeight="1">
      <c r="A5" s="1">
        <v>3253200</v>
      </c>
      <c r="B5" s="1" t="s">
        <v>166</v>
      </c>
      <c r="C5" s="1">
        <v>438</v>
      </c>
      <c r="D5" s="1" t="s">
        <v>137</v>
      </c>
      <c r="E5" s="157" t="s">
        <v>166</v>
      </c>
      <c r="F5" s="2" t="s">
        <v>136</v>
      </c>
      <c r="G5" s="156">
        <v>45</v>
      </c>
      <c r="H5" s="11">
        <v>1.24284535983</v>
      </c>
      <c r="I5" s="10" t="s">
        <v>710</v>
      </c>
      <c r="J5" s="10" t="s">
        <v>706</v>
      </c>
      <c r="K5" s="10" t="s">
        <v>721</v>
      </c>
      <c r="L5" s="157">
        <v>2</v>
      </c>
      <c r="M5" s="1">
        <v>2</v>
      </c>
      <c r="N5" s="1" t="s">
        <v>858</v>
      </c>
      <c r="O5" s="1" t="s">
        <v>858</v>
      </c>
      <c r="P5" s="1" t="s">
        <v>651</v>
      </c>
      <c r="Q5" s="1" t="s">
        <v>547</v>
      </c>
      <c r="R5" s="1" t="s">
        <v>547</v>
      </c>
      <c r="S5" s="1" t="s">
        <v>878</v>
      </c>
      <c r="T5" s="1" t="s">
        <v>217</v>
      </c>
      <c r="U5" s="1" t="s">
        <v>217</v>
      </c>
      <c r="V5" s="1" t="s">
        <v>137</v>
      </c>
      <c r="W5" s="1" t="s">
        <v>165</v>
      </c>
      <c r="X5" s="1" t="s">
        <v>50</v>
      </c>
      <c r="Y5" s="1" t="s">
        <v>5</v>
      </c>
      <c r="Z5" s="157" t="s">
        <v>864</v>
      </c>
      <c r="AA5" s="15">
        <v>0</v>
      </c>
      <c r="AB5" s="15">
        <v>16800</v>
      </c>
      <c r="AC5" s="15">
        <v>17700</v>
      </c>
      <c r="AD5" s="15">
        <v>17700</v>
      </c>
      <c r="AE5" s="35" t="s">
        <v>547</v>
      </c>
      <c r="AF5" s="36" t="s">
        <v>547</v>
      </c>
      <c r="AG5" s="35">
        <v>-0.2</v>
      </c>
      <c r="AH5" s="35" t="s">
        <v>547</v>
      </c>
      <c r="AI5" s="35"/>
      <c r="AJ5" s="36"/>
      <c r="AK5" s="15">
        <v>0</v>
      </c>
      <c r="AL5" s="15">
        <v>13440</v>
      </c>
      <c r="AM5" s="15">
        <v>14160</v>
      </c>
      <c r="AN5" s="15">
        <v>14160</v>
      </c>
      <c r="AO5" s="3">
        <v>14160</v>
      </c>
      <c r="AP5" s="138">
        <v>13850</v>
      </c>
      <c r="AQ5" s="11">
        <v>0.98</v>
      </c>
      <c r="AR5" s="2" t="s">
        <v>5</v>
      </c>
      <c r="AS5" s="26">
        <v>6.28</v>
      </c>
      <c r="AT5" s="15">
        <v>0</v>
      </c>
      <c r="AU5" s="15">
        <v>830</v>
      </c>
      <c r="AV5" s="15">
        <v>880</v>
      </c>
      <c r="AW5" s="15">
        <v>880</v>
      </c>
      <c r="AX5" s="15">
        <v>0</v>
      </c>
      <c r="AY5" s="15">
        <v>664</v>
      </c>
      <c r="AZ5" s="15">
        <v>704</v>
      </c>
      <c r="BA5" s="15">
        <v>704</v>
      </c>
      <c r="BB5" s="3">
        <v>704</v>
      </c>
      <c r="BC5" s="138">
        <v>720</v>
      </c>
      <c r="BD5" s="138">
        <v>596</v>
      </c>
      <c r="BE5" s="11">
        <v>1.02</v>
      </c>
      <c r="BF5" s="2" t="s">
        <v>657</v>
      </c>
      <c r="BG5" s="135">
        <v>6.7500000000000004E-2</v>
      </c>
      <c r="BH5" s="135">
        <v>6.7500000000000004E-2</v>
      </c>
      <c r="BI5" s="38">
        <v>6.7500000000000004E-2</v>
      </c>
      <c r="BJ5" s="39" t="s">
        <v>547</v>
      </c>
      <c r="BK5" s="15">
        <v>0</v>
      </c>
      <c r="BL5" s="15">
        <v>16800</v>
      </c>
      <c r="BM5" s="15">
        <v>17700</v>
      </c>
      <c r="BN5" s="15">
        <v>17700</v>
      </c>
      <c r="BO5" s="15">
        <v>0</v>
      </c>
      <c r="BP5" s="15">
        <v>13440</v>
      </c>
      <c r="BQ5" s="15">
        <v>14160</v>
      </c>
      <c r="BR5" s="15">
        <v>14160</v>
      </c>
      <c r="BS5" s="3">
        <v>14160</v>
      </c>
      <c r="BT5" s="40">
        <v>19199</v>
      </c>
      <c r="BU5" s="41">
        <v>1.36</v>
      </c>
      <c r="BV5" s="2" t="s">
        <v>657</v>
      </c>
      <c r="BW5" s="2">
        <v>8.7100000000000009</v>
      </c>
      <c r="BX5" s="15">
        <v>0</v>
      </c>
      <c r="BY5" s="15">
        <v>830</v>
      </c>
      <c r="BZ5" s="15">
        <v>880</v>
      </c>
      <c r="CA5" s="15">
        <v>880</v>
      </c>
      <c r="CB5" s="15">
        <v>0</v>
      </c>
      <c r="CC5" s="15">
        <v>664</v>
      </c>
      <c r="CD5" s="15">
        <v>704</v>
      </c>
      <c r="CE5" s="15">
        <v>704</v>
      </c>
      <c r="CF5" s="3">
        <v>704</v>
      </c>
      <c r="CG5" s="2">
        <v>998</v>
      </c>
      <c r="CH5" s="2">
        <v>826</v>
      </c>
      <c r="CI5" s="11">
        <v>1.42</v>
      </c>
      <c r="CJ5" s="2" t="s">
        <v>657</v>
      </c>
      <c r="CK5" s="3">
        <v>15293</v>
      </c>
      <c r="CL5" s="11">
        <v>1.26</v>
      </c>
      <c r="CM5" s="11" t="s">
        <v>868</v>
      </c>
      <c r="CN5" s="3">
        <v>760</v>
      </c>
      <c r="CO5" s="11">
        <v>1.31</v>
      </c>
      <c r="CP5" s="260" t="s">
        <v>868</v>
      </c>
      <c r="CQ5" s="2" t="s">
        <v>628</v>
      </c>
      <c r="CR5" s="44">
        <f>1/H5</f>
        <v>0.8046053292879356</v>
      </c>
      <c r="CS5" s="11" t="s">
        <v>547</v>
      </c>
      <c r="CT5" s="11">
        <v>1.24</v>
      </c>
      <c r="CU5" s="11" t="s">
        <v>547</v>
      </c>
      <c r="CV5" s="11">
        <v>1.24</v>
      </c>
      <c r="CW5" s="2" t="s">
        <v>586</v>
      </c>
      <c r="CX5" s="1"/>
      <c r="CY5" s="145" t="s">
        <v>547</v>
      </c>
      <c r="CZ5" s="32">
        <v>8.7100000000000009</v>
      </c>
    </row>
    <row r="6" spans="1:104" s="9" customFormat="1" ht="12.75" customHeight="1">
      <c r="A6" s="1">
        <v>3253210</v>
      </c>
      <c r="B6" s="1">
        <v>180077</v>
      </c>
      <c r="C6" s="1">
        <v>300</v>
      </c>
      <c r="D6" s="1" t="s">
        <v>137</v>
      </c>
      <c r="E6" s="1">
        <v>180077</v>
      </c>
      <c r="F6" s="2" t="s">
        <v>136</v>
      </c>
      <c r="G6" s="156">
        <v>55</v>
      </c>
      <c r="H6" s="11">
        <v>2.7291405501599999</v>
      </c>
      <c r="I6" s="10" t="s">
        <v>40</v>
      </c>
      <c r="J6" s="10" t="s">
        <v>721</v>
      </c>
      <c r="K6" s="10" t="s">
        <v>152</v>
      </c>
      <c r="L6" s="157">
        <v>2</v>
      </c>
      <c r="M6" s="1">
        <v>2</v>
      </c>
      <c r="N6" s="1" t="s">
        <v>858</v>
      </c>
      <c r="O6" s="1" t="s">
        <v>858</v>
      </c>
      <c r="P6" s="1" t="s">
        <v>651</v>
      </c>
      <c r="Q6" s="1" t="s">
        <v>547</v>
      </c>
      <c r="R6" s="1" t="s">
        <v>547</v>
      </c>
      <c r="S6" s="1" t="s">
        <v>878</v>
      </c>
      <c r="T6" s="1" t="s">
        <v>217</v>
      </c>
      <c r="U6" s="1" t="s">
        <v>217</v>
      </c>
      <c r="V6" s="1" t="s">
        <v>137</v>
      </c>
      <c r="W6" s="1" t="s">
        <v>25</v>
      </c>
      <c r="X6" s="1" t="s">
        <v>50</v>
      </c>
      <c r="Y6" s="1" t="s">
        <v>5</v>
      </c>
      <c r="Z6" s="157" t="s">
        <v>864</v>
      </c>
      <c r="AA6" s="15">
        <v>0</v>
      </c>
      <c r="AB6" s="15">
        <v>16800</v>
      </c>
      <c r="AC6" s="15">
        <v>17700</v>
      </c>
      <c r="AD6" s="15">
        <v>17700</v>
      </c>
      <c r="AE6" s="35" t="s">
        <v>547</v>
      </c>
      <c r="AF6" s="36" t="s">
        <v>547</v>
      </c>
      <c r="AG6" s="35"/>
      <c r="AH6" s="35" t="s">
        <v>547</v>
      </c>
      <c r="AI6" s="35"/>
      <c r="AJ6" s="36"/>
      <c r="AK6" s="15">
        <v>0</v>
      </c>
      <c r="AL6" s="15">
        <v>16800</v>
      </c>
      <c r="AM6" s="15">
        <v>17700</v>
      </c>
      <c r="AN6" s="15">
        <v>17700</v>
      </c>
      <c r="AO6" s="3">
        <v>17700</v>
      </c>
      <c r="AP6" s="138">
        <v>18870</v>
      </c>
      <c r="AQ6" s="11">
        <v>1.07</v>
      </c>
      <c r="AR6" s="2" t="s">
        <v>657</v>
      </c>
      <c r="AS6" s="26">
        <v>18.8</v>
      </c>
      <c r="AT6" s="15">
        <v>0</v>
      </c>
      <c r="AU6" s="15">
        <v>830</v>
      </c>
      <c r="AV6" s="15">
        <v>880</v>
      </c>
      <c r="AW6" s="15">
        <v>880</v>
      </c>
      <c r="AX6" s="15">
        <v>0</v>
      </c>
      <c r="AY6" s="15">
        <v>830</v>
      </c>
      <c r="AZ6" s="15">
        <v>880</v>
      </c>
      <c r="BA6" s="15">
        <v>880</v>
      </c>
      <c r="BB6" s="3">
        <v>880</v>
      </c>
      <c r="BC6" s="138">
        <v>981</v>
      </c>
      <c r="BD6" s="138">
        <v>812</v>
      </c>
      <c r="BE6" s="11">
        <v>1.1100000000000001</v>
      </c>
      <c r="BF6" s="2" t="s">
        <v>657</v>
      </c>
      <c r="BG6" s="135">
        <v>7.7499999999999999E-2</v>
      </c>
      <c r="BH6" s="135">
        <v>7.7499999999999999E-2</v>
      </c>
      <c r="BI6" s="38">
        <v>7.7499999999999999E-2</v>
      </c>
      <c r="BJ6" s="39" t="s">
        <v>547</v>
      </c>
      <c r="BK6" s="15">
        <v>0</v>
      </c>
      <c r="BL6" s="15">
        <v>16800</v>
      </c>
      <c r="BM6" s="15">
        <v>17700</v>
      </c>
      <c r="BN6" s="15">
        <v>17700</v>
      </c>
      <c r="BO6" s="15">
        <v>0</v>
      </c>
      <c r="BP6" s="15">
        <v>16800</v>
      </c>
      <c r="BQ6" s="15">
        <v>17700</v>
      </c>
      <c r="BR6" s="15">
        <v>17700</v>
      </c>
      <c r="BS6" s="3">
        <v>17700</v>
      </c>
      <c r="BT6" s="40">
        <v>27407</v>
      </c>
      <c r="BU6" s="41">
        <v>1.55</v>
      </c>
      <c r="BV6" s="2" t="s">
        <v>657</v>
      </c>
      <c r="BW6" s="2">
        <v>27.3</v>
      </c>
      <c r="BX6" s="15">
        <v>0</v>
      </c>
      <c r="BY6" s="15">
        <v>830</v>
      </c>
      <c r="BZ6" s="15">
        <v>880</v>
      </c>
      <c r="CA6" s="15">
        <v>880</v>
      </c>
      <c r="CB6" s="15">
        <v>0</v>
      </c>
      <c r="CC6" s="15">
        <v>830</v>
      </c>
      <c r="CD6" s="15">
        <v>880</v>
      </c>
      <c r="CE6" s="15">
        <v>880</v>
      </c>
      <c r="CF6" s="3">
        <v>880</v>
      </c>
      <c r="CG6" s="2">
        <v>1425</v>
      </c>
      <c r="CH6" s="2">
        <v>1179</v>
      </c>
      <c r="CI6" s="11">
        <v>1.62</v>
      </c>
      <c r="CJ6" s="2" t="s">
        <v>657</v>
      </c>
      <c r="CK6" s="3">
        <v>19116</v>
      </c>
      <c r="CL6" s="11">
        <v>1.43</v>
      </c>
      <c r="CM6" s="11" t="s">
        <v>868</v>
      </c>
      <c r="CN6" s="3">
        <v>950</v>
      </c>
      <c r="CO6" s="11">
        <v>1.5</v>
      </c>
      <c r="CP6" s="156" t="s">
        <v>869</v>
      </c>
      <c r="CQ6" s="2" t="s">
        <v>557</v>
      </c>
      <c r="CR6" s="44">
        <v>0</v>
      </c>
      <c r="CS6" s="11">
        <v>2.73</v>
      </c>
      <c r="CT6" s="11">
        <v>2.73</v>
      </c>
      <c r="CU6" s="11" t="s">
        <v>547</v>
      </c>
      <c r="CV6" s="11">
        <v>2.73</v>
      </c>
      <c r="CW6" s="2" t="s">
        <v>586</v>
      </c>
      <c r="CX6" s="1"/>
      <c r="CY6" s="145">
        <v>18.8</v>
      </c>
      <c r="CZ6" s="32">
        <v>27.3</v>
      </c>
    </row>
    <row r="7" spans="1:104" s="9" customFormat="1" ht="12.75" customHeight="1">
      <c r="A7" s="1">
        <v>3253220</v>
      </c>
      <c r="B7" s="1" t="s">
        <v>168</v>
      </c>
      <c r="C7" s="1">
        <v>460</v>
      </c>
      <c r="D7" s="1" t="s">
        <v>137</v>
      </c>
      <c r="E7" s="157" t="s">
        <v>168</v>
      </c>
      <c r="F7" s="2" t="s">
        <v>136</v>
      </c>
      <c r="G7" s="156">
        <v>45</v>
      </c>
      <c r="H7" s="11">
        <v>0.17973183735500001</v>
      </c>
      <c r="I7" s="10" t="s">
        <v>693</v>
      </c>
      <c r="J7" s="10" t="s">
        <v>152</v>
      </c>
      <c r="K7" s="10" t="s">
        <v>704</v>
      </c>
      <c r="L7" s="157">
        <v>2</v>
      </c>
      <c r="M7" s="1">
        <v>2</v>
      </c>
      <c r="N7" s="1" t="s">
        <v>858</v>
      </c>
      <c r="O7" s="1" t="s">
        <v>5</v>
      </c>
      <c r="P7" s="1" t="s">
        <v>652</v>
      </c>
      <c r="Q7" s="1" t="s">
        <v>547</v>
      </c>
      <c r="R7" s="1" t="s">
        <v>547</v>
      </c>
      <c r="S7" s="1" t="s">
        <v>879</v>
      </c>
      <c r="T7" s="1" t="s">
        <v>567</v>
      </c>
      <c r="U7" s="1" t="s">
        <v>567</v>
      </c>
      <c r="V7" s="1" t="s">
        <v>137</v>
      </c>
      <c r="W7" s="1" t="s">
        <v>25</v>
      </c>
      <c r="X7" s="1" t="s">
        <v>138</v>
      </c>
      <c r="Y7" s="1" t="s">
        <v>5</v>
      </c>
      <c r="Z7" s="157" t="s">
        <v>864</v>
      </c>
      <c r="AA7" s="15">
        <v>11700</v>
      </c>
      <c r="AB7" s="15">
        <v>1800</v>
      </c>
      <c r="AC7" s="15">
        <v>24200</v>
      </c>
      <c r="AD7" s="15">
        <v>32600</v>
      </c>
      <c r="AE7" s="35" t="s">
        <v>547</v>
      </c>
      <c r="AF7" s="36">
        <v>0.05</v>
      </c>
      <c r="AG7" s="35" t="s">
        <v>547</v>
      </c>
      <c r="AH7" s="35" t="s">
        <v>547</v>
      </c>
      <c r="AI7" s="35"/>
      <c r="AJ7" s="36"/>
      <c r="AK7" s="15">
        <v>12285</v>
      </c>
      <c r="AL7" s="15">
        <v>1890</v>
      </c>
      <c r="AM7" s="15">
        <v>25410</v>
      </c>
      <c r="AN7" s="15">
        <v>34230</v>
      </c>
      <c r="AO7" s="3">
        <v>25410</v>
      </c>
      <c r="AP7" s="138">
        <v>19965</v>
      </c>
      <c r="AQ7" s="11">
        <v>0.79</v>
      </c>
      <c r="AR7" s="2" t="s">
        <v>5</v>
      </c>
      <c r="AS7" s="26">
        <v>1.31</v>
      </c>
      <c r="AT7" s="15">
        <v>580</v>
      </c>
      <c r="AU7" s="15">
        <v>890</v>
      </c>
      <c r="AV7" s="15">
        <v>1200</v>
      </c>
      <c r="AW7" s="15">
        <v>1610</v>
      </c>
      <c r="AX7" s="15">
        <v>609</v>
      </c>
      <c r="AY7" s="15">
        <v>935</v>
      </c>
      <c r="AZ7" s="15">
        <v>1260</v>
      </c>
      <c r="BA7" s="15">
        <v>1691</v>
      </c>
      <c r="BB7" s="3">
        <v>1260</v>
      </c>
      <c r="BC7" s="138">
        <v>891</v>
      </c>
      <c r="BD7" s="138">
        <v>793.5</v>
      </c>
      <c r="BE7" s="11">
        <v>0.71</v>
      </c>
      <c r="BF7" s="2" t="s">
        <v>4</v>
      </c>
      <c r="BG7" s="135">
        <v>5.5E-2</v>
      </c>
      <c r="BH7" s="135">
        <v>5.5E-2</v>
      </c>
      <c r="BI7" s="38">
        <v>5.5E-2</v>
      </c>
      <c r="BJ7" s="39" t="s">
        <v>547</v>
      </c>
      <c r="BK7" s="15">
        <v>11700</v>
      </c>
      <c r="BL7" s="15">
        <v>1800</v>
      </c>
      <c r="BM7" s="15">
        <v>24200</v>
      </c>
      <c r="BN7" s="15">
        <v>32600</v>
      </c>
      <c r="BO7" s="15">
        <v>12285</v>
      </c>
      <c r="BP7" s="15">
        <v>1890</v>
      </c>
      <c r="BQ7" s="15">
        <v>25410</v>
      </c>
      <c r="BR7" s="15">
        <v>34230</v>
      </c>
      <c r="BS7" s="3">
        <v>25410</v>
      </c>
      <c r="BT7" s="40">
        <v>26093</v>
      </c>
      <c r="BU7" s="41">
        <v>1.03</v>
      </c>
      <c r="BV7" s="2" t="s">
        <v>183</v>
      </c>
      <c r="BW7" s="2">
        <v>1.71</v>
      </c>
      <c r="BX7" s="15">
        <v>580</v>
      </c>
      <c r="BY7" s="15">
        <v>890</v>
      </c>
      <c r="BZ7" s="15">
        <v>1200</v>
      </c>
      <c r="CA7" s="15">
        <v>1610</v>
      </c>
      <c r="CB7" s="15">
        <v>609</v>
      </c>
      <c r="CC7" s="15">
        <v>935</v>
      </c>
      <c r="CD7" s="15">
        <v>1260</v>
      </c>
      <c r="CE7" s="15">
        <v>1691</v>
      </c>
      <c r="CF7" s="3">
        <v>1260</v>
      </c>
      <c r="CG7" s="2">
        <v>1165</v>
      </c>
      <c r="CH7" s="2">
        <v>1037</v>
      </c>
      <c r="CI7" s="11">
        <v>0.92</v>
      </c>
      <c r="CJ7" s="2" t="s">
        <v>5</v>
      </c>
      <c r="CK7" s="3">
        <v>36968</v>
      </c>
      <c r="CL7" s="11">
        <v>0.71</v>
      </c>
      <c r="CM7" s="11" t="s">
        <v>867</v>
      </c>
      <c r="CN7" s="3">
        <v>1826</v>
      </c>
      <c r="CO7" s="11">
        <v>0.64</v>
      </c>
      <c r="CP7" s="156" t="s">
        <v>866</v>
      </c>
      <c r="CQ7" s="2" t="s">
        <v>557</v>
      </c>
      <c r="CR7" s="44">
        <v>0</v>
      </c>
      <c r="CS7" s="11" t="s">
        <v>547</v>
      </c>
      <c r="CT7" s="11">
        <v>0.18</v>
      </c>
      <c r="CU7" s="11" t="s">
        <v>547</v>
      </c>
      <c r="CV7" s="11" t="s">
        <v>547</v>
      </c>
      <c r="CW7" s="2" t="s">
        <v>586</v>
      </c>
      <c r="CX7" s="1"/>
      <c r="CY7" s="145" t="s">
        <v>547</v>
      </c>
      <c r="CZ7" s="32">
        <v>1.71</v>
      </c>
    </row>
    <row r="8" spans="1:104" s="9" customFormat="1" ht="12.75" customHeight="1">
      <c r="A8" s="1">
        <v>3253270</v>
      </c>
      <c r="B8" s="1">
        <v>180002</v>
      </c>
      <c r="C8" s="1">
        <v>442</v>
      </c>
      <c r="D8" s="1" t="s">
        <v>137</v>
      </c>
      <c r="E8" s="1">
        <v>180002</v>
      </c>
      <c r="F8" s="2" t="s">
        <v>136</v>
      </c>
      <c r="G8" s="156">
        <v>45</v>
      </c>
      <c r="H8" s="11">
        <v>0.257931336831</v>
      </c>
      <c r="I8" s="10" t="s">
        <v>40</v>
      </c>
      <c r="J8" s="10" t="s">
        <v>766</v>
      </c>
      <c r="K8" s="10" t="s">
        <v>725</v>
      </c>
      <c r="L8" s="157">
        <v>4</v>
      </c>
      <c r="M8" s="1">
        <v>4</v>
      </c>
      <c r="N8" s="1" t="s">
        <v>858</v>
      </c>
      <c r="O8" s="1" t="s">
        <v>5</v>
      </c>
      <c r="P8" s="1" t="s">
        <v>651</v>
      </c>
      <c r="Q8" s="1" t="s">
        <v>547</v>
      </c>
      <c r="R8" s="1" t="s">
        <v>547</v>
      </c>
      <c r="S8" s="1" t="s">
        <v>878</v>
      </c>
      <c r="T8" s="1" t="s">
        <v>219</v>
      </c>
      <c r="U8" s="1" t="s">
        <v>219</v>
      </c>
      <c r="V8" s="1" t="s">
        <v>137</v>
      </c>
      <c r="W8" s="1" t="s">
        <v>11</v>
      </c>
      <c r="X8" s="1" t="s">
        <v>138</v>
      </c>
      <c r="Y8" s="1" t="s">
        <v>5</v>
      </c>
      <c r="Z8" s="157" t="s">
        <v>864</v>
      </c>
      <c r="AA8" s="15">
        <v>0</v>
      </c>
      <c r="AB8" s="15">
        <v>37900</v>
      </c>
      <c r="AC8" s="15">
        <v>39800</v>
      </c>
      <c r="AD8" s="15">
        <v>39800</v>
      </c>
      <c r="AE8" s="35" t="s">
        <v>547</v>
      </c>
      <c r="AF8" s="36" t="s">
        <v>547</v>
      </c>
      <c r="AG8" s="35" t="s">
        <v>547</v>
      </c>
      <c r="AH8" s="35" t="s">
        <v>547</v>
      </c>
      <c r="AI8" s="35"/>
      <c r="AJ8" s="36"/>
      <c r="AK8" s="15">
        <v>0</v>
      </c>
      <c r="AL8" s="15">
        <v>37900</v>
      </c>
      <c r="AM8" s="15">
        <v>39800</v>
      </c>
      <c r="AN8" s="15">
        <v>39800</v>
      </c>
      <c r="AO8" s="3">
        <v>39800</v>
      </c>
      <c r="AP8" s="138">
        <v>27390</v>
      </c>
      <c r="AQ8" s="11">
        <v>0.69</v>
      </c>
      <c r="AR8" s="2" t="s">
        <v>4</v>
      </c>
      <c r="AS8" s="26">
        <v>2.58</v>
      </c>
      <c r="AT8" s="15">
        <v>0</v>
      </c>
      <c r="AU8" s="15">
        <v>1910</v>
      </c>
      <c r="AV8" s="15">
        <v>2000</v>
      </c>
      <c r="AW8" s="15">
        <v>2000</v>
      </c>
      <c r="AX8" s="15">
        <v>0</v>
      </c>
      <c r="AY8" s="15">
        <v>1910</v>
      </c>
      <c r="AZ8" s="15">
        <v>2000</v>
      </c>
      <c r="BA8" s="15">
        <v>2000</v>
      </c>
      <c r="BB8" s="3">
        <v>2000</v>
      </c>
      <c r="BC8" s="138">
        <v>1348</v>
      </c>
      <c r="BD8" s="138">
        <v>1117</v>
      </c>
      <c r="BE8" s="11">
        <v>0.67</v>
      </c>
      <c r="BF8" s="2" t="s">
        <v>4</v>
      </c>
      <c r="BG8" s="135">
        <v>7.4999999999999997E-2</v>
      </c>
      <c r="BH8" s="135">
        <v>7.4999999999999997E-2</v>
      </c>
      <c r="BI8" s="38">
        <v>7.4999999999999997E-2</v>
      </c>
      <c r="BJ8" s="39" t="s">
        <v>547</v>
      </c>
      <c r="BK8" s="15">
        <v>0</v>
      </c>
      <c r="BL8" s="15">
        <v>37900</v>
      </c>
      <c r="BM8" s="15">
        <v>39800</v>
      </c>
      <c r="BN8" s="15">
        <v>39800</v>
      </c>
      <c r="BO8" s="15">
        <v>0</v>
      </c>
      <c r="BP8" s="15">
        <v>37900</v>
      </c>
      <c r="BQ8" s="15">
        <v>39800</v>
      </c>
      <c r="BR8" s="15">
        <v>39800</v>
      </c>
      <c r="BS8" s="3">
        <v>39800</v>
      </c>
      <c r="BT8" s="40">
        <v>39322</v>
      </c>
      <c r="BU8" s="41">
        <v>0.99</v>
      </c>
      <c r="BV8" s="2" t="s">
        <v>5</v>
      </c>
      <c r="BW8" s="2">
        <v>3.7</v>
      </c>
      <c r="BX8" s="15">
        <v>0</v>
      </c>
      <c r="BY8" s="15">
        <v>1910</v>
      </c>
      <c r="BZ8" s="15">
        <v>2000</v>
      </c>
      <c r="CA8" s="15">
        <v>2000</v>
      </c>
      <c r="CB8" s="15">
        <v>0</v>
      </c>
      <c r="CC8" s="15">
        <v>1910</v>
      </c>
      <c r="CD8" s="15">
        <v>2000</v>
      </c>
      <c r="CE8" s="15">
        <v>2000</v>
      </c>
      <c r="CF8" s="3">
        <v>2000</v>
      </c>
      <c r="CG8" s="2">
        <v>1935</v>
      </c>
      <c r="CH8" s="2">
        <v>1604</v>
      </c>
      <c r="CI8" s="11">
        <v>0.97</v>
      </c>
      <c r="CJ8" s="2" t="s">
        <v>5</v>
      </c>
      <c r="CK8" s="3">
        <v>42984</v>
      </c>
      <c r="CL8" s="11">
        <v>0.91</v>
      </c>
      <c r="CM8" s="11" t="s">
        <v>866</v>
      </c>
      <c r="CN8" s="3">
        <v>2160</v>
      </c>
      <c r="CO8" s="11">
        <v>0.9</v>
      </c>
      <c r="CP8" s="156" t="s">
        <v>866</v>
      </c>
      <c r="CQ8" s="2" t="s">
        <v>883</v>
      </c>
      <c r="CR8" s="44">
        <v>1</v>
      </c>
      <c r="CS8" s="11" t="s">
        <v>547</v>
      </c>
      <c r="CT8" s="11" t="s">
        <v>547</v>
      </c>
      <c r="CU8" s="11" t="s">
        <v>547</v>
      </c>
      <c r="CV8" s="11" t="s">
        <v>547</v>
      </c>
      <c r="CW8" s="2" t="s">
        <v>586</v>
      </c>
      <c r="CX8" s="1"/>
      <c r="CY8" s="145" t="s">
        <v>547</v>
      </c>
      <c r="CZ8" s="32" t="s">
        <v>547</v>
      </c>
    </row>
    <row r="9" spans="1:104" s="9" customFormat="1" ht="12.75" customHeight="1">
      <c r="A9" s="1">
        <v>3541110</v>
      </c>
      <c r="B9" s="1">
        <v>19</v>
      </c>
      <c r="C9" s="1">
        <v>15</v>
      </c>
      <c r="D9" s="1">
        <v>19</v>
      </c>
      <c r="E9" s="1"/>
      <c r="F9" s="2" t="s">
        <v>6</v>
      </c>
      <c r="G9" s="156">
        <v>45</v>
      </c>
      <c r="H9" s="11">
        <v>0.199788123456</v>
      </c>
      <c r="I9" s="10" t="s">
        <v>714</v>
      </c>
      <c r="J9" s="10" t="s">
        <v>40</v>
      </c>
      <c r="K9" s="10" t="s">
        <v>47</v>
      </c>
      <c r="L9" s="157">
        <v>2</v>
      </c>
      <c r="M9" s="1">
        <v>2</v>
      </c>
      <c r="N9" s="1" t="s">
        <v>858</v>
      </c>
      <c r="O9" s="1" t="s">
        <v>858</v>
      </c>
      <c r="P9" s="1" t="s">
        <v>652</v>
      </c>
      <c r="Q9" s="1" t="s">
        <v>547</v>
      </c>
      <c r="R9" s="1" t="s">
        <v>547</v>
      </c>
      <c r="S9" s="1" t="s">
        <v>879</v>
      </c>
      <c r="T9" s="1" t="s">
        <v>232</v>
      </c>
      <c r="U9" s="1" t="s">
        <v>232</v>
      </c>
      <c r="V9" s="1" t="s">
        <v>10</v>
      </c>
      <c r="W9" s="1" t="s">
        <v>25</v>
      </c>
      <c r="X9" s="1" t="s">
        <v>21</v>
      </c>
      <c r="Y9" s="1" t="s">
        <v>657</v>
      </c>
      <c r="Z9" s="157" t="s">
        <v>863</v>
      </c>
      <c r="AA9" s="15">
        <v>11700</v>
      </c>
      <c r="AB9" s="15">
        <v>18000</v>
      </c>
      <c r="AC9" s="15">
        <v>24200</v>
      </c>
      <c r="AD9" s="15">
        <v>32600</v>
      </c>
      <c r="AE9" s="35"/>
      <c r="AF9" s="36" t="s">
        <v>547</v>
      </c>
      <c r="AG9" s="35"/>
      <c r="AH9" s="35" t="s">
        <v>547</v>
      </c>
      <c r="AI9" s="35"/>
      <c r="AJ9" s="36"/>
      <c r="AK9" s="15">
        <v>11700</v>
      </c>
      <c r="AL9" s="15">
        <v>18000</v>
      </c>
      <c r="AM9" s="15">
        <v>24200</v>
      </c>
      <c r="AN9" s="15">
        <v>32600</v>
      </c>
      <c r="AO9" s="248">
        <v>1000000</v>
      </c>
      <c r="AP9" s="138">
        <v>11417</v>
      </c>
      <c r="AQ9" s="11">
        <v>0.01</v>
      </c>
      <c r="AR9" s="2" t="s">
        <v>3</v>
      </c>
      <c r="AS9" s="26">
        <v>0.83</v>
      </c>
      <c r="AT9" s="15">
        <v>580</v>
      </c>
      <c r="AU9" s="15">
        <v>890</v>
      </c>
      <c r="AV9" s="15">
        <v>1200</v>
      </c>
      <c r="AW9" s="15">
        <v>1610</v>
      </c>
      <c r="AX9" s="15">
        <v>580</v>
      </c>
      <c r="AY9" s="15">
        <v>890</v>
      </c>
      <c r="AZ9" s="15">
        <v>1200</v>
      </c>
      <c r="BA9" s="15">
        <v>1610</v>
      </c>
      <c r="BB9" s="248">
        <v>1000000</v>
      </c>
      <c r="BC9" s="138">
        <v>446</v>
      </c>
      <c r="BD9" s="138">
        <v>580</v>
      </c>
      <c r="BE9" s="11">
        <v>0</v>
      </c>
      <c r="BF9" s="2" t="s">
        <v>3</v>
      </c>
      <c r="BG9" s="135">
        <v>4.4999999999999998E-2</v>
      </c>
      <c r="BH9" s="135">
        <v>4.4999999999999998E-2</v>
      </c>
      <c r="BI9" s="38">
        <v>4.4999999999999998E-2</v>
      </c>
      <c r="BJ9" s="39" t="s">
        <v>547</v>
      </c>
      <c r="BK9" s="15">
        <v>11700</v>
      </c>
      <c r="BL9" s="15">
        <v>18000</v>
      </c>
      <c r="BM9" s="15">
        <v>24200</v>
      </c>
      <c r="BN9" s="15">
        <v>32600</v>
      </c>
      <c r="BO9" s="15">
        <v>11700</v>
      </c>
      <c r="BP9" s="15">
        <v>18000</v>
      </c>
      <c r="BQ9" s="15">
        <v>24200</v>
      </c>
      <c r="BR9" s="15">
        <v>32600</v>
      </c>
      <c r="BS9" s="248">
        <v>1000000</v>
      </c>
      <c r="BT9" s="40">
        <v>14228</v>
      </c>
      <c r="BU9" s="41">
        <v>0.01</v>
      </c>
      <c r="BV9" s="2" t="s">
        <v>4</v>
      </c>
      <c r="BW9" s="2">
        <v>1.04</v>
      </c>
      <c r="BX9" s="15">
        <v>580</v>
      </c>
      <c r="BY9" s="15">
        <v>890</v>
      </c>
      <c r="BZ9" s="15">
        <v>1200</v>
      </c>
      <c r="CA9" s="15">
        <v>1610</v>
      </c>
      <c r="CB9" s="15">
        <v>580</v>
      </c>
      <c r="CC9" s="15">
        <v>890</v>
      </c>
      <c r="CD9" s="15">
        <v>1200</v>
      </c>
      <c r="CE9" s="15">
        <v>1610</v>
      </c>
      <c r="CF9" s="248">
        <v>1000000</v>
      </c>
      <c r="CG9" s="2">
        <v>556</v>
      </c>
      <c r="CH9" s="2">
        <v>723</v>
      </c>
      <c r="CI9" s="11"/>
      <c r="CJ9" s="2" t="s">
        <v>547</v>
      </c>
      <c r="CK9" s="3">
        <v>35208</v>
      </c>
      <c r="CL9" s="11">
        <v>0.4</v>
      </c>
      <c r="CM9" s="11" t="s">
        <v>865</v>
      </c>
      <c r="CN9" s="3">
        <v>1739</v>
      </c>
      <c r="CO9" s="11">
        <v>0.42</v>
      </c>
      <c r="CP9" s="156" t="s">
        <v>681</v>
      </c>
      <c r="CQ9" s="3" t="s">
        <v>561</v>
      </c>
      <c r="CR9" s="44">
        <v>1</v>
      </c>
      <c r="CS9" s="11" t="s">
        <v>547</v>
      </c>
      <c r="CT9" s="11">
        <v>0</v>
      </c>
      <c r="CU9" s="11" t="s">
        <v>547</v>
      </c>
      <c r="CV9" s="11" t="s">
        <v>547</v>
      </c>
      <c r="CW9" s="3" t="s">
        <v>586</v>
      </c>
      <c r="CX9" s="1"/>
      <c r="CY9" s="145" t="s">
        <v>547</v>
      </c>
      <c r="CZ9" s="32" t="s">
        <v>547</v>
      </c>
    </row>
    <row r="10" spans="1:104" s="4" customFormat="1" ht="12.75" customHeight="1">
      <c r="A10" s="1">
        <v>5000420</v>
      </c>
      <c r="B10" s="1">
        <v>138</v>
      </c>
      <c r="C10" s="1">
        <v>128</v>
      </c>
      <c r="D10" s="1">
        <v>138</v>
      </c>
      <c r="E10" s="1"/>
      <c r="F10" s="2" t="s">
        <v>6</v>
      </c>
      <c r="G10" s="156">
        <v>35</v>
      </c>
      <c r="H10" s="11">
        <v>1.8240194950399999</v>
      </c>
      <c r="I10" s="10" t="s">
        <v>22</v>
      </c>
      <c r="J10" s="10" t="s">
        <v>126</v>
      </c>
      <c r="K10" s="10" t="s">
        <v>33</v>
      </c>
      <c r="L10" s="157">
        <v>2</v>
      </c>
      <c r="M10" s="1">
        <v>2</v>
      </c>
      <c r="N10" s="1" t="s">
        <v>858</v>
      </c>
      <c r="O10" s="1" t="s">
        <v>858</v>
      </c>
      <c r="P10" s="1" t="s">
        <v>651</v>
      </c>
      <c r="Q10" s="1" t="s">
        <v>547</v>
      </c>
      <c r="R10" s="1" t="s">
        <v>547</v>
      </c>
      <c r="S10" s="1" t="s">
        <v>877</v>
      </c>
      <c r="T10" s="1" t="s">
        <v>218</v>
      </c>
      <c r="U10" s="1" t="s">
        <v>218</v>
      </c>
      <c r="V10" s="1" t="s">
        <v>10</v>
      </c>
      <c r="W10" s="1" t="s">
        <v>11</v>
      </c>
      <c r="X10" s="1" t="s">
        <v>12</v>
      </c>
      <c r="Y10" s="1" t="s">
        <v>657</v>
      </c>
      <c r="Z10" s="157" t="s">
        <v>863</v>
      </c>
      <c r="AA10" s="15">
        <v>0</v>
      </c>
      <c r="AB10" s="15">
        <v>7300</v>
      </c>
      <c r="AC10" s="15">
        <v>14800</v>
      </c>
      <c r="AD10" s="15">
        <v>15600</v>
      </c>
      <c r="AE10" s="35">
        <v>-0.1</v>
      </c>
      <c r="AF10" s="36" t="s">
        <v>547</v>
      </c>
      <c r="AG10" s="35">
        <v>-0.2</v>
      </c>
      <c r="AH10" s="35" t="s">
        <v>547</v>
      </c>
      <c r="AI10" s="35"/>
      <c r="AJ10" s="36"/>
      <c r="AK10" s="15">
        <v>0</v>
      </c>
      <c r="AL10" s="15">
        <v>5110</v>
      </c>
      <c r="AM10" s="15">
        <v>10360</v>
      </c>
      <c r="AN10" s="15">
        <v>10920</v>
      </c>
      <c r="AO10" s="248">
        <v>1000000</v>
      </c>
      <c r="AP10" s="138">
        <v>10995</v>
      </c>
      <c r="AQ10" s="11">
        <v>0.01</v>
      </c>
      <c r="AR10" s="2" t="s">
        <v>657</v>
      </c>
      <c r="AS10" s="26">
        <v>7.32</v>
      </c>
      <c r="AT10" s="15">
        <v>0</v>
      </c>
      <c r="AU10" s="15">
        <v>370</v>
      </c>
      <c r="AV10" s="15">
        <v>750</v>
      </c>
      <c r="AW10" s="15">
        <v>800</v>
      </c>
      <c r="AX10" s="15">
        <v>0</v>
      </c>
      <c r="AY10" s="15">
        <v>259</v>
      </c>
      <c r="AZ10" s="15">
        <v>525</v>
      </c>
      <c r="BA10" s="15">
        <v>560</v>
      </c>
      <c r="BB10" s="248">
        <v>1000000</v>
      </c>
      <c r="BC10" s="138">
        <v>577</v>
      </c>
      <c r="BD10" s="138">
        <v>525</v>
      </c>
      <c r="BE10" s="11">
        <v>0</v>
      </c>
      <c r="BF10" s="2" t="s">
        <v>657</v>
      </c>
      <c r="BG10" s="135">
        <v>0</v>
      </c>
      <c r="BH10" s="135">
        <v>0</v>
      </c>
      <c r="BI10" s="38">
        <v>0.01</v>
      </c>
      <c r="BJ10" s="39" t="s">
        <v>880</v>
      </c>
      <c r="BK10" s="15">
        <v>0</v>
      </c>
      <c r="BL10" s="15">
        <v>7300</v>
      </c>
      <c r="BM10" s="15">
        <v>14800</v>
      </c>
      <c r="BN10" s="15">
        <v>15600</v>
      </c>
      <c r="BO10" s="15">
        <v>0</v>
      </c>
      <c r="BP10" s="15">
        <v>5110</v>
      </c>
      <c r="BQ10" s="15">
        <v>10360</v>
      </c>
      <c r="BR10" s="15">
        <v>10920</v>
      </c>
      <c r="BS10" s="248">
        <v>1000000</v>
      </c>
      <c r="BT10" s="40">
        <v>11556</v>
      </c>
      <c r="BU10" s="41">
        <v>0.01</v>
      </c>
      <c r="BV10" s="2" t="s">
        <v>657</v>
      </c>
      <c r="BW10" s="2">
        <v>7.69</v>
      </c>
      <c r="BX10" s="15">
        <v>0</v>
      </c>
      <c r="BY10" s="15">
        <v>370</v>
      </c>
      <c r="BZ10" s="15">
        <v>750</v>
      </c>
      <c r="CA10" s="15">
        <v>800</v>
      </c>
      <c r="CB10" s="15">
        <v>0</v>
      </c>
      <c r="CC10" s="15">
        <v>259</v>
      </c>
      <c r="CD10" s="15">
        <v>525</v>
      </c>
      <c r="CE10" s="15">
        <v>560</v>
      </c>
      <c r="CF10" s="248">
        <v>1000000</v>
      </c>
      <c r="CG10" s="2">
        <v>606</v>
      </c>
      <c r="CH10" s="2">
        <v>552</v>
      </c>
      <c r="CI10" s="11">
        <v>0</v>
      </c>
      <c r="CJ10" s="2" t="s">
        <v>657</v>
      </c>
      <c r="CK10" s="3">
        <v>11794</v>
      </c>
      <c r="CL10" s="11">
        <v>0.98</v>
      </c>
      <c r="CM10" s="11" t="s">
        <v>865</v>
      </c>
      <c r="CN10" s="3">
        <v>605</v>
      </c>
      <c r="CO10" s="11">
        <v>1</v>
      </c>
      <c r="CP10" s="156" t="s">
        <v>681</v>
      </c>
      <c r="CQ10" s="2" t="s">
        <v>556</v>
      </c>
      <c r="CR10" s="44">
        <v>1</v>
      </c>
      <c r="CS10" s="11" t="s">
        <v>547</v>
      </c>
      <c r="CT10" s="11">
        <v>0</v>
      </c>
      <c r="CU10" s="11" t="s">
        <v>547</v>
      </c>
      <c r="CV10" s="11" t="s">
        <v>547</v>
      </c>
      <c r="CW10" s="2"/>
      <c r="CX10" s="1"/>
      <c r="CY10" s="145" t="s">
        <v>547</v>
      </c>
      <c r="CZ10" s="32" t="s">
        <v>547</v>
      </c>
    </row>
    <row r="11" spans="1:104" s="4" customFormat="1" ht="12.75" customHeight="1">
      <c r="A11" s="1">
        <v>5000430</v>
      </c>
      <c r="B11" s="1">
        <v>137</v>
      </c>
      <c r="C11" s="1">
        <v>119</v>
      </c>
      <c r="D11" s="1">
        <v>137</v>
      </c>
      <c r="E11" s="1"/>
      <c r="F11" s="2" t="s">
        <v>6</v>
      </c>
      <c r="G11" s="156">
        <v>35</v>
      </c>
      <c r="H11" s="11">
        <v>0.99711083068999995</v>
      </c>
      <c r="I11" s="10" t="s">
        <v>22</v>
      </c>
      <c r="J11" s="10" t="s">
        <v>716</v>
      </c>
      <c r="K11" s="10" t="s">
        <v>126</v>
      </c>
      <c r="L11" s="157">
        <v>2</v>
      </c>
      <c r="M11" s="1">
        <v>2</v>
      </c>
      <c r="N11" s="1" t="s">
        <v>858</v>
      </c>
      <c r="O11" s="1" t="s">
        <v>858</v>
      </c>
      <c r="P11" s="1" t="s">
        <v>651</v>
      </c>
      <c r="Q11" s="1" t="s">
        <v>547</v>
      </c>
      <c r="R11" s="1" t="s">
        <v>547</v>
      </c>
      <c r="S11" s="1" t="s">
        <v>877</v>
      </c>
      <c r="T11" s="1" t="s">
        <v>218</v>
      </c>
      <c r="U11" s="1" t="s">
        <v>218</v>
      </c>
      <c r="V11" s="1" t="s">
        <v>10</v>
      </c>
      <c r="W11" s="1" t="s">
        <v>11</v>
      </c>
      <c r="X11" s="1" t="s">
        <v>12</v>
      </c>
      <c r="Y11" s="1" t="s">
        <v>657</v>
      </c>
      <c r="Z11" s="157" t="s">
        <v>863</v>
      </c>
      <c r="AA11" s="15">
        <v>0</v>
      </c>
      <c r="AB11" s="15">
        <v>7300</v>
      </c>
      <c r="AC11" s="15">
        <v>14800</v>
      </c>
      <c r="AD11" s="15">
        <v>15600</v>
      </c>
      <c r="AE11" s="35">
        <v>-0.1</v>
      </c>
      <c r="AF11" s="36" t="s">
        <v>547</v>
      </c>
      <c r="AG11" s="35"/>
      <c r="AH11" s="35" t="s">
        <v>547</v>
      </c>
      <c r="AI11" s="35"/>
      <c r="AJ11" s="36"/>
      <c r="AK11" s="15">
        <v>0</v>
      </c>
      <c r="AL11" s="15">
        <v>6570</v>
      </c>
      <c r="AM11" s="15">
        <v>13320</v>
      </c>
      <c r="AN11" s="15">
        <v>14040</v>
      </c>
      <c r="AO11" s="248">
        <v>1000000</v>
      </c>
      <c r="AP11" s="138">
        <v>19318</v>
      </c>
      <c r="AQ11" s="11">
        <v>0.02</v>
      </c>
      <c r="AR11" s="2" t="s">
        <v>657</v>
      </c>
      <c r="AS11" s="26">
        <v>7.03</v>
      </c>
      <c r="AT11" s="15">
        <v>0</v>
      </c>
      <c r="AU11" s="15">
        <v>370</v>
      </c>
      <c r="AV11" s="15">
        <v>750</v>
      </c>
      <c r="AW11" s="15">
        <v>800</v>
      </c>
      <c r="AX11" s="15">
        <v>0</v>
      </c>
      <c r="AY11" s="15">
        <v>333</v>
      </c>
      <c r="AZ11" s="15">
        <v>675</v>
      </c>
      <c r="BA11" s="15">
        <v>720</v>
      </c>
      <c r="BB11" s="248">
        <v>1000000</v>
      </c>
      <c r="BC11" s="138">
        <v>869</v>
      </c>
      <c r="BD11" s="138">
        <v>901</v>
      </c>
      <c r="BE11" s="11">
        <v>0</v>
      </c>
      <c r="BF11" s="2" t="s">
        <v>657</v>
      </c>
      <c r="BG11" s="135">
        <v>2.5000000000000001E-3</v>
      </c>
      <c r="BH11" s="135">
        <v>2.5000000000000001E-3</v>
      </c>
      <c r="BI11" s="38">
        <v>0.01</v>
      </c>
      <c r="BJ11" s="39" t="s">
        <v>880</v>
      </c>
      <c r="BK11" s="15">
        <v>0</v>
      </c>
      <c r="BL11" s="15">
        <v>7300</v>
      </c>
      <c r="BM11" s="15">
        <v>14800</v>
      </c>
      <c r="BN11" s="15">
        <v>15600</v>
      </c>
      <c r="BO11" s="15">
        <v>0</v>
      </c>
      <c r="BP11" s="15">
        <v>6570</v>
      </c>
      <c r="BQ11" s="15">
        <v>13320</v>
      </c>
      <c r="BR11" s="15">
        <v>14040</v>
      </c>
      <c r="BS11" s="248">
        <v>1000000</v>
      </c>
      <c r="BT11" s="40">
        <v>20303</v>
      </c>
      <c r="BU11" s="41">
        <v>0.02</v>
      </c>
      <c r="BV11" s="2" t="s">
        <v>657</v>
      </c>
      <c r="BW11" s="2">
        <v>7.39</v>
      </c>
      <c r="BX11" s="15">
        <v>0</v>
      </c>
      <c r="BY11" s="15">
        <v>370</v>
      </c>
      <c r="BZ11" s="15">
        <v>750</v>
      </c>
      <c r="CA11" s="15">
        <v>800</v>
      </c>
      <c r="CB11" s="15">
        <v>0</v>
      </c>
      <c r="CC11" s="15">
        <v>333</v>
      </c>
      <c r="CD11" s="15">
        <v>675</v>
      </c>
      <c r="CE11" s="15">
        <v>720</v>
      </c>
      <c r="CF11" s="248">
        <v>1000000</v>
      </c>
      <c r="CG11" s="2">
        <v>913</v>
      </c>
      <c r="CH11" s="2">
        <v>947</v>
      </c>
      <c r="CI11" s="11">
        <v>0</v>
      </c>
      <c r="CJ11" s="2" t="s">
        <v>657</v>
      </c>
      <c r="CK11" s="3">
        <v>15163</v>
      </c>
      <c r="CL11" s="11">
        <v>1.34</v>
      </c>
      <c r="CM11" s="11" t="s">
        <v>869</v>
      </c>
      <c r="CN11" s="3">
        <v>778</v>
      </c>
      <c r="CO11" s="11">
        <v>1.22</v>
      </c>
      <c r="CP11" s="156" t="s">
        <v>869</v>
      </c>
      <c r="CQ11" s="2" t="s">
        <v>556</v>
      </c>
      <c r="CR11" s="44">
        <v>1</v>
      </c>
      <c r="CS11" s="11" t="s">
        <v>547</v>
      </c>
      <c r="CT11" s="11">
        <v>0</v>
      </c>
      <c r="CU11" s="11">
        <v>1</v>
      </c>
      <c r="CV11" s="11">
        <v>1</v>
      </c>
      <c r="CW11" s="2"/>
      <c r="CX11" s="1"/>
      <c r="CY11" s="145" t="s">
        <v>547</v>
      </c>
      <c r="CZ11" s="32" t="s">
        <v>547</v>
      </c>
    </row>
    <row r="12" spans="1:104" s="4" customFormat="1" ht="12.75" customHeight="1">
      <c r="A12" s="1">
        <v>5000700</v>
      </c>
      <c r="B12" s="1">
        <v>125</v>
      </c>
      <c r="C12" s="1">
        <v>134</v>
      </c>
      <c r="D12" s="1">
        <v>125</v>
      </c>
      <c r="E12" s="1"/>
      <c r="F12" s="2" t="s">
        <v>6</v>
      </c>
      <c r="G12" s="156">
        <v>20</v>
      </c>
      <c r="H12" s="11">
        <v>0.29449994923299999</v>
      </c>
      <c r="I12" s="10" t="s">
        <v>231</v>
      </c>
      <c r="J12" s="10" t="s">
        <v>22</v>
      </c>
      <c r="K12" s="10" t="s">
        <v>56</v>
      </c>
      <c r="L12" s="157">
        <v>2</v>
      </c>
      <c r="M12" s="1">
        <v>2</v>
      </c>
      <c r="N12" s="1" t="s">
        <v>858</v>
      </c>
      <c r="O12" s="1" t="s">
        <v>5</v>
      </c>
      <c r="P12" s="1" t="s">
        <v>651</v>
      </c>
      <c r="Q12" s="1" t="s">
        <v>547</v>
      </c>
      <c r="R12" s="1" t="s">
        <v>547</v>
      </c>
      <c r="S12" s="1" t="s">
        <v>877</v>
      </c>
      <c r="T12" s="1" t="s">
        <v>224</v>
      </c>
      <c r="U12" s="1" t="s">
        <v>224</v>
      </c>
      <c r="V12" s="1" t="s">
        <v>10</v>
      </c>
      <c r="W12" s="1" t="s">
        <v>11</v>
      </c>
      <c r="X12" s="1" t="s">
        <v>12</v>
      </c>
      <c r="Y12" s="1" t="s">
        <v>5</v>
      </c>
      <c r="Z12" s="157" t="s">
        <v>863</v>
      </c>
      <c r="AA12" s="15">
        <v>0</v>
      </c>
      <c r="AB12" s="15">
        <v>7665</v>
      </c>
      <c r="AC12" s="15">
        <v>15540</v>
      </c>
      <c r="AD12" s="15">
        <v>16380</v>
      </c>
      <c r="AE12" s="35">
        <v>-0.1</v>
      </c>
      <c r="AF12" s="36">
        <v>0.05</v>
      </c>
      <c r="AG12" s="35" t="s">
        <v>547</v>
      </c>
      <c r="AH12" s="35" t="s">
        <v>547</v>
      </c>
      <c r="AI12" s="35"/>
      <c r="AJ12" s="36"/>
      <c r="AK12" s="15">
        <v>0</v>
      </c>
      <c r="AL12" s="15">
        <v>7282</v>
      </c>
      <c r="AM12" s="15">
        <v>14763</v>
      </c>
      <c r="AN12" s="15">
        <v>15561</v>
      </c>
      <c r="AO12" s="3">
        <v>14763</v>
      </c>
      <c r="AP12" s="138">
        <v>13110</v>
      </c>
      <c r="AQ12" s="11">
        <v>0.89</v>
      </c>
      <c r="AR12" s="2" t="s">
        <v>5</v>
      </c>
      <c r="AS12" s="26">
        <v>1.41</v>
      </c>
      <c r="AT12" s="15">
        <v>0</v>
      </c>
      <c r="AU12" s="15">
        <v>370</v>
      </c>
      <c r="AV12" s="15">
        <v>750</v>
      </c>
      <c r="AW12" s="15">
        <v>800</v>
      </c>
      <c r="AX12" s="15">
        <v>0</v>
      </c>
      <c r="AY12" s="15">
        <v>352</v>
      </c>
      <c r="AZ12" s="15">
        <v>713</v>
      </c>
      <c r="BA12" s="15">
        <v>760</v>
      </c>
      <c r="BB12" s="3">
        <v>713</v>
      </c>
      <c r="BC12" s="138">
        <v>598</v>
      </c>
      <c r="BD12" s="138">
        <v>608</v>
      </c>
      <c r="BE12" s="11">
        <v>0.85</v>
      </c>
      <c r="BF12" s="2" t="s">
        <v>5</v>
      </c>
      <c r="BG12" s="135">
        <v>0</v>
      </c>
      <c r="BH12" s="135">
        <v>0</v>
      </c>
      <c r="BI12" s="38">
        <v>0.01</v>
      </c>
      <c r="BJ12" s="39" t="s">
        <v>880</v>
      </c>
      <c r="BK12" s="15">
        <v>0</v>
      </c>
      <c r="BL12" s="15">
        <v>7665</v>
      </c>
      <c r="BM12" s="15">
        <v>15540</v>
      </c>
      <c r="BN12" s="15">
        <v>16380</v>
      </c>
      <c r="BO12" s="15">
        <v>0</v>
      </c>
      <c r="BP12" s="15">
        <v>7282</v>
      </c>
      <c r="BQ12" s="15">
        <v>14763</v>
      </c>
      <c r="BR12" s="15">
        <v>15561</v>
      </c>
      <c r="BS12" s="3">
        <v>14763</v>
      </c>
      <c r="BT12" s="40">
        <v>13779</v>
      </c>
      <c r="BU12" s="41">
        <v>0.93</v>
      </c>
      <c r="BV12" s="2" t="s">
        <v>5</v>
      </c>
      <c r="BW12" s="2">
        <v>1.48</v>
      </c>
      <c r="BX12" s="15">
        <v>0</v>
      </c>
      <c r="BY12" s="15">
        <v>370</v>
      </c>
      <c r="BZ12" s="15">
        <v>750</v>
      </c>
      <c r="CA12" s="15">
        <v>800</v>
      </c>
      <c r="CB12" s="15">
        <v>0</v>
      </c>
      <c r="CC12" s="15">
        <v>352</v>
      </c>
      <c r="CD12" s="15">
        <v>713</v>
      </c>
      <c r="CE12" s="15">
        <v>760</v>
      </c>
      <c r="CF12" s="3">
        <v>713</v>
      </c>
      <c r="CG12" s="2">
        <v>629</v>
      </c>
      <c r="CH12" s="2">
        <v>639</v>
      </c>
      <c r="CI12" s="11">
        <v>0.9</v>
      </c>
      <c r="CJ12" s="2" t="s">
        <v>5</v>
      </c>
      <c r="CK12" s="3">
        <v>16806</v>
      </c>
      <c r="CL12" s="11">
        <v>0.82</v>
      </c>
      <c r="CM12" s="11" t="s">
        <v>866</v>
      </c>
      <c r="CN12" s="3">
        <v>821</v>
      </c>
      <c r="CO12" s="11">
        <v>0.78</v>
      </c>
      <c r="CP12" s="260" t="s">
        <v>866</v>
      </c>
      <c r="CQ12" s="2" t="s">
        <v>560</v>
      </c>
      <c r="CR12" s="44">
        <v>1</v>
      </c>
      <c r="CS12" s="11" t="s">
        <v>547</v>
      </c>
      <c r="CT12" s="11" t="s">
        <v>547</v>
      </c>
      <c r="CU12" s="11" t="s">
        <v>547</v>
      </c>
      <c r="CV12" s="11" t="s">
        <v>547</v>
      </c>
      <c r="CW12" s="2"/>
      <c r="CX12" s="1"/>
      <c r="CY12" s="145" t="s">
        <v>547</v>
      </c>
      <c r="CZ12" s="32" t="s">
        <v>547</v>
      </c>
    </row>
    <row r="13" spans="1:104" s="9" customFormat="1" ht="12.75" customHeight="1">
      <c r="A13" s="1">
        <v>32532601</v>
      </c>
      <c r="B13" s="1">
        <v>185008</v>
      </c>
      <c r="C13" s="1">
        <v>400</v>
      </c>
      <c r="D13" s="1" t="s">
        <v>137</v>
      </c>
      <c r="E13" s="1">
        <v>185008</v>
      </c>
      <c r="F13" s="2" t="s">
        <v>136</v>
      </c>
      <c r="G13" s="156">
        <v>40</v>
      </c>
      <c r="H13" s="11">
        <v>1.28086033955</v>
      </c>
      <c r="I13" s="10" t="s">
        <v>40</v>
      </c>
      <c r="J13" s="10" t="s">
        <v>723</v>
      </c>
      <c r="K13" s="10" t="s">
        <v>724</v>
      </c>
      <c r="L13" s="157">
        <v>4</v>
      </c>
      <c r="M13" s="1">
        <v>4</v>
      </c>
      <c r="N13" s="1" t="s">
        <v>858</v>
      </c>
      <c r="O13" s="1" t="s">
        <v>5</v>
      </c>
      <c r="P13" s="1" t="s">
        <v>651</v>
      </c>
      <c r="Q13" s="1" t="s">
        <v>547</v>
      </c>
      <c r="R13" s="1" t="s">
        <v>547</v>
      </c>
      <c r="S13" s="1" t="s">
        <v>878</v>
      </c>
      <c r="T13" s="1" t="s">
        <v>219</v>
      </c>
      <c r="U13" s="1" t="s">
        <v>219</v>
      </c>
      <c r="V13" s="1" t="s">
        <v>137</v>
      </c>
      <c r="W13" s="1" t="s">
        <v>25</v>
      </c>
      <c r="X13" s="1" t="s">
        <v>50</v>
      </c>
      <c r="Y13" s="1" t="s">
        <v>5</v>
      </c>
      <c r="Z13" s="157" t="s">
        <v>864</v>
      </c>
      <c r="AA13" s="15">
        <v>0</v>
      </c>
      <c r="AB13" s="15">
        <v>37900</v>
      </c>
      <c r="AC13" s="15">
        <v>39800</v>
      </c>
      <c r="AD13" s="15">
        <v>39800</v>
      </c>
      <c r="AE13" s="35" t="s">
        <v>547</v>
      </c>
      <c r="AF13" s="36" t="s">
        <v>547</v>
      </c>
      <c r="AG13" s="35" t="s">
        <v>547</v>
      </c>
      <c r="AH13" s="35" t="s">
        <v>547</v>
      </c>
      <c r="AI13" s="35"/>
      <c r="AJ13" s="36"/>
      <c r="AK13" s="15">
        <v>0</v>
      </c>
      <c r="AL13" s="15">
        <v>37900</v>
      </c>
      <c r="AM13" s="15">
        <v>39800</v>
      </c>
      <c r="AN13" s="15">
        <v>39800</v>
      </c>
      <c r="AO13" s="3">
        <v>39800</v>
      </c>
      <c r="AP13" s="138">
        <v>26690</v>
      </c>
      <c r="AQ13" s="11">
        <v>0.67</v>
      </c>
      <c r="AR13" s="2" t="s">
        <v>4</v>
      </c>
      <c r="AS13" s="26">
        <v>12.48</v>
      </c>
      <c r="AT13" s="15">
        <v>0</v>
      </c>
      <c r="AU13" s="15">
        <v>1910</v>
      </c>
      <c r="AV13" s="15">
        <v>2000</v>
      </c>
      <c r="AW13" s="15">
        <v>2000</v>
      </c>
      <c r="AX13" s="15">
        <v>0</v>
      </c>
      <c r="AY13" s="15">
        <v>1910</v>
      </c>
      <c r="AZ13" s="15">
        <v>2000</v>
      </c>
      <c r="BA13" s="15">
        <v>2000</v>
      </c>
      <c r="BB13" s="3">
        <v>2000</v>
      </c>
      <c r="BC13" s="138">
        <v>1314</v>
      </c>
      <c r="BD13" s="138">
        <v>1088</v>
      </c>
      <c r="BE13" s="11">
        <v>0.66</v>
      </c>
      <c r="BF13" s="2" t="s">
        <v>4</v>
      </c>
      <c r="BG13" s="135">
        <v>7.4999999999999997E-2</v>
      </c>
      <c r="BH13" s="135">
        <v>7.4999999999999997E-2</v>
      </c>
      <c r="BI13" s="38">
        <v>7.4999999999999997E-2</v>
      </c>
      <c r="BJ13" s="39" t="s">
        <v>547</v>
      </c>
      <c r="BK13" s="15">
        <v>0</v>
      </c>
      <c r="BL13" s="15">
        <v>37900</v>
      </c>
      <c r="BM13" s="15">
        <v>39800</v>
      </c>
      <c r="BN13" s="15">
        <v>39800</v>
      </c>
      <c r="BO13" s="15">
        <v>0</v>
      </c>
      <c r="BP13" s="15">
        <v>37900</v>
      </c>
      <c r="BQ13" s="15">
        <v>39800</v>
      </c>
      <c r="BR13" s="15">
        <v>39800</v>
      </c>
      <c r="BS13" s="3">
        <v>39800</v>
      </c>
      <c r="BT13" s="40">
        <v>38317</v>
      </c>
      <c r="BU13" s="41">
        <v>0.96</v>
      </c>
      <c r="BV13" s="2" t="s">
        <v>5</v>
      </c>
      <c r="BW13" s="2">
        <v>17.91</v>
      </c>
      <c r="BX13" s="15">
        <v>0</v>
      </c>
      <c r="BY13" s="15">
        <v>1910</v>
      </c>
      <c r="BZ13" s="15">
        <v>2000</v>
      </c>
      <c r="CA13" s="15">
        <v>2000</v>
      </c>
      <c r="CB13" s="15">
        <v>0</v>
      </c>
      <c r="CC13" s="15">
        <v>1910</v>
      </c>
      <c r="CD13" s="15">
        <v>2000</v>
      </c>
      <c r="CE13" s="15">
        <v>2000</v>
      </c>
      <c r="CF13" s="3">
        <v>2000</v>
      </c>
      <c r="CG13" s="2">
        <v>1886</v>
      </c>
      <c r="CH13" s="2">
        <v>1562</v>
      </c>
      <c r="CI13" s="11">
        <v>0.94</v>
      </c>
      <c r="CJ13" s="2" t="s">
        <v>4</v>
      </c>
      <c r="CK13" s="3">
        <v>42984</v>
      </c>
      <c r="CL13" s="11">
        <v>0.89</v>
      </c>
      <c r="CM13" s="11" t="s">
        <v>866</v>
      </c>
      <c r="CN13" s="3">
        <v>2160</v>
      </c>
      <c r="CO13" s="11">
        <v>0.87</v>
      </c>
      <c r="CP13" s="156" t="s">
        <v>866</v>
      </c>
      <c r="CQ13" s="2" t="s">
        <v>561</v>
      </c>
      <c r="CR13" s="44">
        <v>1</v>
      </c>
      <c r="CS13" s="11" t="s">
        <v>547</v>
      </c>
      <c r="CT13" s="11" t="s">
        <v>547</v>
      </c>
      <c r="CU13" s="11" t="s">
        <v>547</v>
      </c>
      <c r="CV13" s="11" t="s">
        <v>547</v>
      </c>
      <c r="CW13" s="2" t="s">
        <v>586</v>
      </c>
      <c r="CX13" s="1"/>
      <c r="CY13" s="145" t="s">
        <v>547</v>
      </c>
      <c r="CZ13" s="32" t="s">
        <v>547</v>
      </c>
    </row>
    <row r="14" spans="1:104" s="9" customFormat="1" ht="12.75" customHeight="1">
      <c r="A14" s="1">
        <v>32533001</v>
      </c>
      <c r="B14" s="1">
        <v>180210</v>
      </c>
      <c r="C14" s="1">
        <v>420</v>
      </c>
      <c r="D14" s="1" t="s">
        <v>137</v>
      </c>
      <c r="E14" s="1">
        <v>180210</v>
      </c>
      <c r="F14" s="2" t="s">
        <v>136</v>
      </c>
      <c r="G14" s="156">
        <v>45</v>
      </c>
      <c r="H14" s="11">
        <v>1.2598000761199999</v>
      </c>
      <c r="I14" s="10" t="s">
        <v>40</v>
      </c>
      <c r="J14" s="10" t="s">
        <v>726</v>
      </c>
      <c r="K14" s="10" t="s">
        <v>716</v>
      </c>
      <c r="L14" s="157">
        <v>4</v>
      </c>
      <c r="M14" s="1">
        <v>4</v>
      </c>
      <c r="N14" s="1" t="s">
        <v>858</v>
      </c>
      <c r="O14" s="1" t="s">
        <v>5</v>
      </c>
      <c r="P14" s="1" t="s">
        <v>651</v>
      </c>
      <c r="Q14" s="1" t="s">
        <v>547</v>
      </c>
      <c r="R14" s="1" t="s">
        <v>547</v>
      </c>
      <c r="S14" s="1" t="s">
        <v>878</v>
      </c>
      <c r="T14" s="1" t="s">
        <v>219</v>
      </c>
      <c r="U14" s="1" t="s">
        <v>219</v>
      </c>
      <c r="V14" s="1" t="s">
        <v>137</v>
      </c>
      <c r="W14" s="1" t="s">
        <v>25</v>
      </c>
      <c r="X14" s="1" t="s">
        <v>138</v>
      </c>
      <c r="Y14" s="1" t="s">
        <v>5</v>
      </c>
      <c r="Z14" s="157" t="s">
        <v>864</v>
      </c>
      <c r="AA14" s="15">
        <v>0</v>
      </c>
      <c r="AB14" s="15">
        <v>37900</v>
      </c>
      <c r="AC14" s="15">
        <v>39800</v>
      </c>
      <c r="AD14" s="15">
        <v>39800</v>
      </c>
      <c r="AE14" s="35" t="s">
        <v>547</v>
      </c>
      <c r="AF14" s="36" t="s">
        <v>547</v>
      </c>
      <c r="AG14" s="35" t="s">
        <v>547</v>
      </c>
      <c r="AH14" s="35" t="s">
        <v>547</v>
      </c>
      <c r="AI14" s="35"/>
      <c r="AJ14" s="36">
        <v>0.05</v>
      </c>
      <c r="AK14" s="15">
        <v>0</v>
      </c>
      <c r="AL14" s="15">
        <v>39795</v>
      </c>
      <c r="AM14" s="15">
        <v>41790</v>
      </c>
      <c r="AN14" s="15">
        <v>41790</v>
      </c>
      <c r="AO14" s="3">
        <v>41790</v>
      </c>
      <c r="AP14" s="138">
        <v>34150</v>
      </c>
      <c r="AQ14" s="11">
        <v>0.82</v>
      </c>
      <c r="AR14" s="2" t="s">
        <v>4</v>
      </c>
      <c r="AS14" s="26">
        <v>15.7</v>
      </c>
      <c r="AT14" s="15">
        <v>0</v>
      </c>
      <c r="AU14" s="15">
        <v>1910</v>
      </c>
      <c r="AV14" s="15">
        <v>2000</v>
      </c>
      <c r="AW14" s="15">
        <v>2000</v>
      </c>
      <c r="AX14" s="15">
        <v>0</v>
      </c>
      <c r="AY14" s="15">
        <v>2006</v>
      </c>
      <c r="AZ14" s="15">
        <v>2100</v>
      </c>
      <c r="BA14" s="15">
        <v>2100</v>
      </c>
      <c r="BB14" s="3">
        <v>2100</v>
      </c>
      <c r="BC14" s="138">
        <v>1681</v>
      </c>
      <c r="BD14" s="138">
        <v>1392</v>
      </c>
      <c r="BE14" s="11">
        <v>0.8</v>
      </c>
      <c r="BF14" s="2" t="s">
        <v>4</v>
      </c>
      <c r="BG14" s="135">
        <v>7.2499999999999995E-2</v>
      </c>
      <c r="BH14" s="135">
        <v>7.2499999999999995E-2</v>
      </c>
      <c r="BI14" s="38">
        <v>7.2499999999999995E-2</v>
      </c>
      <c r="BJ14" s="39" t="s">
        <v>547</v>
      </c>
      <c r="BK14" s="15">
        <v>0</v>
      </c>
      <c r="BL14" s="15">
        <v>37900</v>
      </c>
      <c r="BM14" s="15">
        <v>39800</v>
      </c>
      <c r="BN14" s="15">
        <v>39800</v>
      </c>
      <c r="BO14" s="15">
        <v>0</v>
      </c>
      <c r="BP14" s="15">
        <v>39795</v>
      </c>
      <c r="BQ14" s="15">
        <v>41790</v>
      </c>
      <c r="BR14" s="15">
        <v>41790</v>
      </c>
      <c r="BS14" s="3">
        <v>41790</v>
      </c>
      <c r="BT14" s="40">
        <v>48459</v>
      </c>
      <c r="BU14" s="41">
        <v>1.1599999999999999</v>
      </c>
      <c r="BV14" s="2" t="s">
        <v>657</v>
      </c>
      <c r="BW14" s="2">
        <v>22.28</v>
      </c>
      <c r="BX14" s="15">
        <v>0</v>
      </c>
      <c r="BY14" s="15">
        <v>1910</v>
      </c>
      <c r="BZ14" s="15">
        <v>2000</v>
      </c>
      <c r="CA14" s="15">
        <v>2000</v>
      </c>
      <c r="CB14" s="15">
        <v>0</v>
      </c>
      <c r="CC14" s="15">
        <v>2006</v>
      </c>
      <c r="CD14" s="15">
        <v>2100</v>
      </c>
      <c r="CE14" s="15">
        <v>2100</v>
      </c>
      <c r="CF14" s="3">
        <v>2100</v>
      </c>
      <c r="CG14" s="2">
        <v>2385</v>
      </c>
      <c r="CH14" s="2">
        <v>1975</v>
      </c>
      <c r="CI14" s="11">
        <v>1.1399999999999999</v>
      </c>
      <c r="CJ14" s="2" t="s">
        <v>657</v>
      </c>
      <c r="CK14" s="3">
        <v>45133</v>
      </c>
      <c r="CL14" s="11">
        <v>1.07</v>
      </c>
      <c r="CM14" s="11" t="s">
        <v>868</v>
      </c>
      <c r="CN14" s="3">
        <v>2268</v>
      </c>
      <c r="CO14" s="11">
        <v>1.05</v>
      </c>
      <c r="CP14" s="156" t="s">
        <v>868</v>
      </c>
      <c r="CQ14" s="3" t="s">
        <v>561</v>
      </c>
      <c r="CR14" s="44">
        <f>0.66/H14</f>
        <v>0.52389264972320337</v>
      </c>
      <c r="CS14" s="11" t="s">
        <v>547</v>
      </c>
      <c r="CT14" s="11">
        <v>1.26</v>
      </c>
      <c r="CU14" s="11" t="s">
        <v>547</v>
      </c>
      <c r="CV14" s="11">
        <v>1.26</v>
      </c>
      <c r="CW14" s="2" t="s">
        <v>586</v>
      </c>
      <c r="CX14" s="1"/>
      <c r="CY14" s="145" t="s">
        <v>547</v>
      </c>
      <c r="CZ14" s="32">
        <v>22.28</v>
      </c>
    </row>
    <row r="15" spans="1:104" s="9" customFormat="1" ht="12.75" customHeight="1">
      <c r="A15" s="1">
        <v>35411002</v>
      </c>
      <c r="B15" s="1">
        <v>187003</v>
      </c>
      <c r="C15" s="1">
        <v>16</v>
      </c>
      <c r="D15" s="1" t="s">
        <v>137</v>
      </c>
      <c r="E15" s="1">
        <v>187003</v>
      </c>
      <c r="F15" s="2" t="s">
        <v>136</v>
      </c>
      <c r="G15" s="156">
        <v>45</v>
      </c>
      <c r="H15" s="11">
        <v>1.14346663754</v>
      </c>
      <c r="I15" s="10" t="s">
        <v>714</v>
      </c>
      <c r="J15" s="10" t="s">
        <v>48</v>
      </c>
      <c r="K15" s="10" t="s">
        <v>49</v>
      </c>
      <c r="L15" s="157">
        <v>2</v>
      </c>
      <c r="M15" s="1">
        <v>2</v>
      </c>
      <c r="N15" s="1" t="s">
        <v>858</v>
      </c>
      <c r="O15" s="1" t="s">
        <v>858</v>
      </c>
      <c r="P15" s="1" t="s">
        <v>652</v>
      </c>
      <c r="Q15" s="1" t="s">
        <v>547</v>
      </c>
      <c r="R15" s="1" t="s">
        <v>547</v>
      </c>
      <c r="S15" s="1" t="s">
        <v>879</v>
      </c>
      <c r="T15" s="1" t="s">
        <v>232</v>
      </c>
      <c r="U15" s="1" t="s">
        <v>232</v>
      </c>
      <c r="V15" s="1" t="s">
        <v>10</v>
      </c>
      <c r="W15" s="1" t="s">
        <v>11</v>
      </c>
      <c r="X15" s="1" t="s">
        <v>21</v>
      </c>
      <c r="Y15" s="1" t="s">
        <v>657</v>
      </c>
      <c r="Z15" s="157" t="s">
        <v>863</v>
      </c>
      <c r="AA15" s="15">
        <v>11700</v>
      </c>
      <c r="AB15" s="15">
        <v>18000</v>
      </c>
      <c r="AC15" s="15">
        <v>24200</v>
      </c>
      <c r="AD15" s="15">
        <v>32600</v>
      </c>
      <c r="AE15" s="35"/>
      <c r="AF15" s="36" t="s">
        <v>547</v>
      </c>
      <c r="AG15" s="35"/>
      <c r="AH15" s="35" t="s">
        <v>547</v>
      </c>
      <c r="AI15" s="35"/>
      <c r="AJ15" s="36"/>
      <c r="AK15" s="15">
        <v>11700</v>
      </c>
      <c r="AL15" s="15">
        <v>18000</v>
      </c>
      <c r="AM15" s="15">
        <v>24200</v>
      </c>
      <c r="AN15" s="15">
        <v>32600</v>
      </c>
      <c r="AO15" s="248">
        <v>1000000</v>
      </c>
      <c r="AP15" s="138">
        <v>7210</v>
      </c>
      <c r="AQ15" s="11">
        <v>0.01</v>
      </c>
      <c r="AR15" s="2" t="s">
        <v>3</v>
      </c>
      <c r="AS15" s="26">
        <v>3.01</v>
      </c>
      <c r="AT15" s="15">
        <v>580</v>
      </c>
      <c r="AU15" s="15">
        <v>890</v>
      </c>
      <c r="AV15" s="15">
        <v>1200</v>
      </c>
      <c r="AW15" s="15">
        <v>1610</v>
      </c>
      <c r="AX15" s="15">
        <v>580</v>
      </c>
      <c r="AY15" s="15">
        <v>890</v>
      </c>
      <c r="AZ15" s="15">
        <v>1200</v>
      </c>
      <c r="BA15" s="15">
        <v>1610</v>
      </c>
      <c r="BB15" s="248">
        <v>1000000</v>
      </c>
      <c r="BC15" s="138">
        <v>523</v>
      </c>
      <c r="BD15" s="138">
        <v>392</v>
      </c>
      <c r="BE15" s="11">
        <v>0</v>
      </c>
      <c r="BF15" s="2" t="s">
        <v>3</v>
      </c>
      <c r="BG15" s="135">
        <v>0.04</v>
      </c>
      <c r="BH15" s="135">
        <v>0</v>
      </c>
      <c r="BI15" s="38">
        <v>0.01</v>
      </c>
      <c r="BJ15" s="39" t="s">
        <v>881</v>
      </c>
      <c r="BK15" s="15">
        <v>11700</v>
      </c>
      <c r="BL15" s="15">
        <v>18000</v>
      </c>
      <c r="BM15" s="15">
        <v>24200</v>
      </c>
      <c r="BN15" s="15">
        <v>32600</v>
      </c>
      <c r="BO15" s="15">
        <v>11700</v>
      </c>
      <c r="BP15" s="15">
        <v>18000</v>
      </c>
      <c r="BQ15" s="15">
        <v>24200</v>
      </c>
      <c r="BR15" s="15">
        <v>32600</v>
      </c>
      <c r="BS15" s="248">
        <v>1000000</v>
      </c>
      <c r="BT15" s="40">
        <v>7578</v>
      </c>
      <c r="BU15" s="41">
        <v>0.01</v>
      </c>
      <c r="BV15" s="2" t="s">
        <v>3</v>
      </c>
      <c r="BW15" s="2">
        <v>3.16</v>
      </c>
      <c r="BX15" s="15">
        <v>580</v>
      </c>
      <c r="BY15" s="15">
        <v>890</v>
      </c>
      <c r="BZ15" s="15">
        <v>1200</v>
      </c>
      <c r="CA15" s="15">
        <v>1610</v>
      </c>
      <c r="CB15" s="15">
        <v>580</v>
      </c>
      <c r="CC15" s="15">
        <v>890</v>
      </c>
      <c r="CD15" s="15">
        <v>1200</v>
      </c>
      <c r="CE15" s="15">
        <v>1610</v>
      </c>
      <c r="CF15" s="248">
        <v>1000000</v>
      </c>
      <c r="CG15" s="2">
        <v>550</v>
      </c>
      <c r="CH15" s="2">
        <v>412</v>
      </c>
      <c r="CI15" s="11">
        <v>0</v>
      </c>
      <c r="CJ15" s="2" t="s">
        <v>3</v>
      </c>
      <c r="CK15" s="3">
        <v>35208</v>
      </c>
      <c r="CL15" s="11">
        <v>0.22</v>
      </c>
      <c r="CM15" s="11" t="s">
        <v>865</v>
      </c>
      <c r="CN15" s="3">
        <v>1739</v>
      </c>
      <c r="CO15" s="11">
        <v>0.32</v>
      </c>
      <c r="CP15" s="156" t="s">
        <v>681</v>
      </c>
      <c r="CQ15" s="2" t="s">
        <v>561</v>
      </c>
      <c r="CR15" s="44">
        <v>1</v>
      </c>
      <c r="CS15" s="11" t="s">
        <v>547</v>
      </c>
      <c r="CT15" s="11">
        <v>0</v>
      </c>
      <c r="CU15" s="11" t="s">
        <v>547</v>
      </c>
      <c r="CV15" s="11" t="s">
        <v>547</v>
      </c>
      <c r="CW15" s="3"/>
      <c r="CX15" s="1"/>
      <c r="CY15" s="145" t="s">
        <v>547</v>
      </c>
      <c r="CZ15" s="32" t="s">
        <v>547</v>
      </c>
    </row>
    <row r="16" spans="1:104" s="9" customFormat="1" ht="12.75" customHeight="1">
      <c r="A16" s="1">
        <v>35411003</v>
      </c>
      <c r="B16" s="1">
        <v>20</v>
      </c>
      <c r="C16" s="1">
        <v>17</v>
      </c>
      <c r="D16" s="1">
        <v>20</v>
      </c>
      <c r="E16" s="1"/>
      <c r="F16" s="2" t="s">
        <v>6</v>
      </c>
      <c r="G16" s="156">
        <v>45</v>
      </c>
      <c r="H16" s="11">
        <v>0.50082700000000002</v>
      </c>
      <c r="I16" s="10" t="s">
        <v>714</v>
      </c>
      <c r="J16" s="10" t="s">
        <v>49</v>
      </c>
      <c r="K16" s="10" t="s">
        <v>727</v>
      </c>
      <c r="L16" s="157">
        <v>2</v>
      </c>
      <c r="M16" s="1">
        <v>2</v>
      </c>
      <c r="N16" s="1" t="s">
        <v>858</v>
      </c>
      <c r="O16" s="1" t="s">
        <v>858</v>
      </c>
      <c r="P16" s="1" t="s">
        <v>652</v>
      </c>
      <c r="Q16" s="1" t="s">
        <v>547</v>
      </c>
      <c r="R16" s="1" t="s">
        <v>547</v>
      </c>
      <c r="S16" s="1" t="s">
        <v>879</v>
      </c>
      <c r="T16" s="1" t="s">
        <v>232</v>
      </c>
      <c r="U16" s="1" t="s">
        <v>232</v>
      </c>
      <c r="V16" s="1" t="s">
        <v>10</v>
      </c>
      <c r="W16" s="1" t="s">
        <v>25</v>
      </c>
      <c r="X16" s="1" t="s">
        <v>21</v>
      </c>
      <c r="Y16" s="1" t="s">
        <v>657</v>
      </c>
      <c r="Z16" s="157" t="s">
        <v>863</v>
      </c>
      <c r="AA16" s="15">
        <v>11700</v>
      </c>
      <c r="AB16" s="15">
        <v>18000</v>
      </c>
      <c r="AC16" s="15">
        <v>24200</v>
      </c>
      <c r="AD16" s="15">
        <v>32600</v>
      </c>
      <c r="AE16" s="35"/>
      <c r="AF16" s="36" t="s">
        <v>547</v>
      </c>
      <c r="AG16" s="35"/>
      <c r="AH16" s="35" t="s">
        <v>547</v>
      </c>
      <c r="AI16" s="35"/>
      <c r="AJ16" s="36"/>
      <c r="AK16" s="15">
        <v>11700</v>
      </c>
      <c r="AL16" s="15">
        <v>18000</v>
      </c>
      <c r="AM16" s="15">
        <v>24200</v>
      </c>
      <c r="AN16" s="15">
        <v>32600</v>
      </c>
      <c r="AO16" s="248">
        <v>1000000</v>
      </c>
      <c r="AP16" s="138">
        <v>12976</v>
      </c>
      <c r="AQ16" s="11">
        <v>0.01</v>
      </c>
      <c r="AR16" s="2" t="s">
        <v>4</v>
      </c>
      <c r="AS16" s="26">
        <v>2.37</v>
      </c>
      <c r="AT16" s="15">
        <v>580</v>
      </c>
      <c r="AU16" s="15">
        <v>890</v>
      </c>
      <c r="AV16" s="15">
        <v>1200</v>
      </c>
      <c r="AW16" s="15">
        <v>1610</v>
      </c>
      <c r="AX16" s="15">
        <v>580</v>
      </c>
      <c r="AY16" s="15">
        <v>890</v>
      </c>
      <c r="AZ16" s="15">
        <v>1200</v>
      </c>
      <c r="BA16" s="15">
        <v>1610</v>
      </c>
      <c r="BB16" s="248">
        <v>1000000</v>
      </c>
      <c r="BC16" s="138">
        <v>704</v>
      </c>
      <c r="BD16" s="138">
        <v>512</v>
      </c>
      <c r="BE16" s="11">
        <v>0</v>
      </c>
      <c r="BF16" s="2" t="s">
        <v>4</v>
      </c>
      <c r="BG16" s="135">
        <v>6.5000000000000002E-2</v>
      </c>
      <c r="BH16" s="135">
        <v>6.5000000000000002E-2</v>
      </c>
      <c r="BI16" s="38">
        <v>6.5000000000000002E-2</v>
      </c>
      <c r="BJ16" s="39" t="s">
        <v>547</v>
      </c>
      <c r="BK16" s="15">
        <v>11700</v>
      </c>
      <c r="BL16" s="15">
        <v>18000</v>
      </c>
      <c r="BM16" s="15">
        <v>24200</v>
      </c>
      <c r="BN16" s="15">
        <v>32600</v>
      </c>
      <c r="BO16" s="15">
        <v>11700</v>
      </c>
      <c r="BP16" s="15">
        <v>18000</v>
      </c>
      <c r="BQ16" s="15">
        <v>24200</v>
      </c>
      <c r="BR16" s="15">
        <v>32600</v>
      </c>
      <c r="BS16" s="248">
        <v>1000000</v>
      </c>
      <c r="BT16" s="40">
        <v>17778</v>
      </c>
      <c r="BU16" s="41">
        <v>0.02</v>
      </c>
      <c r="BV16" s="2" t="s">
        <v>4</v>
      </c>
      <c r="BW16" s="2">
        <v>3.25</v>
      </c>
      <c r="BX16" s="15">
        <v>580</v>
      </c>
      <c r="BY16" s="15">
        <v>890</v>
      </c>
      <c r="BZ16" s="15">
        <v>1200</v>
      </c>
      <c r="CA16" s="15">
        <v>1610</v>
      </c>
      <c r="CB16" s="15">
        <v>580</v>
      </c>
      <c r="CC16" s="15">
        <v>890</v>
      </c>
      <c r="CD16" s="15">
        <v>1200</v>
      </c>
      <c r="CE16" s="15">
        <v>1610</v>
      </c>
      <c r="CF16" s="248">
        <v>1000000</v>
      </c>
      <c r="CG16" s="2">
        <v>965</v>
      </c>
      <c r="CH16" s="2">
        <v>701</v>
      </c>
      <c r="CI16" s="11">
        <v>0</v>
      </c>
      <c r="CJ16" s="2" t="s">
        <v>5</v>
      </c>
      <c r="CK16" s="3">
        <v>35208</v>
      </c>
      <c r="CL16" s="11">
        <v>0.5</v>
      </c>
      <c r="CM16" s="11" t="s">
        <v>865</v>
      </c>
      <c r="CN16" s="3">
        <v>1739</v>
      </c>
      <c r="CO16" s="11">
        <v>0.55000000000000004</v>
      </c>
      <c r="CP16" s="156" t="s">
        <v>681</v>
      </c>
      <c r="CQ16" s="2" t="s">
        <v>561</v>
      </c>
      <c r="CR16" s="44">
        <v>1</v>
      </c>
      <c r="CS16" s="11" t="s">
        <v>547</v>
      </c>
      <c r="CT16" s="11">
        <v>0</v>
      </c>
      <c r="CU16" s="11" t="s">
        <v>547</v>
      </c>
      <c r="CV16" s="11" t="s">
        <v>547</v>
      </c>
      <c r="CW16" s="3"/>
      <c r="CX16" s="1"/>
      <c r="CY16" s="145" t="s">
        <v>547</v>
      </c>
      <c r="CZ16" s="32" t="s">
        <v>547</v>
      </c>
    </row>
    <row r="17" spans="1:104" s="9" customFormat="1" ht="12.75" customHeight="1">
      <c r="A17" s="1">
        <v>35411101</v>
      </c>
      <c r="B17" s="1" t="s">
        <v>830</v>
      </c>
      <c r="C17" s="1">
        <v>12</v>
      </c>
      <c r="D17" s="1" t="s">
        <v>830</v>
      </c>
      <c r="E17" s="5" t="s">
        <v>243</v>
      </c>
      <c r="F17" s="2" t="s">
        <v>6</v>
      </c>
      <c r="G17" s="156">
        <v>35</v>
      </c>
      <c r="H17" s="11">
        <v>0.84645841837799995</v>
      </c>
      <c r="I17" s="10" t="s">
        <v>714</v>
      </c>
      <c r="J17" s="10" t="s">
        <v>47</v>
      </c>
      <c r="K17" s="10" t="s">
        <v>48</v>
      </c>
      <c r="L17" s="157">
        <v>2</v>
      </c>
      <c r="M17" s="1">
        <v>2</v>
      </c>
      <c r="N17" s="1" t="s">
        <v>858</v>
      </c>
      <c r="O17" s="1" t="s">
        <v>858</v>
      </c>
      <c r="P17" s="1" t="s">
        <v>652</v>
      </c>
      <c r="Q17" s="1" t="s">
        <v>547</v>
      </c>
      <c r="R17" s="1" t="s">
        <v>547</v>
      </c>
      <c r="S17" s="1" t="s">
        <v>879</v>
      </c>
      <c r="T17" s="1" t="s">
        <v>232</v>
      </c>
      <c r="U17" s="1" t="s">
        <v>232</v>
      </c>
      <c r="V17" s="1" t="s">
        <v>10</v>
      </c>
      <c r="W17" s="1" t="s">
        <v>25</v>
      </c>
      <c r="X17" s="1" t="s">
        <v>21</v>
      </c>
      <c r="Y17" s="1" t="s">
        <v>657</v>
      </c>
      <c r="Z17" s="157" t="s">
        <v>863</v>
      </c>
      <c r="AA17" s="15">
        <v>11700</v>
      </c>
      <c r="AB17" s="15">
        <v>18000</v>
      </c>
      <c r="AC17" s="15">
        <v>24200</v>
      </c>
      <c r="AD17" s="15">
        <v>32600</v>
      </c>
      <c r="AE17" s="35"/>
      <c r="AF17" s="36" t="s">
        <v>547</v>
      </c>
      <c r="AG17" s="35"/>
      <c r="AH17" s="35" t="s">
        <v>547</v>
      </c>
      <c r="AI17" s="35"/>
      <c r="AJ17" s="36"/>
      <c r="AK17" s="15">
        <v>11700</v>
      </c>
      <c r="AL17" s="15">
        <v>18000</v>
      </c>
      <c r="AM17" s="15">
        <v>24200</v>
      </c>
      <c r="AN17" s="15">
        <v>32600</v>
      </c>
      <c r="AO17" s="248">
        <v>1000000</v>
      </c>
      <c r="AP17" s="138">
        <v>13177.800000000047</v>
      </c>
      <c r="AQ17" s="11">
        <v>0.01</v>
      </c>
      <c r="AR17" s="2" t="s">
        <v>4</v>
      </c>
      <c r="AS17" s="26">
        <v>4.07</v>
      </c>
      <c r="AT17" s="15">
        <v>580</v>
      </c>
      <c r="AU17" s="15">
        <v>890</v>
      </c>
      <c r="AV17" s="15">
        <v>1200</v>
      </c>
      <c r="AW17" s="15">
        <v>1610</v>
      </c>
      <c r="AX17" s="15">
        <v>580</v>
      </c>
      <c r="AY17" s="15">
        <v>890</v>
      </c>
      <c r="AZ17" s="15">
        <v>1200</v>
      </c>
      <c r="BA17" s="15">
        <v>1610</v>
      </c>
      <c r="BB17" s="248">
        <v>1000000</v>
      </c>
      <c r="BC17" s="138">
        <v>2265</v>
      </c>
      <c r="BD17" s="138">
        <v>2671</v>
      </c>
      <c r="BE17" s="11">
        <v>0</v>
      </c>
      <c r="BF17" s="2" t="s">
        <v>657</v>
      </c>
      <c r="BG17" s="135">
        <v>0.115</v>
      </c>
      <c r="BH17" s="135">
        <v>5.7500000000000002E-2</v>
      </c>
      <c r="BI17" s="38">
        <v>5.7500000000000002E-2</v>
      </c>
      <c r="BJ17" s="39" t="s">
        <v>882</v>
      </c>
      <c r="BK17" s="15">
        <v>11700</v>
      </c>
      <c r="BL17" s="15">
        <v>18000</v>
      </c>
      <c r="BM17" s="15">
        <v>24200</v>
      </c>
      <c r="BN17" s="15">
        <v>32600</v>
      </c>
      <c r="BO17" s="15">
        <v>11700</v>
      </c>
      <c r="BP17" s="15">
        <v>18000</v>
      </c>
      <c r="BQ17" s="15">
        <v>24200</v>
      </c>
      <c r="BR17" s="15">
        <v>32600</v>
      </c>
      <c r="BS17" s="248">
        <v>1000000</v>
      </c>
      <c r="BT17" s="40">
        <v>17428</v>
      </c>
      <c r="BU17" s="41">
        <v>0.02</v>
      </c>
      <c r="BV17" s="2" t="s">
        <v>4</v>
      </c>
      <c r="BW17" s="2">
        <v>5.38</v>
      </c>
      <c r="BX17" s="15">
        <v>580</v>
      </c>
      <c r="BY17" s="15">
        <v>890</v>
      </c>
      <c r="BZ17" s="15">
        <v>1200</v>
      </c>
      <c r="CA17" s="15">
        <v>1610</v>
      </c>
      <c r="CB17" s="15">
        <v>580</v>
      </c>
      <c r="CC17" s="15">
        <v>890</v>
      </c>
      <c r="CD17" s="15">
        <v>1200</v>
      </c>
      <c r="CE17" s="15">
        <v>1610</v>
      </c>
      <c r="CF17" s="248">
        <v>1000000</v>
      </c>
      <c r="CG17" s="2">
        <v>2996</v>
      </c>
      <c r="CH17" s="2">
        <v>3532</v>
      </c>
      <c r="CI17" s="11">
        <v>0</v>
      </c>
      <c r="CJ17" s="2" t="s">
        <v>657</v>
      </c>
      <c r="CK17" s="3">
        <v>35208</v>
      </c>
      <c r="CL17" s="11">
        <v>0.5</v>
      </c>
      <c r="CM17" s="11" t="s">
        <v>865</v>
      </c>
      <c r="CN17" s="3">
        <v>1739</v>
      </c>
      <c r="CO17" s="11">
        <v>2.0299999999999998</v>
      </c>
      <c r="CP17" s="156" t="s">
        <v>681</v>
      </c>
      <c r="CQ17" s="2" t="s">
        <v>561</v>
      </c>
      <c r="CR17" s="44">
        <v>1</v>
      </c>
      <c r="CS17" s="11" t="s">
        <v>547</v>
      </c>
      <c r="CT17" s="11">
        <v>0</v>
      </c>
      <c r="CU17" s="11" t="s">
        <v>547</v>
      </c>
      <c r="CV17" s="11" t="s">
        <v>547</v>
      </c>
      <c r="CW17" s="3"/>
      <c r="CX17" s="1"/>
      <c r="CY17" s="145" t="s">
        <v>547</v>
      </c>
      <c r="CZ17" s="32" t="s">
        <v>547</v>
      </c>
    </row>
    <row r="18" spans="1:104" s="4" customFormat="1" ht="12.75">
      <c r="A18" s="1">
        <v>40090003</v>
      </c>
      <c r="B18" s="1">
        <v>131</v>
      </c>
      <c r="C18" s="1"/>
      <c r="D18" s="1">
        <v>131</v>
      </c>
      <c r="E18" s="1"/>
      <c r="F18" s="2" t="s">
        <v>6</v>
      </c>
      <c r="G18" s="156">
        <v>25</v>
      </c>
      <c r="H18" s="11">
        <v>1.2</v>
      </c>
      <c r="I18" s="10" t="s">
        <v>859</v>
      </c>
      <c r="J18" s="10" t="s">
        <v>744</v>
      </c>
      <c r="K18" s="10" t="s">
        <v>860</v>
      </c>
      <c r="L18" s="157">
        <v>2</v>
      </c>
      <c r="M18" s="1">
        <v>2</v>
      </c>
      <c r="N18" s="1" t="s">
        <v>858</v>
      </c>
      <c r="O18" s="1" t="s">
        <v>5</v>
      </c>
      <c r="P18" s="1" t="s">
        <v>651</v>
      </c>
      <c r="Q18" s="1"/>
      <c r="R18" s="1"/>
      <c r="S18" s="1" t="s">
        <v>877</v>
      </c>
      <c r="T18" s="1" t="s">
        <v>224</v>
      </c>
      <c r="U18" s="1" t="s">
        <v>224</v>
      </c>
      <c r="V18" s="1" t="s">
        <v>10</v>
      </c>
      <c r="W18" s="1" t="s">
        <v>25</v>
      </c>
      <c r="X18" s="1" t="s">
        <v>21</v>
      </c>
      <c r="Y18" s="1" t="s">
        <v>5</v>
      </c>
      <c r="Z18" s="157" t="s">
        <v>863</v>
      </c>
      <c r="AA18" s="15">
        <v>0</v>
      </c>
      <c r="AB18" s="15">
        <v>7665</v>
      </c>
      <c r="AC18" s="15">
        <v>15540</v>
      </c>
      <c r="AD18" s="15">
        <v>16380</v>
      </c>
      <c r="AE18" s="35">
        <v>-0.1</v>
      </c>
      <c r="AF18" s="36">
        <v>0.05</v>
      </c>
      <c r="AG18" s="35"/>
      <c r="AH18" s="35"/>
      <c r="AI18" s="35"/>
      <c r="AJ18" s="36"/>
      <c r="AK18" s="15">
        <v>0</v>
      </c>
      <c r="AL18" s="15">
        <v>7282</v>
      </c>
      <c r="AM18" s="15">
        <v>14763</v>
      </c>
      <c r="AN18" s="15">
        <v>15561</v>
      </c>
      <c r="AO18" s="3">
        <v>14763</v>
      </c>
      <c r="AP18" s="138">
        <v>5583</v>
      </c>
      <c r="AQ18" s="11">
        <v>0.38</v>
      </c>
      <c r="AR18" s="2" t="s">
        <v>4</v>
      </c>
      <c r="AS18" s="26">
        <v>2.4500000000000002</v>
      </c>
      <c r="AT18" s="15">
        <v>0</v>
      </c>
      <c r="AU18" s="15">
        <v>370</v>
      </c>
      <c r="AV18" s="15">
        <v>750</v>
      </c>
      <c r="AW18" s="15">
        <v>800</v>
      </c>
      <c r="AX18" s="15">
        <v>0</v>
      </c>
      <c r="AY18" s="15">
        <v>352</v>
      </c>
      <c r="AZ18" s="15">
        <v>713</v>
      </c>
      <c r="BA18" s="15">
        <v>760</v>
      </c>
      <c r="BB18" s="3">
        <v>713</v>
      </c>
      <c r="BC18" s="138">
        <v>291</v>
      </c>
      <c r="BD18" s="138">
        <v>290</v>
      </c>
      <c r="BE18" s="11">
        <v>0.41</v>
      </c>
      <c r="BF18" s="2" t="s">
        <v>4</v>
      </c>
      <c r="BG18" s="135"/>
      <c r="BH18" s="135"/>
      <c r="BI18" s="38">
        <v>0.01</v>
      </c>
      <c r="BJ18" s="39" t="s">
        <v>880</v>
      </c>
      <c r="BK18" s="15">
        <v>0</v>
      </c>
      <c r="BL18" s="15">
        <v>7665</v>
      </c>
      <c r="BM18" s="15">
        <v>15540</v>
      </c>
      <c r="BN18" s="15">
        <v>16380</v>
      </c>
      <c r="BO18" s="15">
        <v>0</v>
      </c>
      <c r="BP18" s="15">
        <v>7282</v>
      </c>
      <c r="BQ18" s="15">
        <v>14763</v>
      </c>
      <c r="BR18" s="15">
        <v>15561</v>
      </c>
      <c r="BS18" s="3">
        <v>14763</v>
      </c>
      <c r="BT18" s="40">
        <v>20379</v>
      </c>
      <c r="BU18" s="41">
        <v>1.38</v>
      </c>
      <c r="BV18" s="2" t="s">
        <v>657</v>
      </c>
      <c r="BW18" s="2">
        <v>8.93</v>
      </c>
      <c r="BX18" s="15">
        <v>0</v>
      </c>
      <c r="BY18" s="15">
        <v>370</v>
      </c>
      <c r="BZ18" s="15">
        <v>750</v>
      </c>
      <c r="CA18" s="15">
        <v>800</v>
      </c>
      <c r="CB18" s="15">
        <v>0</v>
      </c>
      <c r="CC18" s="15">
        <v>352</v>
      </c>
      <c r="CD18" s="15">
        <v>713</v>
      </c>
      <c r="CE18" s="15">
        <v>760</v>
      </c>
      <c r="CF18" s="3">
        <v>713</v>
      </c>
      <c r="CG18" s="2">
        <v>893</v>
      </c>
      <c r="CH18" s="2">
        <v>867</v>
      </c>
      <c r="CI18" s="11">
        <v>1.25</v>
      </c>
      <c r="CJ18" s="2" t="s">
        <v>657</v>
      </c>
      <c r="CK18" s="3">
        <v>16806</v>
      </c>
      <c r="CL18" s="11">
        <v>1.21</v>
      </c>
      <c r="CM18" s="11" t="s">
        <v>868</v>
      </c>
      <c r="CN18" s="3">
        <v>821</v>
      </c>
      <c r="CO18" s="11">
        <v>1.0900000000000001</v>
      </c>
      <c r="CP18" s="156" t="s">
        <v>868</v>
      </c>
      <c r="CQ18" s="2" t="s">
        <v>884</v>
      </c>
      <c r="CR18" s="44">
        <v>0.7</v>
      </c>
      <c r="CS18" s="11" t="s">
        <v>547</v>
      </c>
      <c r="CT18" s="11">
        <v>1.2</v>
      </c>
      <c r="CU18" s="11" t="s">
        <v>547</v>
      </c>
      <c r="CV18" s="11">
        <v>1.2</v>
      </c>
      <c r="CW18" s="2"/>
      <c r="CX18" s="1"/>
      <c r="CY18" s="145" t="s">
        <v>547</v>
      </c>
      <c r="CZ18" s="32">
        <v>8.93</v>
      </c>
    </row>
    <row r="19" spans="1:104" s="4" customFormat="1" ht="12.75">
      <c r="A19" s="1">
        <v>59999951</v>
      </c>
      <c r="B19" s="1">
        <v>171</v>
      </c>
      <c r="C19" s="1">
        <v>182</v>
      </c>
      <c r="D19" s="1">
        <v>171</v>
      </c>
      <c r="E19" s="1"/>
      <c r="F19" s="2" t="s">
        <v>6</v>
      </c>
      <c r="G19" s="156">
        <v>35</v>
      </c>
      <c r="H19" s="11">
        <v>0.50454455490799999</v>
      </c>
      <c r="I19" s="10" t="s">
        <v>22</v>
      </c>
      <c r="J19" s="10" t="s">
        <v>727</v>
      </c>
      <c r="K19" s="10" t="s">
        <v>700</v>
      </c>
      <c r="L19" s="157">
        <v>4</v>
      </c>
      <c r="M19" s="1">
        <v>4</v>
      </c>
      <c r="N19" s="1" t="s">
        <v>858</v>
      </c>
      <c r="O19" s="1" t="s">
        <v>5</v>
      </c>
      <c r="P19" s="1" t="s">
        <v>651</v>
      </c>
      <c r="Q19" s="1" t="s">
        <v>547</v>
      </c>
      <c r="R19" s="1" t="s">
        <v>547</v>
      </c>
      <c r="S19" s="1" t="s">
        <v>877</v>
      </c>
      <c r="T19" s="1" t="s">
        <v>220</v>
      </c>
      <c r="U19" s="1" t="s">
        <v>220</v>
      </c>
      <c r="V19" s="1" t="s">
        <v>10</v>
      </c>
      <c r="W19" s="1" t="s">
        <v>11</v>
      </c>
      <c r="X19" s="1" t="s">
        <v>12</v>
      </c>
      <c r="Y19" s="1" t="s">
        <v>5</v>
      </c>
      <c r="Z19" s="157" t="s">
        <v>863</v>
      </c>
      <c r="AA19" s="15">
        <v>0</v>
      </c>
      <c r="AB19" s="15">
        <v>14500</v>
      </c>
      <c r="AC19" s="15">
        <v>32400</v>
      </c>
      <c r="AD19" s="15">
        <v>33800</v>
      </c>
      <c r="AE19" s="35">
        <v>-0.1</v>
      </c>
      <c r="AF19" s="36" t="s">
        <v>547</v>
      </c>
      <c r="AG19" s="35" t="s">
        <v>547</v>
      </c>
      <c r="AH19" s="35" t="s">
        <v>547</v>
      </c>
      <c r="AI19" s="35"/>
      <c r="AJ19" s="36"/>
      <c r="AK19" s="15">
        <v>0</v>
      </c>
      <c r="AL19" s="15">
        <v>13050</v>
      </c>
      <c r="AM19" s="15">
        <v>29160</v>
      </c>
      <c r="AN19" s="15">
        <v>30420</v>
      </c>
      <c r="AO19" s="3">
        <v>29160</v>
      </c>
      <c r="AP19" s="138">
        <v>22085</v>
      </c>
      <c r="AQ19" s="11">
        <v>0.76</v>
      </c>
      <c r="AR19" s="2" t="s">
        <v>5</v>
      </c>
      <c r="AS19" s="26">
        <v>4.07</v>
      </c>
      <c r="AT19" s="15">
        <v>0</v>
      </c>
      <c r="AU19" s="15">
        <v>730</v>
      </c>
      <c r="AV19" s="15">
        <v>1630</v>
      </c>
      <c r="AW19" s="15">
        <v>1700</v>
      </c>
      <c r="AX19" s="15">
        <v>0</v>
      </c>
      <c r="AY19" s="15">
        <v>657</v>
      </c>
      <c r="AZ19" s="15">
        <v>1467</v>
      </c>
      <c r="BA19" s="15">
        <v>1530</v>
      </c>
      <c r="BB19" s="3">
        <v>1467</v>
      </c>
      <c r="BC19" s="138">
        <v>1270</v>
      </c>
      <c r="BD19" s="138">
        <v>1122</v>
      </c>
      <c r="BE19" s="11">
        <v>0.87</v>
      </c>
      <c r="BF19" s="2" t="s">
        <v>5</v>
      </c>
      <c r="BG19" s="135">
        <v>2.2499999999999999E-2</v>
      </c>
      <c r="BH19" s="135">
        <v>2.2499999999999999E-2</v>
      </c>
      <c r="BI19" s="38">
        <v>2.2499999999999999E-2</v>
      </c>
      <c r="BJ19" s="39" t="s">
        <v>547</v>
      </c>
      <c r="BK19" s="15">
        <v>0</v>
      </c>
      <c r="BL19" s="15">
        <v>14500</v>
      </c>
      <c r="BM19" s="15">
        <v>32400</v>
      </c>
      <c r="BN19" s="15">
        <v>33800</v>
      </c>
      <c r="BO19" s="15">
        <v>0</v>
      </c>
      <c r="BP19" s="15">
        <v>13050</v>
      </c>
      <c r="BQ19" s="15">
        <v>29160</v>
      </c>
      <c r="BR19" s="15">
        <v>30420</v>
      </c>
      <c r="BS19" s="3">
        <v>29160</v>
      </c>
      <c r="BT19" s="40">
        <v>24684</v>
      </c>
      <c r="BU19" s="41">
        <v>0.85</v>
      </c>
      <c r="BV19" s="2" t="s">
        <v>5</v>
      </c>
      <c r="BW19" s="2">
        <v>4.55</v>
      </c>
      <c r="BX19" s="15">
        <v>0</v>
      </c>
      <c r="BY19" s="15">
        <v>730</v>
      </c>
      <c r="BZ19" s="15">
        <v>1630</v>
      </c>
      <c r="CA19" s="15">
        <v>1700</v>
      </c>
      <c r="CB19" s="15">
        <v>0</v>
      </c>
      <c r="CC19" s="15">
        <v>657</v>
      </c>
      <c r="CD19" s="15">
        <v>1467</v>
      </c>
      <c r="CE19" s="15">
        <v>1530</v>
      </c>
      <c r="CF19" s="3">
        <v>1467</v>
      </c>
      <c r="CG19" s="2">
        <v>1419</v>
      </c>
      <c r="CH19" s="2">
        <v>1254</v>
      </c>
      <c r="CI19" s="11">
        <v>0.97</v>
      </c>
      <c r="CJ19" s="2" t="s">
        <v>5</v>
      </c>
      <c r="CK19" s="3">
        <v>32854</v>
      </c>
      <c r="CL19" s="11">
        <v>0.75</v>
      </c>
      <c r="CM19" s="11" t="s">
        <v>865</v>
      </c>
      <c r="CN19" s="3">
        <v>1652</v>
      </c>
      <c r="CO19" s="11">
        <v>0.86</v>
      </c>
      <c r="CP19" s="156" t="s">
        <v>866</v>
      </c>
      <c r="CQ19" s="2" t="s">
        <v>630</v>
      </c>
      <c r="CR19" s="44">
        <v>0.83243391671640166</v>
      </c>
      <c r="CS19" s="11" t="s">
        <v>547</v>
      </c>
      <c r="CT19" s="11" t="s">
        <v>547</v>
      </c>
      <c r="CU19" s="11" t="s">
        <v>547</v>
      </c>
      <c r="CV19" s="11" t="s">
        <v>547</v>
      </c>
      <c r="CW19" s="2"/>
      <c r="CX19" s="1"/>
      <c r="CY19" s="145" t="s">
        <v>547</v>
      </c>
      <c r="CZ19" s="32" t="s">
        <v>547</v>
      </c>
    </row>
    <row r="21" spans="1:104">
      <c r="CQ21" s="371">
        <f>SUMPRODUCT(CR2:CR19,H2:H19)/SUM(H2:H19)</f>
        <v>0.64899159213186386</v>
      </c>
    </row>
  </sheetData>
  <conditionalFormatting sqref="AA1:AN19 AT1:BA19">
    <cfRule type="containsText" dxfId="28" priority="12" operator="containsText" text="false">
      <formula>NOT(ISERROR(SEARCH("false",AA1)))</formula>
    </cfRule>
  </conditionalFormatting>
  <conditionalFormatting sqref="F1:F19">
    <cfRule type="containsText" dxfId="27" priority="11" operator="containsText" text="NO COUNT">
      <formula>NOT(ISERROR(SEARCH("NO COUNT",F1)))</formula>
    </cfRule>
  </conditionalFormatting>
  <conditionalFormatting sqref="AQ2:AQ19">
    <cfRule type="cellIs" dxfId="26" priority="8" stopIfTrue="1" operator="greaterThan">
      <formula>1</formula>
    </cfRule>
  </conditionalFormatting>
  <conditionalFormatting sqref="CL2:CL19">
    <cfRule type="cellIs" dxfId="25" priority="9" operator="greaterThan">
      <formula>1</formula>
    </cfRule>
  </conditionalFormatting>
  <conditionalFormatting sqref="AQ2:AQ19">
    <cfRule type="cellIs" dxfId="24" priority="10" operator="greaterThan">
      <formula>0.9</formula>
    </cfRule>
  </conditionalFormatting>
  <conditionalFormatting sqref="BE2:BE19">
    <cfRule type="cellIs" dxfId="23" priority="6" stopIfTrue="1" operator="greaterThan">
      <formula>1</formula>
    </cfRule>
  </conditionalFormatting>
  <conditionalFormatting sqref="BE2:BE19">
    <cfRule type="cellIs" dxfId="22" priority="7" operator="greaterThan">
      <formula>0.9</formula>
    </cfRule>
  </conditionalFormatting>
  <conditionalFormatting sqref="CI2:CI19">
    <cfRule type="cellIs" dxfId="21" priority="4" stopIfTrue="1" operator="greaterThan">
      <formula>1</formula>
    </cfRule>
    <cfRule type="cellIs" dxfId="20" priority="5" operator="greaterThan">
      <formula>0.9</formula>
    </cfRule>
  </conditionalFormatting>
  <conditionalFormatting sqref="CO2:CO19">
    <cfRule type="cellIs" dxfId="19" priority="3" operator="greaterThan">
      <formula>1</formula>
    </cfRule>
  </conditionalFormatting>
  <conditionalFormatting sqref="BX2:CA19">
    <cfRule type="containsText" dxfId="18" priority="2" operator="containsText" text="false">
      <formula>NOT(ISERROR(SEARCH("false",BX2)))</formula>
    </cfRule>
  </conditionalFormatting>
  <conditionalFormatting sqref="CB2:CE19">
    <cfRule type="containsText" dxfId="17" priority="1" operator="containsText" text="false">
      <formula>NOT(ISERROR(SEARCH("false",CB2)))</formula>
    </cfRule>
  </conditionalFormatting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27184-9B4F-4377-8B66-D9B0A1BE7B82}">
  <dimension ref="A1:K260"/>
  <sheetViews>
    <sheetView workbookViewId="0">
      <selection activeCell="Q226" sqref="Q226"/>
    </sheetView>
  </sheetViews>
  <sheetFormatPr defaultRowHeight="15"/>
  <cols>
    <col min="2" max="2" width="29" customWidth="1"/>
    <col min="3" max="3" width="12.5703125" style="504" customWidth="1"/>
    <col min="4" max="4" width="14.42578125" customWidth="1"/>
    <col min="5" max="5" width="14.140625" customWidth="1"/>
    <col min="6" max="6" width="16" customWidth="1"/>
    <col min="7" max="7" width="23" customWidth="1"/>
    <col min="8" max="8" width="13.28515625" customWidth="1"/>
    <col min="9" max="9" width="18.140625" customWidth="1"/>
  </cols>
  <sheetData>
    <row r="1" spans="1:11">
      <c r="A1" t="s">
        <v>176</v>
      </c>
      <c r="B1" t="s">
        <v>677</v>
      </c>
      <c r="C1" s="505" t="s">
        <v>1139</v>
      </c>
      <c r="D1" t="s">
        <v>1140</v>
      </c>
      <c r="E1" t="s">
        <v>1141</v>
      </c>
      <c r="F1" t="s">
        <v>1142</v>
      </c>
      <c r="G1" t="s">
        <v>621</v>
      </c>
      <c r="H1" t="s">
        <v>1143</v>
      </c>
      <c r="I1" t="s">
        <v>1097</v>
      </c>
      <c r="J1" t="s">
        <v>182</v>
      </c>
      <c r="K1" t="s">
        <v>1139</v>
      </c>
    </row>
    <row r="2" spans="1:11">
      <c r="A2" s="501">
        <f>'Cleanup TMS'!A2</f>
        <v>4000</v>
      </c>
      <c r="B2" t="str">
        <f>'Cleanup TMS'!Z2</f>
        <v>Other CMP Network Roadways</v>
      </c>
      <c r="C2" s="502">
        <f>IF('Cleanup TMS'!BE2="","",'Cleanup TMS'!BE2)</f>
        <v>0.39</v>
      </c>
      <c r="D2" s="502" t="str">
        <f>IF('Cleanup TMS'!BF2="","",'Cleanup TMS'!BF2)</f>
        <v>C</v>
      </c>
      <c r="E2" s="502">
        <f>IF('Cleanup TMS'!CH2="","",'Cleanup TMS'!CI2)</f>
        <v>0.41</v>
      </c>
      <c r="F2" s="502" t="str">
        <f>IF('Cleanup TMS'!CJ2="","",'Cleanup TMS'!CJ2)</f>
        <v>C</v>
      </c>
      <c r="G2" s="502" t="str">
        <f>IF('Cleanup TMS'!CP2="","",'Cleanup TMS'!CP2)</f>
        <v>NOT CONGESTED</v>
      </c>
      <c r="H2" s="503">
        <f>IF('Cleanup TMS'!L2="","",'Cleanup TMS'!L2)</f>
        <v>2</v>
      </c>
      <c r="I2" s="503">
        <f>IF('Cleanup TMS'!M2="","",'Cleanup TMS'!M2)</f>
        <v>2</v>
      </c>
      <c r="J2" s="503" t="str">
        <f>IF('Cleanup TMS'!Y2="","",'Cleanup TMS'!Y2)</f>
        <v>D</v>
      </c>
      <c r="K2">
        <v>0.39</v>
      </c>
    </row>
    <row r="3" spans="1:11">
      <c r="A3" s="501">
        <f>'Cleanup TMS'!A3</f>
        <v>4010</v>
      </c>
      <c r="B3" t="str">
        <f>'Cleanup TMS'!Z3</f>
        <v>Other CMP Network Roadways</v>
      </c>
      <c r="C3" s="502">
        <f>IF('Cleanup TMS'!BE3="","",'Cleanup TMS'!BE3)</f>
        <v>0.69</v>
      </c>
      <c r="D3" s="502" t="str">
        <f>IF('Cleanup TMS'!BF3="","",'Cleanup TMS'!BF3)</f>
        <v>D</v>
      </c>
      <c r="E3" s="502">
        <f>IF('Cleanup TMS'!CH3="","",'Cleanup TMS'!CI3)</f>
        <v>0.72</v>
      </c>
      <c r="F3" s="502" t="str">
        <f>IF('Cleanup TMS'!CJ3="","",'Cleanup TMS'!CJ3)</f>
        <v>D</v>
      </c>
      <c r="G3" s="502" t="str">
        <f>IF('Cleanup TMS'!CP3="","",'Cleanup TMS'!CP3)</f>
        <v>NOT CONGESTED</v>
      </c>
      <c r="H3" s="503">
        <f>IF('Cleanup TMS'!L3="","",'Cleanup TMS'!L3)</f>
        <v>2</v>
      </c>
      <c r="I3" s="503">
        <f>IF('Cleanup TMS'!M3="","",'Cleanup TMS'!M3)</f>
        <v>2</v>
      </c>
      <c r="J3" s="503" t="str">
        <f>IF('Cleanup TMS'!Y3="","",'Cleanup TMS'!Y3)</f>
        <v>D</v>
      </c>
      <c r="K3">
        <v>0.69</v>
      </c>
    </row>
    <row r="4" spans="1:11">
      <c r="A4" s="501">
        <f>'Cleanup TMS'!A4</f>
        <v>4020</v>
      </c>
      <c r="B4" t="str">
        <f>'Cleanup TMS'!Z4</f>
        <v>Other CMP Network Roadways</v>
      </c>
      <c r="C4" s="502">
        <f>IF('Cleanup TMS'!BE4="","",'Cleanup TMS'!BE4)</f>
        <v>0.93</v>
      </c>
      <c r="D4" s="502" t="str">
        <f>IF('Cleanup TMS'!BF4="","",'Cleanup TMS'!BF4)</f>
        <v>D</v>
      </c>
      <c r="E4" s="502">
        <f>IF('Cleanup TMS'!CH4="","",'Cleanup TMS'!CI4)</f>
        <v>1</v>
      </c>
      <c r="F4" s="502" t="str">
        <f>IF('Cleanup TMS'!CJ4="","",'Cleanup TMS'!CJ4)</f>
        <v>D</v>
      </c>
      <c r="G4" s="502" t="str">
        <f>IF('Cleanup TMS'!CP4="","",'Cleanup TMS'!CP4)</f>
        <v>APPROACHING CONGESTION</v>
      </c>
      <c r="H4" s="503">
        <f>IF('Cleanup TMS'!L4="","",'Cleanup TMS'!L4)</f>
        <v>2</v>
      </c>
      <c r="I4" s="503">
        <f>IF('Cleanup TMS'!M4="","",'Cleanup TMS'!M4)</f>
        <v>2</v>
      </c>
      <c r="J4" s="503" t="str">
        <f>IF('Cleanup TMS'!Y4="","",'Cleanup TMS'!Y4)</f>
        <v>D</v>
      </c>
      <c r="K4">
        <v>0.93</v>
      </c>
    </row>
    <row r="5" spans="1:11">
      <c r="A5" s="501">
        <f>'Cleanup TMS'!A5</f>
        <v>4030</v>
      </c>
      <c r="B5" t="str">
        <f>'Cleanup TMS'!Z5</f>
        <v>Other CMP Network Roadways</v>
      </c>
      <c r="C5" s="502">
        <f>IF('Cleanup TMS'!BE5="","",'Cleanup TMS'!BE5)</f>
        <v>0.32</v>
      </c>
      <c r="D5" s="502" t="str">
        <f>IF('Cleanup TMS'!BF5="","",'Cleanup TMS'!BF5)</f>
        <v>C</v>
      </c>
      <c r="E5" s="502">
        <f>IF('Cleanup TMS'!CH5="","",'Cleanup TMS'!CI5)</f>
        <v>0.34</v>
      </c>
      <c r="F5" s="502" t="str">
        <f>IF('Cleanup TMS'!CJ5="","",'Cleanup TMS'!CJ5)</f>
        <v>C</v>
      </c>
      <c r="G5" s="502" t="str">
        <f>IF('Cleanup TMS'!CP5="","",'Cleanup TMS'!CP5)</f>
        <v>NOT CONGESTED</v>
      </c>
      <c r="H5" s="503">
        <f>IF('Cleanup TMS'!L5="","",'Cleanup TMS'!L5)</f>
        <v>2</v>
      </c>
      <c r="I5" s="503">
        <f>IF('Cleanup TMS'!M5="","",'Cleanup TMS'!M5)</f>
        <v>2</v>
      </c>
      <c r="J5" s="503" t="str">
        <f>IF('Cleanup TMS'!Y5="","",'Cleanup TMS'!Y5)</f>
        <v>D</v>
      </c>
      <c r="K5">
        <v>0.32</v>
      </c>
    </row>
    <row r="6" spans="1:11">
      <c r="A6" s="501">
        <f>'Cleanup TMS'!A6</f>
        <v>4040</v>
      </c>
      <c r="B6" t="str">
        <f>'Cleanup TMS'!Z6</f>
        <v>Other CMP Network Roadways</v>
      </c>
      <c r="C6" s="502">
        <f>IF('Cleanup TMS'!BE6="","",'Cleanup TMS'!BE6)</f>
        <v>0.65</v>
      </c>
      <c r="D6" s="502" t="str">
        <f>IF('Cleanup TMS'!BF6="","",'Cleanup TMS'!BF6)</f>
        <v>D</v>
      </c>
      <c r="E6" s="502">
        <f>IF('Cleanup TMS'!CH6="","",'Cleanup TMS'!CI6)</f>
        <v>0.68</v>
      </c>
      <c r="F6" s="502" t="str">
        <f>IF('Cleanup TMS'!CJ6="","",'Cleanup TMS'!CJ6)</f>
        <v>D</v>
      </c>
      <c r="G6" s="502" t="str">
        <f>IF('Cleanup TMS'!CP6="","",'Cleanup TMS'!CP6)</f>
        <v>NOT CONGESTED</v>
      </c>
      <c r="H6" s="503">
        <f>IF('Cleanup TMS'!L6="","",'Cleanup TMS'!L6)</f>
        <v>2</v>
      </c>
      <c r="I6" s="503">
        <f>IF('Cleanup TMS'!M6="","",'Cleanup TMS'!M6)</f>
        <v>2</v>
      </c>
      <c r="J6" s="503" t="str">
        <f>IF('Cleanup TMS'!Y6="","",'Cleanup TMS'!Y6)</f>
        <v>D</v>
      </c>
      <c r="K6">
        <v>0.65</v>
      </c>
    </row>
    <row r="7" spans="1:11">
      <c r="A7" s="501">
        <f>'Cleanup TMS'!A7</f>
        <v>4050</v>
      </c>
      <c r="B7" t="str">
        <f>'Cleanup TMS'!Z7</f>
        <v>Other CMP Network Roadways</v>
      </c>
      <c r="C7" s="502">
        <f>IF('Cleanup TMS'!BE7="","",'Cleanup TMS'!BE7)</f>
        <v>0.48</v>
      </c>
      <c r="D7" s="502" t="str">
        <f>IF('Cleanup TMS'!BF7="","",'Cleanup TMS'!BF7)</f>
        <v>C</v>
      </c>
      <c r="E7" s="502">
        <f>IF('Cleanup TMS'!CH7="","",'Cleanup TMS'!CI7)</f>
        <v>0.5</v>
      </c>
      <c r="F7" s="502" t="str">
        <f>IF('Cleanup TMS'!CJ7="","",'Cleanup TMS'!CJ7)</f>
        <v>D</v>
      </c>
      <c r="G7" s="502" t="str">
        <f>IF('Cleanup TMS'!CP7="","",'Cleanup TMS'!CP7)</f>
        <v>NOT CONGESTED</v>
      </c>
      <c r="H7" s="503">
        <f>IF('Cleanup TMS'!L7="","",'Cleanup TMS'!L7)</f>
        <v>2</v>
      </c>
      <c r="I7" s="503">
        <f>IF('Cleanup TMS'!M7="","",'Cleanup TMS'!M7)</f>
        <v>2</v>
      </c>
      <c r="J7" s="503" t="str">
        <f>IF('Cleanup TMS'!Y7="","",'Cleanup TMS'!Y7)</f>
        <v>D</v>
      </c>
      <c r="K7">
        <v>0.48</v>
      </c>
    </row>
    <row r="8" spans="1:11">
      <c r="A8" s="501">
        <f>'Cleanup TMS'!A8</f>
        <v>4060</v>
      </c>
      <c r="B8" t="str">
        <f>'Cleanup TMS'!Z8</f>
        <v>Other CMP Network Roadways</v>
      </c>
      <c r="C8" s="502">
        <f>IF('Cleanup TMS'!BE8="","",'Cleanup TMS'!BE8)</f>
        <v>0.56000000000000005</v>
      </c>
      <c r="D8" s="502" t="str">
        <f>IF('Cleanup TMS'!BF8="","",'Cleanup TMS'!BF8)</f>
        <v>D</v>
      </c>
      <c r="E8" s="502">
        <f>IF('Cleanup TMS'!CH8="","",'Cleanup TMS'!CI8)</f>
        <v>0.59</v>
      </c>
      <c r="F8" s="502" t="str">
        <f>IF('Cleanup TMS'!CJ8="","",'Cleanup TMS'!CJ8)</f>
        <v>D</v>
      </c>
      <c r="G8" s="502" t="str">
        <f>IF('Cleanup TMS'!CP8="","",'Cleanup TMS'!CP8)</f>
        <v>NOT CONGESTED</v>
      </c>
      <c r="H8" s="503">
        <f>IF('Cleanup TMS'!L8="","",'Cleanup TMS'!L8)</f>
        <v>2</v>
      </c>
      <c r="I8" s="503">
        <f>IF('Cleanup TMS'!M8="","",'Cleanup TMS'!M8)</f>
        <v>2</v>
      </c>
      <c r="J8" s="503" t="str">
        <f>IF('Cleanup TMS'!Y8="","",'Cleanup TMS'!Y8)</f>
        <v>D</v>
      </c>
      <c r="K8">
        <v>0.56000000000000005</v>
      </c>
    </row>
    <row r="9" spans="1:11">
      <c r="A9" s="501">
        <f>'Cleanup TMS'!A9</f>
        <v>4070</v>
      </c>
      <c r="B9" t="str">
        <f>'Cleanup TMS'!Z9</f>
        <v>Other CMP Network Roadways</v>
      </c>
      <c r="C9" s="502">
        <f>IF('Cleanup TMS'!BE9="","",'Cleanup TMS'!BE9)</f>
        <v>0.35</v>
      </c>
      <c r="D9" s="502" t="str">
        <f>IF('Cleanup TMS'!BF9="","",'Cleanup TMS'!BF9)</f>
        <v>C</v>
      </c>
      <c r="E9" s="502">
        <f>IF('Cleanup TMS'!CH9="","",'Cleanup TMS'!CI9)</f>
        <v>0.37</v>
      </c>
      <c r="F9" s="502" t="str">
        <f>IF('Cleanup TMS'!CJ9="","",'Cleanup TMS'!CJ9)</f>
        <v>C</v>
      </c>
      <c r="G9" s="502" t="str">
        <f>IF('Cleanup TMS'!CP9="","",'Cleanup TMS'!CP9)</f>
        <v>NOT CONGESTED</v>
      </c>
      <c r="H9" s="503">
        <f>IF('Cleanup TMS'!L9="","",'Cleanup TMS'!L9)</f>
        <v>2</v>
      </c>
      <c r="I9" s="503">
        <f>IF('Cleanup TMS'!M9="","",'Cleanup TMS'!M9)</f>
        <v>2</v>
      </c>
      <c r="J9" s="503" t="str">
        <f>IF('Cleanup TMS'!Y9="","",'Cleanup TMS'!Y9)</f>
        <v>D</v>
      </c>
      <c r="K9">
        <v>0.35</v>
      </c>
    </row>
    <row r="10" spans="1:11">
      <c r="A10" s="501">
        <f>'Cleanup TMS'!A10</f>
        <v>4830</v>
      </c>
      <c r="B10" t="str">
        <f>'Cleanup TMS'!Z10</f>
        <v>Other CMP Network Roadways</v>
      </c>
      <c r="C10" s="502">
        <f>IF('Cleanup TMS'!BE10="","",'Cleanup TMS'!BE10)</f>
        <v>0.86</v>
      </c>
      <c r="D10" s="502" t="str">
        <f>IF('Cleanup TMS'!BF10="","",'Cleanup TMS'!BF10)</f>
        <v>D</v>
      </c>
      <c r="E10" s="502">
        <f>IF('Cleanup TMS'!CH10="","",'Cleanup TMS'!CI10)</f>
        <v>1.03</v>
      </c>
      <c r="F10" s="502" t="str">
        <f>IF('Cleanup TMS'!CJ10="","",'Cleanup TMS'!CJ10)</f>
        <v>E</v>
      </c>
      <c r="G10" s="502" t="str">
        <f>IF('Cleanup TMS'!CP10="","",'Cleanup TMS'!CP10)</f>
        <v>CONGESTED (2025)</v>
      </c>
      <c r="H10" s="503">
        <f>IF('Cleanup TMS'!L10="","",'Cleanup TMS'!L10)</f>
        <v>2</v>
      </c>
      <c r="I10" s="503">
        <f>IF('Cleanup TMS'!M10="","",'Cleanup TMS'!M10)</f>
        <v>2</v>
      </c>
      <c r="J10" s="503" t="str">
        <f>IF('Cleanup TMS'!Y10="","",'Cleanup TMS'!Y10)</f>
        <v>D</v>
      </c>
      <c r="K10">
        <v>0.86</v>
      </c>
    </row>
    <row r="11" spans="1:11">
      <c r="A11" s="501">
        <f>'Cleanup TMS'!A11</f>
        <v>4835</v>
      </c>
      <c r="B11" t="str">
        <f>'Cleanup TMS'!Z11</f>
        <v>Other CMP Network Roadways</v>
      </c>
      <c r="C11" s="502">
        <f>IF('Cleanup TMS'!BE11="","",'Cleanup TMS'!BE11)</f>
        <v>0.52</v>
      </c>
      <c r="D11" s="502" t="str">
        <f>IF('Cleanup TMS'!BF11="","",'Cleanup TMS'!BF11)</f>
        <v>C</v>
      </c>
      <c r="E11" s="502">
        <f>IF('Cleanup TMS'!CH11="","",'Cleanup TMS'!CI11)</f>
        <v>0.55000000000000004</v>
      </c>
      <c r="F11" s="502" t="str">
        <f>IF('Cleanup TMS'!CJ11="","",'Cleanup TMS'!CJ11)</f>
        <v>C</v>
      </c>
      <c r="G11" s="502" t="str">
        <f>IF('Cleanup TMS'!CP11="","",'Cleanup TMS'!CP11)</f>
        <v>NOT CONGESTED</v>
      </c>
      <c r="H11" s="503">
        <f>IF('Cleanup TMS'!L11="","",'Cleanup TMS'!L11)</f>
        <v>2</v>
      </c>
      <c r="I11" s="503">
        <f>IF('Cleanup TMS'!M11="","",'Cleanup TMS'!M11)</f>
        <v>2</v>
      </c>
      <c r="J11" s="503" t="str">
        <f>IF('Cleanup TMS'!Y11="","",'Cleanup TMS'!Y11)</f>
        <v>D</v>
      </c>
      <c r="K11">
        <v>0.52</v>
      </c>
    </row>
    <row r="12" spans="1:11">
      <c r="A12" s="501">
        <f>'Cleanup TMS'!A12</f>
        <v>4860</v>
      </c>
      <c r="B12" t="str">
        <f>'Cleanup TMS'!Z12</f>
        <v>Other CMP Network Roadways</v>
      </c>
      <c r="C12" s="502">
        <f>IF('Cleanup TMS'!BE12="","",'Cleanup TMS'!BE12)</f>
        <v>0.38</v>
      </c>
      <c r="D12" s="502" t="str">
        <f>IF('Cleanup TMS'!BF12="","",'Cleanup TMS'!BF12)</f>
        <v>C</v>
      </c>
      <c r="E12" s="502">
        <f>IF('Cleanup TMS'!CH12="","",'Cleanup TMS'!CI12)</f>
        <v>0.4</v>
      </c>
      <c r="F12" s="502" t="str">
        <f>IF('Cleanup TMS'!CJ12="","",'Cleanup TMS'!CJ12)</f>
        <v>C</v>
      </c>
      <c r="G12" s="502" t="str">
        <f>IF('Cleanup TMS'!CP12="","",'Cleanup TMS'!CP12)</f>
        <v>NOT CONGESTED</v>
      </c>
      <c r="H12" s="503">
        <f>IF('Cleanup TMS'!L12="","",'Cleanup TMS'!L12)</f>
        <v>2</v>
      </c>
      <c r="I12" s="503">
        <f>IF('Cleanup TMS'!M12="","",'Cleanup TMS'!M12)</f>
        <v>2</v>
      </c>
      <c r="J12" s="503" t="str">
        <f>IF('Cleanup TMS'!Y12="","",'Cleanup TMS'!Y12)</f>
        <v>D</v>
      </c>
      <c r="K12">
        <v>0.38</v>
      </c>
    </row>
    <row r="13" spans="1:11">
      <c r="A13" s="501">
        <f>'Cleanup TMS'!A13</f>
        <v>4870</v>
      </c>
      <c r="B13" t="str">
        <f>'Cleanup TMS'!Z13</f>
        <v>Other CMP Network Roadways</v>
      </c>
      <c r="C13" s="502">
        <f>IF('Cleanup TMS'!BE13="","",'Cleanup TMS'!BE13)</f>
        <v>0.34</v>
      </c>
      <c r="D13" s="502" t="str">
        <f>IF('Cleanup TMS'!BF13="","",'Cleanup TMS'!BF13)</f>
        <v>C</v>
      </c>
      <c r="E13" s="502">
        <f>IF('Cleanup TMS'!CH13="","",'Cleanup TMS'!CI13)</f>
        <v>0.42</v>
      </c>
      <c r="F13" s="502" t="str">
        <f>IF('Cleanup TMS'!CJ13="","",'Cleanup TMS'!CJ13)</f>
        <v>C</v>
      </c>
      <c r="G13" s="502" t="str">
        <f>IF('Cleanup TMS'!CP13="","",'Cleanup TMS'!CP13)</f>
        <v>NOT CONGESTED</v>
      </c>
      <c r="H13" s="503">
        <f>IF('Cleanup TMS'!L13="","",'Cleanup TMS'!L13)</f>
        <v>2</v>
      </c>
      <c r="I13" s="503">
        <f>IF('Cleanup TMS'!M13="","",'Cleanup TMS'!M13)</f>
        <v>2</v>
      </c>
      <c r="J13" s="503" t="str">
        <f>IF('Cleanup TMS'!Y13="","",'Cleanup TMS'!Y13)</f>
        <v>D</v>
      </c>
      <c r="K13">
        <v>0.34</v>
      </c>
    </row>
    <row r="14" spans="1:11">
      <c r="A14" s="501">
        <f>'Cleanup TMS'!A14</f>
        <v>4880</v>
      </c>
      <c r="B14" t="str">
        <f>'Cleanup TMS'!Z14</f>
        <v>Other CMP Network Roadways</v>
      </c>
      <c r="C14" s="502">
        <f>IF('Cleanup TMS'!BE14="","",'Cleanup TMS'!BE14)</f>
        <v>0.73</v>
      </c>
      <c r="D14" s="502" t="str">
        <f>IF('Cleanup TMS'!BF14="","",'Cleanup TMS'!BF14)</f>
        <v>D</v>
      </c>
      <c r="E14" s="502">
        <f>IF('Cleanup TMS'!CH14="","",'Cleanup TMS'!CI14)</f>
        <v>0.77</v>
      </c>
      <c r="F14" s="502" t="str">
        <f>IF('Cleanup TMS'!CJ14="","",'Cleanup TMS'!CJ14)</f>
        <v>D</v>
      </c>
      <c r="G14" s="502" t="str">
        <f>IF('Cleanup TMS'!CP14="","",'Cleanup TMS'!CP14)</f>
        <v>NOT CONGESTED</v>
      </c>
      <c r="H14" s="503">
        <f>IF('Cleanup TMS'!L14="","",'Cleanup TMS'!L14)</f>
        <v>2</v>
      </c>
      <c r="I14" s="503">
        <f>IF('Cleanup TMS'!M14="","",'Cleanup TMS'!M14)</f>
        <v>2</v>
      </c>
      <c r="J14" s="503" t="str">
        <f>IF('Cleanup TMS'!Y14="","",'Cleanup TMS'!Y14)</f>
        <v>D</v>
      </c>
      <c r="K14">
        <v>0.73</v>
      </c>
    </row>
    <row r="15" spans="1:11">
      <c r="A15" s="501">
        <f>'Cleanup TMS'!A15</f>
        <v>4885</v>
      </c>
      <c r="B15" t="str">
        <f>'Cleanup TMS'!Z15</f>
        <v>Other CMP Network Roadways</v>
      </c>
      <c r="C15" s="502">
        <f>IF('Cleanup TMS'!BE15="","",'Cleanup TMS'!BE15)</f>
        <v>0.9</v>
      </c>
      <c r="D15" s="502" t="str">
        <f>IF('Cleanup TMS'!BF15="","",'Cleanup TMS'!BF15)</f>
        <v>D</v>
      </c>
      <c r="E15" s="502">
        <f>IF('Cleanup TMS'!CH15="","",'Cleanup TMS'!CI15)</f>
        <v>1.1499999999999999</v>
      </c>
      <c r="F15" s="502" t="str">
        <f>IF('Cleanup TMS'!CJ15="","",'Cleanup TMS'!CJ15)</f>
        <v>F</v>
      </c>
      <c r="G15" s="502" t="str">
        <f>IF('Cleanup TMS'!CP15="","",'Cleanup TMS'!CP15)</f>
        <v>CONGESTED (2025)</v>
      </c>
      <c r="H15" s="503">
        <f>IF('Cleanup TMS'!L15="","",'Cleanup TMS'!L15)</f>
        <v>2</v>
      </c>
      <c r="I15" s="503">
        <f>IF('Cleanup TMS'!M15="","",'Cleanup TMS'!M15)</f>
        <v>2</v>
      </c>
      <c r="J15" s="503" t="str">
        <f>IF('Cleanup TMS'!Y15="","",'Cleanup TMS'!Y15)</f>
        <v>D</v>
      </c>
      <c r="K15">
        <v>0.9</v>
      </c>
    </row>
    <row r="16" spans="1:11">
      <c r="A16" s="501">
        <f>'Cleanup TMS'!A16</f>
        <v>4890</v>
      </c>
      <c r="B16" t="str">
        <f>'Cleanup TMS'!Z16</f>
        <v>Other CMP Network Roadways</v>
      </c>
      <c r="C16" s="502">
        <f>IF('Cleanup TMS'!BE16="","",'Cleanup TMS'!BE16)</f>
        <v>0.46</v>
      </c>
      <c r="D16" s="502" t="str">
        <f>IF('Cleanup TMS'!BF16="","",'Cleanup TMS'!BF16)</f>
        <v>C</v>
      </c>
      <c r="E16" s="502">
        <f>IF('Cleanup TMS'!CH16="","",'Cleanup TMS'!CI16)</f>
        <v>0.48</v>
      </c>
      <c r="F16" s="502" t="str">
        <f>IF('Cleanup TMS'!CJ16="","",'Cleanup TMS'!CJ16)</f>
        <v>C</v>
      </c>
      <c r="G16" s="502" t="str">
        <f>IF('Cleanup TMS'!CP16="","",'Cleanup TMS'!CP16)</f>
        <v>NOT CONGESTED</v>
      </c>
      <c r="H16" s="503">
        <f>IF('Cleanup TMS'!L16="","",'Cleanup TMS'!L16)</f>
        <v>2</v>
      </c>
      <c r="I16" s="503">
        <f>IF('Cleanup TMS'!M16="","",'Cleanup TMS'!M16)</f>
        <v>2</v>
      </c>
      <c r="J16" s="503" t="str">
        <f>IF('Cleanup TMS'!Y16="","",'Cleanup TMS'!Y16)</f>
        <v>D</v>
      </c>
      <c r="K16">
        <v>0.46</v>
      </c>
    </row>
    <row r="17" spans="1:11">
      <c r="A17" s="501">
        <f>'Cleanup TMS'!A17</f>
        <v>4910</v>
      </c>
      <c r="B17" t="str">
        <f>'Cleanup TMS'!Z17</f>
        <v>Other CMP Network Roadways</v>
      </c>
      <c r="C17" s="502" t="str">
        <f>IF('Cleanup TMS'!BE17="","",'Cleanup TMS'!BE17)</f>
        <v/>
      </c>
      <c r="D17" s="502"/>
      <c r="E17" s="502"/>
      <c r="F17" s="502"/>
      <c r="G17" s="502"/>
      <c r="H17" s="503">
        <f>IF('Cleanup TMS'!L17="","",'Cleanup TMS'!L17)</f>
        <v>2</v>
      </c>
      <c r="I17" s="503">
        <f>IF('Cleanup TMS'!M17="","",'Cleanup TMS'!M17)</f>
        <v>2</v>
      </c>
      <c r="J17" s="503" t="str">
        <f>IF('Cleanup TMS'!Y17="","",'Cleanup TMS'!Y17)</f>
        <v>D</v>
      </c>
      <c r="K17" t="s">
        <v>547</v>
      </c>
    </row>
    <row r="18" spans="1:11">
      <c r="A18" s="501">
        <f>'Cleanup TMS'!A18</f>
        <v>4915</v>
      </c>
      <c r="B18" t="str">
        <f>'Cleanup TMS'!Z18</f>
        <v>Other CMP Network Roadways</v>
      </c>
      <c r="C18" s="502">
        <f>IF('Cleanup TMS'!BE18="","",'Cleanup TMS'!BE18)</f>
        <v>0.61</v>
      </c>
      <c r="D18" s="502" t="str">
        <f>IF('Cleanup TMS'!BF18="","",'Cleanup TMS'!BF18)</f>
        <v>D</v>
      </c>
      <c r="E18" s="502">
        <f>IF('Cleanup TMS'!CH18="","",'Cleanup TMS'!CI18)</f>
        <v>0.77</v>
      </c>
      <c r="F18" s="502" t="str">
        <f>IF('Cleanup TMS'!CJ18="","",'Cleanup TMS'!CJ18)</f>
        <v>D</v>
      </c>
      <c r="G18" s="502" t="str">
        <f>IF('Cleanup TMS'!CP18="","",'Cleanup TMS'!CP18)</f>
        <v>NOT CONGESTED</v>
      </c>
      <c r="H18" s="503">
        <f>IF('Cleanup TMS'!L18="","",'Cleanup TMS'!L18)</f>
        <v>2</v>
      </c>
      <c r="I18" s="503">
        <f>IF('Cleanup TMS'!M18="","",'Cleanup TMS'!M18)</f>
        <v>2</v>
      </c>
      <c r="J18" s="503" t="str">
        <f>IF('Cleanup TMS'!Y18="","",'Cleanup TMS'!Y18)</f>
        <v>D</v>
      </c>
      <c r="K18">
        <v>0.61</v>
      </c>
    </row>
    <row r="19" spans="1:11">
      <c r="A19" s="501">
        <f>'Cleanup TMS'!A19</f>
        <v>4920</v>
      </c>
      <c r="B19" t="str">
        <f>'Cleanup TMS'!Z19</f>
        <v>Other CMP Network Roadways</v>
      </c>
      <c r="C19" s="502">
        <f>IF('Cleanup TMS'!BE19="","",'Cleanup TMS'!BE19)</f>
        <v>0.38</v>
      </c>
      <c r="D19" s="502" t="str">
        <f>IF('Cleanup TMS'!BF19="","",'Cleanup TMS'!BF19)</f>
        <v>C</v>
      </c>
      <c r="E19" s="502">
        <f>IF('Cleanup TMS'!CH19="","",'Cleanup TMS'!CI19)</f>
        <v>0.4</v>
      </c>
      <c r="F19" s="502" t="str">
        <f>IF('Cleanup TMS'!CJ19="","",'Cleanup TMS'!CJ19)</f>
        <v>C</v>
      </c>
      <c r="G19" s="502" t="str">
        <f>IF('Cleanup TMS'!CP19="","",'Cleanup TMS'!CP19)</f>
        <v>NOT CONGESTED</v>
      </c>
      <c r="H19" s="503">
        <f>IF('Cleanup TMS'!L19="","",'Cleanup TMS'!L19)</f>
        <v>2</v>
      </c>
      <c r="I19" s="503">
        <f>IF('Cleanup TMS'!M19="","",'Cleanup TMS'!M19)</f>
        <v>2</v>
      </c>
      <c r="J19" s="503" t="str">
        <f>IF('Cleanup TMS'!Y19="","",'Cleanup TMS'!Y19)</f>
        <v>D</v>
      </c>
      <c r="K19">
        <v>0.38</v>
      </c>
    </row>
    <row r="20" spans="1:11">
      <c r="A20" s="501">
        <f>'Cleanup TMS'!A20</f>
        <v>4930</v>
      </c>
      <c r="B20" t="str">
        <f>'Cleanup TMS'!Z20</f>
        <v>Other CMP Network Roadways</v>
      </c>
      <c r="C20" s="502">
        <f>IF('Cleanup TMS'!BE20="","",'Cleanup TMS'!BE20)</f>
        <v>0.13</v>
      </c>
      <c r="D20" s="502" t="str">
        <f>IF('Cleanup TMS'!BF20="","",'Cleanup TMS'!BF20)</f>
        <v>C</v>
      </c>
      <c r="E20" s="502">
        <f>IF('Cleanup TMS'!CH20="","",'Cleanup TMS'!CI20)</f>
        <v>0.18</v>
      </c>
      <c r="F20" s="502" t="str">
        <f>IF('Cleanup TMS'!CJ20="","",'Cleanup TMS'!CJ20)</f>
        <v>C</v>
      </c>
      <c r="G20" s="502" t="str">
        <f>IF('Cleanup TMS'!CP20="","",'Cleanup TMS'!CP20)</f>
        <v>NOT CONGESTED</v>
      </c>
      <c r="H20" s="503">
        <f>IF('Cleanup TMS'!L20="","",'Cleanup TMS'!L20)</f>
        <v>2</v>
      </c>
      <c r="I20" s="503">
        <f>IF('Cleanup TMS'!M20="","",'Cleanup TMS'!M20)</f>
        <v>2</v>
      </c>
      <c r="J20" s="503" t="str">
        <f>IF('Cleanup TMS'!Y20="","",'Cleanup TMS'!Y20)</f>
        <v>D</v>
      </c>
      <c r="K20">
        <v>0.13</v>
      </c>
    </row>
    <row r="21" spans="1:11">
      <c r="A21" s="501">
        <f>'Cleanup TMS'!A21</f>
        <v>5000</v>
      </c>
      <c r="B21" t="str">
        <f>'Cleanup TMS'!Z21</f>
        <v>Other CMP Network Roadways</v>
      </c>
      <c r="C21" s="502">
        <f>IF('Cleanup TMS'!BE21="","",'Cleanup TMS'!BE21)</f>
        <v>0.59</v>
      </c>
      <c r="D21" s="502" t="str">
        <f>IF('Cleanup TMS'!BF21="","",'Cleanup TMS'!BF21)</f>
        <v>D</v>
      </c>
      <c r="E21" s="502">
        <f>IF('Cleanup TMS'!CH21="","",'Cleanup TMS'!CI21)</f>
        <v>0.62</v>
      </c>
      <c r="F21" s="502" t="str">
        <f>IF('Cleanup TMS'!CJ21="","",'Cleanup TMS'!CJ21)</f>
        <v>D</v>
      </c>
      <c r="G21" s="502" t="str">
        <f>IF('Cleanup TMS'!CP21="","",'Cleanup TMS'!CP21)</f>
        <v>NOT CONGESTED</v>
      </c>
      <c r="H21" s="503">
        <f>IF('Cleanup TMS'!L21="","",'Cleanup TMS'!L21)</f>
        <v>2</v>
      </c>
      <c r="I21" s="503">
        <f>IF('Cleanup TMS'!M21="","",'Cleanup TMS'!M21)</f>
        <v>2</v>
      </c>
      <c r="J21" s="503" t="str">
        <f>IF('Cleanup TMS'!Y21="","",'Cleanup TMS'!Y21)</f>
        <v>D</v>
      </c>
      <c r="K21">
        <v>0.59</v>
      </c>
    </row>
    <row r="22" spans="1:11">
      <c r="A22" s="501">
        <f>'Cleanup TMS'!A22</f>
        <v>5010</v>
      </c>
      <c r="B22" t="str">
        <f>'Cleanup TMS'!Z22</f>
        <v>Other CMP Network Roadways</v>
      </c>
      <c r="C22" s="502">
        <f>IF('Cleanup TMS'!BE22="","",'Cleanup TMS'!BE22)</f>
        <v>0.73</v>
      </c>
      <c r="D22" s="502" t="str">
        <f>IF('Cleanup TMS'!BF22="","",'Cleanup TMS'!BF22)</f>
        <v>D</v>
      </c>
      <c r="E22" s="502">
        <f>IF('Cleanup TMS'!CH22="","",'Cleanup TMS'!CI22)</f>
        <v>0.77</v>
      </c>
      <c r="F22" s="502" t="str">
        <f>IF('Cleanup TMS'!CJ22="","",'Cleanup TMS'!CJ22)</f>
        <v>D</v>
      </c>
      <c r="G22" s="502" t="str">
        <f>IF('Cleanup TMS'!CP22="","",'Cleanup TMS'!CP22)</f>
        <v>NOT CONGESTED</v>
      </c>
      <c r="H22" s="503">
        <f>IF('Cleanup TMS'!L22="","",'Cleanup TMS'!L22)</f>
        <v>2</v>
      </c>
      <c r="I22" s="503">
        <f>IF('Cleanup TMS'!M22="","",'Cleanup TMS'!M22)</f>
        <v>2</v>
      </c>
      <c r="J22" s="503" t="str">
        <f>IF('Cleanup TMS'!Y22="","",'Cleanup TMS'!Y22)</f>
        <v>D</v>
      </c>
      <c r="K22">
        <v>0.73</v>
      </c>
    </row>
    <row r="23" spans="1:11">
      <c r="A23" s="501">
        <f>'Cleanup TMS'!A23</f>
        <v>5020</v>
      </c>
      <c r="B23" t="str">
        <f>'Cleanup TMS'!Z23</f>
        <v>Other CMP Network Roadways</v>
      </c>
      <c r="C23" s="502">
        <f>IF('Cleanup TMS'!BE23="","",'Cleanup TMS'!BE23)</f>
        <v>0.28000000000000003</v>
      </c>
      <c r="D23" s="502" t="str">
        <f>IF('Cleanup TMS'!BF23="","",'Cleanup TMS'!BF23)</f>
        <v>C</v>
      </c>
      <c r="E23" s="502">
        <f>IF('Cleanup TMS'!CH23="","",'Cleanup TMS'!CI23)</f>
        <v>0.3</v>
      </c>
      <c r="F23" s="502" t="str">
        <f>IF('Cleanup TMS'!CJ23="","",'Cleanup TMS'!CJ23)</f>
        <v>C</v>
      </c>
      <c r="G23" s="502" t="str">
        <f>IF('Cleanup TMS'!CP23="","",'Cleanup TMS'!CP23)</f>
        <v>NOT CONGESTED</v>
      </c>
      <c r="H23" s="503">
        <f>IF('Cleanup TMS'!L23="","",'Cleanup TMS'!L23)</f>
        <v>2</v>
      </c>
      <c r="I23" s="503">
        <f>IF('Cleanup TMS'!M23="","",'Cleanup TMS'!M23)</f>
        <v>2</v>
      </c>
      <c r="J23" s="503" t="str">
        <f>IF('Cleanup TMS'!Y23="","",'Cleanup TMS'!Y23)</f>
        <v>D</v>
      </c>
      <c r="K23">
        <v>0.28000000000000003</v>
      </c>
    </row>
    <row r="24" spans="1:11">
      <c r="A24" s="501">
        <f>'Cleanup TMS'!A24</f>
        <v>5030</v>
      </c>
      <c r="B24" t="str">
        <f>'Cleanup TMS'!Z24</f>
        <v>Other CMP Network Roadways</v>
      </c>
      <c r="C24" s="502">
        <f>IF('Cleanup TMS'!BE24="","",'Cleanup TMS'!BE24)</f>
        <v>0.38</v>
      </c>
      <c r="D24" s="502" t="str">
        <f>IF('Cleanup TMS'!BF24="","",'Cleanup TMS'!BF24)</f>
        <v>C</v>
      </c>
      <c r="E24" s="502">
        <f>IF('Cleanup TMS'!CH24="","",'Cleanup TMS'!CI24)</f>
        <v>0.4</v>
      </c>
      <c r="F24" s="502" t="str">
        <f>IF('Cleanup TMS'!CJ24="","",'Cleanup TMS'!CJ24)</f>
        <v>C</v>
      </c>
      <c r="G24" s="502" t="str">
        <f>IF('Cleanup TMS'!CP24="","",'Cleanup TMS'!CP24)</f>
        <v>NOT CONGESTED</v>
      </c>
      <c r="H24" s="503">
        <f>IF('Cleanup TMS'!L24="","",'Cleanup TMS'!L24)</f>
        <v>2</v>
      </c>
      <c r="I24" s="503">
        <f>IF('Cleanup TMS'!M24="","",'Cleanup TMS'!M24)</f>
        <v>2</v>
      </c>
      <c r="J24" s="503" t="str">
        <f>IF('Cleanup TMS'!Y24="","",'Cleanup TMS'!Y24)</f>
        <v>D</v>
      </c>
      <c r="K24">
        <v>0.38</v>
      </c>
    </row>
    <row r="25" spans="1:11">
      <c r="A25" s="501">
        <f>'Cleanup TMS'!A25</f>
        <v>5080</v>
      </c>
      <c r="B25" t="str">
        <f>'Cleanup TMS'!Z25</f>
        <v>Other CMP Network Roadways</v>
      </c>
      <c r="C25" s="502">
        <f>IF('Cleanup TMS'!BE25="","",'Cleanup TMS'!BE25)</f>
        <v>0.08</v>
      </c>
      <c r="D25" s="502" t="str">
        <f>IF('Cleanup TMS'!BF25="","",'Cleanup TMS'!BF25)</f>
        <v>C</v>
      </c>
      <c r="E25" s="502">
        <f>IF('Cleanup TMS'!CH25="","",'Cleanup TMS'!CI25)</f>
        <v>0.08</v>
      </c>
      <c r="F25" s="502" t="str">
        <f>IF('Cleanup TMS'!CJ25="","",'Cleanup TMS'!CJ25)</f>
        <v>C</v>
      </c>
      <c r="G25" s="502" t="str">
        <f>IF('Cleanup TMS'!CP25="","",'Cleanup TMS'!CP25)</f>
        <v>NOT CONGESTED</v>
      </c>
      <c r="H25" s="503">
        <f>IF('Cleanup TMS'!L25="","",'Cleanup TMS'!L25)</f>
        <v>2</v>
      </c>
      <c r="I25" s="503">
        <f>IF('Cleanup TMS'!M25="","",'Cleanup TMS'!M25)</f>
        <v>2</v>
      </c>
      <c r="J25" s="503" t="str">
        <f>IF('Cleanup TMS'!Y25="","",'Cleanup TMS'!Y25)</f>
        <v>D</v>
      </c>
      <c r="K25">
        <v>0.08</v>
      </c>
    </row>
    <row r="26" spans="1:11">
      <c r="A26" s="501">
        <f>'Cleanup TMS'!A26</f>
        <v>6000</v>
      </c>
      <c r="B26" t="str">
        <f>'Cleanup TMS'!Z26</f>
        <v>Other CMP Network Roadways</v>
      </c>
      <c r="C26" s="502">
        <f>IF('Cleanup TMS'!BE26="","",'Cleanup TMS'!BE26)</f>
        <v>0.05</v>
      </c>
      <c r="D26" s="502" t="str">
        <f>IF('Cleanup TMS'!BF26="","",'Cleanup TMS'!BF26)</f>
        <v>C</v>
      </c>
      <c r="E26" s="502">
        <f>IF('Cleanup TMS'!CH26="","",'Cleanup TMS'!CI26)</f>
        <v>0.06</v>
      </c>
      <c r="F26" s="502" t="str">
        <f>IF('Cleanup TMS'!CJ26="","",'Cleanup TMS'!CJ26)</f>
        <v>C</v>
      </c>
      <c r="G26" s="502" t="str">
        <f>IF('Cleanup TMS'!CP26="","",'Cleanup TMS'!CP26)</f>
        <v>NOT CONGESTED</v>
      </c>
      <c r="H26" s="503">
        <f>IF('Cleanup TMS'!L26="","",'Cleanup TMS'!L26)</f>
        <v>2</v>
      </c>
      <c r="I26" s="503">
        <f>IF('Cleanup TMS'!M26="","",'Cleanup TMS'!M26)</f>
        <v>2</v>
      </c>
      <c r="J26" s="503" t="str">
        <f>IF('Cleanup TMS'!Y26="","",'Cleanup TMS'!Y26)</f>
        <v>D</v>
      </c>
      <c r="K26">
        <v>0.05</v>
      </c>
    </row>
    <row r="27" spans="1:11">
      <c r="A27" s="501">
        <f>'Cleanup TMS'!A27</f>
        <v>12500</v>
      </c>
      <c r="B27" t="str">
        <f>'Cleanup TMS'!Z27</f>
        <v>Other CMP Network Roadways</v>
      </c>
      <c r="C27" s="502">
        <f>IF('Cleanup TMS'!BE27="","",'Cleanup TMS'!BE27)</f>
        <v>0.32</v>
      </c>
      <c r="D27" s="502" t="str">
        <f>IF('Cleanup TMS'!BF27="","",'Cleanup TMS'!BF27)</f>
        <v>C</v>
      </c>
      <c r="E27" s="502">
        <f>IF('Cleanup TMS'!CH27="","",'Cleanup TMS'!CI27)</f>
        <v>0.34</v>
      </c>
      <c r="F27" s="502" t="str">
        <f>IF('Cleanup TMS'!CJ27="","",'Cleanup TMS'!CJ27)</f>
        <v>C</v>
      </c>
      <c r="G27" s="502" t="str">
        <f>IF('Cleanup TMS'!CP27="","",'Cleanup TMS'!CP27)</f>
        <v>NOT CONGESTED</v>
      </c>
      <c r="H27" s="503">
        <f>IF('Cleanup TMS'!L27="","",'Cleanup TMS'!L27)</f>
        <v>2</v>
      </c>
      <c r="I27" s="503">
        <f>IF('Cleanup TMS'!M27="","",'Cleanup TMS'!M27)</f>
        <v>2</v>
      </c>
      <c r="J27" s="503" t="str">
        <f>IF('Cleanup TMS'!Y27="","",'Cleanup TMS'!Y27)</f>
        <v>D</v>
      </c>
      <c r="K27">
        <v>0.32</v>
      </c>
    </row>
    <row r="28" spans="1:11">
      <c r="A28" s="501">
        <f>'Cleanup TMS'!A28</f>
        <v>325310</v>
      </c>
      <c r="B28" t="str">
        <f>'Cleanup TMS'!Z28</f>
        <v>NHS Non-Interstate</v>
      </c>
      <c r="C28" s="502">
        <f>IF('Cleanup TMS'!BE28="","",'Cleanup TMS'!BE28)</f>
        <v>0.57999999999999996</v>
      </c>
      <c r="D28" s="502" t="str">
        <f>IF('Cleanup TMS'!BF28="","",'Cleanup TMS'!BF28)</f>
        <v>C</v>
      </c>
      <c r="E28" s="502">
        <f>IF('Cleanup TMS'!CH28="","",'Cleanup TMS'!CI28)</f>
        <v>0.61</v>
      </c>
      <c r="F28" s="502" t="str">
        <f>IF('Cleanup TMS'!CJ28="","",'Cleanup TMS'!CJ28)</f>
        <v>C</v>
      </c>
      <c r="G28" s="502" t="str">
        <f>IF('Cleanup TMS'!CP28="","",'Cleanup TMS'!CP28)</f>
        <v>NOT CONGESTED</v>
      </c>
      <c r="H28" s="503">
        <f>IF('Cleanup TMS'!L28="","",'Cleanup TMS'!L28)</f>
        <v>2</v>
      </c>
      <c r="I28" s="503">
        <f>IF('Cleanup TMS'!M28="","",'Cleanup TMS'!M28)</f>
        <v>2</v>
      </c>
      <c r="J28" s="503" t="str">
        <f>IF('Cleanup TMS'!Y28="","",'Cleanup TMS'!Y28)</f>
        <v>C</v>
      </c>
      <c r="K28">
        <v>0.57999999999999996</v>
      </c>
    </row>
    <row r="29" spans="1:11">
      <c r="A29" s="501">
        <f>'Cleanup TMS'!A29</f>
        <v>3221000</v>
      </c>
      <c r="B29" t="str">
        <f>'Cleanup TMS'!Z29</f>
        <v>Other CMP Network Roadways</v>
      </c>
      <c r="C29" s="502">
        <f>IF('Cleanup TMS'!BE29="","",'Cleanup TMS'!BE29)</f>
        <v>0.11</v>
      </c>
      <c r="D29" s="502" t="str">
        <f>IF('Cleanup TMS'!BF29="","",'Cleanup TMS'!BF29)</f>
        <v>C</v>
      </c>
      <c r="E29" s="502">
        <f>IF('Cleanup TMS'!CH29="","",'Cleanup TMS'!CI29)</f>
        <v>0.15</v>
      </c>
      <c r="F29" s="502" t="str">
        <f>IF('Cleanup TMS'!CJ29="","",'Cleanup TMS'!CJ29)</f>
        <v>C</v>
      </c>
      <c r="G29" s="502" t="str">
        <f>IF('Cleanup TMS'!CP29="","",'Cleanup TMS'!CP29)</f>
        <v>NOT CONGESTED</v>
      </c>
      <c r="H29" s="503">
        <f>IF('Cleanup TMS'!L29="","",'Cleanup TMS'!L29)</f>
        <v>2</v>
      </c>
      <c r="I29" s="503">
        <f>IF('Cleanup TMS'!M29="","",'Cleanup TMS'!M29)</f>
        <v>2</v>
      </c>
      <c r="J29" s="503" t="str">
        <f>IF('Cleanup TMS'!Y29="","",'Cleanup TMS'!Y29)</f>
        <v>D</v>
      </c>
      <c r="K29">
        <v>0.11</v>
      </c>
    </row>
    <row r="30" spans="1:11">
      <c r="A30" s="501">
        <f>'Cleanup TMS'!A30</f>
        <v>3223000</v>
      </c>
      <c r="B30" t="str">
        <f>'Cleanup TMS'!Z30</f>
        <v>Other CMP Network Roadways</v>
      </c>
      <c r="C30" s="502">
        <f>IF('Cleanup TMS'!BE30="","",'Cleanup TMS'!BE30)</f>
        <v>0.2</v>
      </c>
      <c r="D30" s="502" t="str">
        <f>IF('Cleanup TMS'!BF30="","",'Cleanup TMS'!BF30)</f>
        <v>B</v>
      </c>
      <c r="E30" s="502">
        <f>IF('Cleanup TMS'!CH30="","",'Cleanup TMS'!CI30)</f>
        <v>0.27</v>
      </c>
      <c r="F30" s="502" t="str">
        <f>IF('Cleanup TMS'!CJ30="","",'Cleanup TMS'!CJ30)</f>
        <v>B</v>
      </c>
      <c r="G30" s="502" t="str">
        <f>IF('Cleanup TMS'!CP30="","",'Cleanup TMS'!CP30)</f>
        <v>NOT CONGESTED</v>
      </c>
      <c r="H30" s="503">
        <f>IF('Cleanup TMS'!L30="","",'Cleanup TMS'!L30)</f>
        <v>2</v>
      </c>
      <c r="I30" s="503">
        <f>IF('Cleanup TMS'!M30="","",'Cleanup TMS'!M30)</f>
        <v>2</v>
      </c>
      <c r="J30" s="503" t="str">
        <f>IF('Cleanup TMS'!Y30="","",'Cleanup TMS'!Y30)</f>
        <v>C</v>
      </c>
      <c r="K30">
        <v>0.2</v>
      </c>
    </row>
    <row r="31" spans="1:11">
      <c r="A31" s="501">
        <f>'Cleanup TMS'!A31</f>
        <v>3224000</v>
      </c>
      <c r="B31" t="str">
        <f>'Cleanup TMS'!Z31</f>
        <v>Other CMP Network Roadways</v>
      </c>
      <c r="C31" s="502">
        <f>IF('Cleanup TMS'!BE31="","",'Cleanup TMS'!BE31)</f>
        <v>0.49</v>
      </c>
      <c r="D31" s="502" t="str">
        <f>IF('Cleanup TMS'!BF31="","",'Cleanup TMS'!BF31)</f>
        <v>C</v>
      </c>
      <c r="E31" s="502">
        <f>IF('Cleanup TMS'!CH31="","",'Cleanup TMS'!CI31)</f>
        <v>0.66</v>
      </c>
      <c r="F31" s="502" t="str">
        <f>IF('Cleanup TMS'!CJ31="","",'Cleanup TMS'!CJ31)</f>
        <v>D</v>
      </c>
      <c r="G31" s="502" t="str">
        <f>IF('Cleanup TMS'!CP31="","",'Cleanup TMS'!CP31)</f>
        <v>NOT CONGESTED</v>
      </c>
      <c r="H31" s="503">
        <f>IF('Cleanup TMS'!L31="","",'Cleanup TMS'!L31)</f>
        <v>2</v>
      </c>
      <c r="I31" s="503">
        <f>IF('Cleanup TMS'!M31="","",'Cleanup TMS'!M31)</f>
        <v>2</v>
      </c>
      <c r="J31" s="503" t="str">
        <f>IF('Cleanup TMS'!Y31="","",'Cleanup TMS'!Y31)</f>
        <v>D</v>
      </c>
      <c r="K31">
        <v>0.49</v>
      </c>
    </row>
    <row r="32" spans="1:11">
      <c r="A32" s="501">
        <f>'Cleanup TMS'!A32</f>
        <v>3229000</v>
      </c>
      <c r="B32" t="str">
        <f>'Cleanup TMS'!Z32</f>
        <v>Other CMP Network Roadways</v>
      </c>
      <c r="C32" s="502">
        <f>IF('Cleanup TMS'!BE32="","",'Cleanup TMS'!BE32)</f>
        <v>0.04</v>
      </c>
      <c r="D32" s="502" t="str">
        <f>IF('Cleanup TMS'!BF32="","",'Cleanup TMS'!BF32)</f>
        <v>C</v>
      </c>
      <c r="E32" s="502">
        <f>IF('Cleanup TMS'!CH32="","",'Cleanup TMS'!CI32)</f>
        <v>0.05</v>
      </c>
      <c r="F32" s="502" t="str">
        <f>IF('Cleanup TMS'!CJ32="","",'Cleanup TMS'!CJ32)</f>
        <v>C</v>
      </c>
      <c r="G32" s="502" t="str">
        <f>IF('Cleanup TMS'!CP32="","",'Cleanup TMS'!CP32)</f>
        <v>NOT CONGESTED</v>
      </c>
      <c r="H32" s="503">
        <f>IF('Cleanup TMS'!L32="","",'Cleanup TMS'!L32)</f>
        <v>2</v>
      </c>
      <c r="I32" s="503">
        <f>IF('Cleanup TMS'!M32="","",'Cleanup TMS'!M32)</f>
        <v>2</v>
      </c>
      <c r="J32" s="503" t="str">
        <f>IF('Cleanup TMS'!Y32="","",'Cleanup TMS'!Y32)</f>
        <v>C</v>
      </c>
      <c r="K32">
        <v>0.04</v>
      </c>
    </row>
    <row r="33" spans="1:11">
      <c r="A33" s="501">
        <f>'Cleanup TMS'!A33</f>
        <v>3231000</v>
      </c>
      <c r="B33" t="str">
        <f>'Cleanup TMS'!Z33</f>
        <v>Other CMP Network Roadways</v>
      </c>
      <c r="C33" s="502">
        <f>IF('Cleanup TMS'!BE33="","",'Cleanup TMS'!BE33)</f>
        <v>0.08</v>
      </c>
      <c r="D33" s="502" t="str">
        <f>IF('Cleanup TMS'!BF33="","",'Cleanup TMS'!BF33)</f>
        <v>C</v>
      </c>
      <c r="E33" s="502">
        <f>IF('Cleanup TMS'!CH33="","",'Cleanup TMS'!CI33)</f>
        <v>0.08</v>
      </c>
      <c r="F33" s="502" t="str">
        <f>IF('Cleanup TMS'!CJ33="","",'Cleanup TMS'!CJ33)</f>
        <v>C</v>
      </c>
      <c r="G33" s="502" t="str">
        <f>IF('Cleanup TMS'!CP33="","",'Cleanup TMS'!CP33)</f>
        <v>NOT CONGESTED</v>
      </c>
      <c r="H33" s="503">
        <f>IF('Cleanup TMS'!L33="","",'Cleanup TMS'!L33)</f>
        <v>2</v>
      </c>
      <c r="I33" s="503">
        <f>IF('Cleanup TMS'!M33="","",'Cleanup TMS'!M33)</f>
        <v>2</v>
      </c>
      <c r="J33" s="503" t="str">
        <f>IF('Cleanup TMS'!Y33="","",'Cleanup TMS'!Y33)</f>
        <v>D</v>
      </c>
      <c r="K33">
        <v>0.08</v>
      </c>
    </row>
    <row r="34" spans="1:11">
      <c r="A34" s="501">
        <f>'Cleanup TMS'!A34</f>
        <v>3245100</v>
      </c>
      <c r="B34" t="str">
        <f>'Cleanup TMS'!Z34</f>
        <v>Other CMP Network Roadways</v>
      </c>
      <c r="C34" s="502">
        <f>IF('Cleanup TMS'!BE34="","",'Cleanup TMS'!BE34)</f>
        <v>0.35</v>
      </c>
      <c r="D34" s="502" t="str">
        <f>IF('Cleanup TMS'!BF34="","",'Cleanup TMS'!BF34)</f>
        <v>C</v>
      </c>
      <c r="E34" s="502">
        <f>IF('Cleanup TMS'!CH34="","",'Cleanup TMS'!CI34)</f>
        <v>0.35</v>
      </c>
      <c r="F34" s="502" t="str">
        <f>IF('Cleanup TMS'!CJ34="","",'Cleanup TMS'!CJ34)</f>
        <v>C</v>
      </c>
      <c r="G34" s="502" t="str">
        <f>IF('Cleanup TMS'!CP34="","",'Cleanup TMS'!CP34)</f>
        <v>NOT CONGESTED</v>
      </c>
      <c r="H34" s="503">
        <f>IF('Cleanup TMS'!L34="","",'Cleanup TMS'!L34)</f>
        <v>2</v>
      </c>
      <c r="I34" s="503">
        <f>IF('Cleanup TMS'!M34="","",'Cleanup TMS'!M34)</f>
        <v>2</v>
      </c>
      <c r="J34" s="503" t="str">
        <f>IF('Cleanup TMS'!Y34="","",'Cleanup TMS'!Y34)</f>
        <v>D</v>
      </c>
      <c r="K34">
        <v>0.35</v>
      </c>
    </row>
    <row r="35" spans="1:11">
      <c r="A35" s="501">
        <f>'Cleanup TMS'!A35</f>
        <v>3245110</v>
      </c>
      <c r="B35" t="str">
        <f>'Cleanup TMS'!Z35</f>
        <v>Other CMP Network Roadways</v>
      </c>
      <c r="C35" s="502">
        <f>IF('Cleanup TMS'!BE35="","",'Cleanup TMS'!BE35)</f>
        <v>0.16</v>
      </c>
      <c r="D35" s="502" t="str">
        <f>IF('Cleanup TMS'!BF35="","",'Cleanup TMS'!BF35)</f>
        <v>B</v>
      </c>
      <c r="E35" s="502">
        <f>IF('Cleanup TMS'!CH35="","",'Cleanup TMS'!CI35)</f>
        <v>0.19</v>
      </c>
      <c r="F35" s="502" t="str">
        <f>IF('Cleanup TMS'!CJ35="","",'Cleanup TMS'!CJ35)</f>
        <v>B</v>
      </c>
      <c r="G35" s="502" t="str">
        <f>IF('Cleanup TMS'!CP35="","",'Cleanup TMS'!CP35)</f>
        <v>NOT CONGESTED</v>
      </c>
      <c r="H35" s="503">
        <f>IF('Cleanup TMS'!L35="","",'Cleanup TMS'!L35)</f>
        <v>2</v>
      </c>
      <c r="I35" s="503">
        <f>IF('Cleanup TMS'!M35="","",'Cleanup TMS'!M35)</f>
        <v>2</v>
      </c>
      <c r="J35" s="503" t="str">
        <f>IF('Cleanup TMS'!Y35="","",'Cleanup TMS'!Y35)</f>
        <v>D</v>
      </c>
      <c r="K35">
        <v>0.16</v>
      </c>
    </row>
    <row r="36" spans="1:11">
      <c r="A36" s="501">
        <f>'Cleanup TMS'!A36</f>
        <v>3248000</v>
      </c>
      <c r="B36" t="str">
        <f>'Cleanup TMS'!Z36</f>
        <v>Other CMP Network Roadways</v>
      </c>
      <c r="C36" s="502">
        <f>IF('Cleanup TMS'!BE36="","",'Cleanup TMS'!BE36)</f>
        <v>0.26</v>
      </c>
      <c r="D36" s="502" t="str">
        <f>IF('Cleanup TMS'!BF36="","",'Cleanup TMS'!BF36)</f>
        <v>C</v>
      </c>
      <c r="E36" s="502">
        <f>IF('Cleanup TMS'!CH36="","",'Cleanup TMS'!CI36)</f>
        <v>0.27</v>
      </c>
      <c r="F36" s="502" t="str">
        <f>IF('Cleanup TMS'!CJ36="","",'Cleanup TMS'!CJ36)</f>
        <v>C</v>
      </c>
      <c r="G36" s="502" t="str">
        <f>IF('Cleanup TMS'!CP36="","",'Cleanup TMS'!CP36)</f>
        <v>NOT CONGESTED</v>
      </c>
      <c r="H36" s="503">
        <f>IF('Cleanup TMS'!L36="","",'Cleanup TMS'!L36)</f>
        <v>4</v>
      </c>
      <c r="I36" s="503">
        <f>IF('Cleanup TMS'!M36="","",'Cleanup TMS'!M36)</f>
        <v>4</v>
      </c>
      <c r="J36" s="503" t="str">
        <f>IF('Cleanup TMS'!Y36="","",'Cleanup TMS'!Y36)</f>
        <v>D</v>
      </c>
      <c r="K36">
        <v>0.26</v>
      </c>
    </row>
    <row r="37" spans="1:11">
      <c r="A37" s="501">
        <f>'Cleanup TMS'!A37</f>
        <v>3248102</v>
      </c>
      <c r="B37" t="str">
        <f>'Cleanup TMS'!Z37</f>
        <v>Other CMP Network Roadways</v>
      </c>
      <c r="C37" s="502">
        <f>IF('Cleanup TMS'!BE37="","",'Cleanup TMS'!BE37)</f>
        <v>0.21</v>
      </c>
      <c r="D37" s="502" t="str">
        <f>IF('Cleanup TMS'!BF37="","",'Cleanup TMS'!BF37)</f>
        <v>C</v>
      </c>
      <c r="E37" s="502">
        <f>IF('Cleanup TMS'!CH37="","",'Cleanup TMS'!CI37)</f>
        <v>0.26</v>
      </c>
      <c r="F37" s="502" t="str">
        <f>IF('Cleanup TMS'!CJ37="","",'Cleanup TMS'!CJ37)</f>
        <v>C</v>
      </c>
      <c r="G37" s="502" t="str">
        <f>IF('Cleanup TMS'!CP37="","",'Cleanup TMS'!CP37)</f>
        <v>NOT CONGESTED</v>
      </c>
      <c r="H37" s="503">
        <f>IF('Cleanup TMS'!L37="","",'Cleanup TMS'!L37)</f>
        <v>2</v>
      </c>
      <c r="I37" s="503">
        <f>IF('Cleanup TMS'!M37="","",'Cleanup TMS'!M37)</f>
        <v>2</v>
      </c>
      <c r="J37" s="503" t="str">
        <f>IF('Cleanup TMS'!Y37="","",'Cleanup TMS'!Y37)</f>
        <v>D</v>
      </c>
      <c r="K37">
        <v>0.21</v>
      </c>
    </row>
    <row r="38" spans="1:11">
      <c r="A38" s="501">
        <f>'Cleanup TMS'!A38</f>
        <v>3248105</v>
      </c>
      <c r="B38" t="str">
        <f>'Cleanup TMS'!Z38</f>
        <v>Other CMP Network Roadways</v>
      </c>
      <c r="C38" s="502">
        <f>IF('Cleanup TMS'!BE38="","",'Cleanup TMS'!BE38)</f>
        <v>0.43</v>
      </c>
      <c r="D38" s="502" t="str">
        <f>IF('Cleanup TMS'!BF38="","",'Cleanup TMS'!BF38)</f>
        <v>C</v>
      </c>
      <c r="E38" s="502">
        <f>IF('Cleanup TMS'!CH38="","",'Cleanup TMS'!CI38)</f>
        <v>0.55000000000000004</v>
      </c>
      <c r="F38" s="502" t="str">
        <f>IF('Cleanup TMS'!CJ38="","",'Cleanup TMS'!CJ38)</f>
        <v>C</v>
      </c>
      <c r="G38" s="502" t="str">
        <f>IF('Cleanup TMS'!CP38="","",'Cleanup TMS'!CP38)</f>
        <v>NOT CONGESTED</v>
      </c>
      <c r="H38" s="503">
        <f>IF('Cleanup TMS'!L38="","",'Cleanup TMS'!L38)</f>
        <v>2</v>
      </c>
      <c r="I38" s="503">
        <f>IF('Cleanup TMS'!M38="","",'Cleanup TMS'!M38)</f>
        <v>2</v>
      </c>
      <c r="J38" s="503" t="str">
        <f>IF('Cleanup TMS'!Y38="","",'Cleanup TMS'!Y38)</f>
        <v>D</v>
      </c>
      <c r="K38">
        <v>0.43</v>
      </c>
    </row>
    <row r="39" spans="1:11">
      <c r="A39" s="501">
        <f>'Cleanup TMS'!A39</f>
        <v>3248110</v>
      </c>
      <c r="B39" t="str">
        <f>'Cleanup TMS'!Z39</f>
        <v>Other CMP Network Roadways</v>
      </c>
      <c r="C39" s="502">
        <f>IF('Cleanup TMS'!BE39="","",'Cleanup TMS'!BE39)</f>
        <v>0.36</v>
      </c>
      <c r="D39" s="502" t="str">
        <f>IF('Cleanup TMS'!BF39="","",'Cleanup TMS'!BF39)</f>
        <v>C</v>
      </c>
      <c r="E39" s="502">
        <f>IF('Cleanup TMS'!CH39="","",'Cleanup TMS'!CI39)</f>
        <v>0.38</v>
      </c>
      <c r="F39" s="502" t="str">
        <f>IF('Cleanup TMS'!CJ39="","",'Cleanup TMS'!CJ39)</f>
        <v>C</v>
      </c>
      <c r="G39" s="502" t="str">
        <f>IF('Cleanup TMS'!CP39="","",'Cleanup TMS'!CP39)</f>
        <v>NOT CONGESTED</v>
      </c>
      <c r="H39" s="503">
        <f>IF('Cleanup TMS'!L39="","",'Cleanup TMS'!L39)</f>
        <v>2</v>
      </c>
      <c r="I39" s="503">
        <f>IF('Cleanup TMS'!M39="","",'Cleanup TMS'!M39)</f>
        <v>2</v>
      </c>
      <c r="J39" s="503" t="str">
        <f>IF('Cleanup TMS'!Y39="","",'Cleanup TMS'!Y39)</f>
        <v>D</v>
      </c>
      <c r="K39">
        <v>0.36</v>
      </c>
    </row>
    <row r="40" spans="1:11">
      <c r="A40" s="501">
        <f>'Cleanup TMS'!A40</f>
        <v>3248400</v>
      </c>
      <c r="B40" t="str">
        <f>'Cleanup TMS'!Z40</f>
        <v>Other CMP Network Roadways</v>
      </c>
      <c r="C40" s="502">
        <f>IF('Cleanup TMS'!BE40="","",'Cleanup TMS'!BE40)</f>
        <v>0.93</v>
      </c>
      <c r="D40" s="502" t="str">
        <f>IF('Cleanup TMS'!BF40="","",'Cleanup TMS'!BF40)</f>
        <v>C</v>
      </c>
      <c r="E40" s="502">
        <f>IF('Cleanup TMS'!CH40="","",'Cleanup TMS'!CI40)</f>
        <v>1.07</v>
      </c>
      <c r="F40" s="502" t="str">
        <f>IF('Cleanup TMS'!CJ40="","",'Cleanup TMS'!CJ40)</f>
        <v>D</v>
      </c>
      <c r="G40" s="502" t="str">
        <f>IF('Cleanup TMS'!CP40="","",'Cleanup TMS'!CP40)</f>
        <v>CONGESTED (2025)</v>
      </c>
      <c r="H40" s="503">
        <f>IF('Cleanup TMS'!L40="","",'Cleanup TMS'!L40)</f>
        <v>2</v>
      </c>
      <c r="I40" s="503">
        <f>IF('Cleanup TMS'!M40="","",'Cleanup TMS'!M40)</f>
        <v>2</v>
      </c>
      <c r="J40" s="503" t="str">
        <f>IF('Cleanup TMS'!Y40="","",'Cleanup TMS'!Y40)</f>
        <v>C</v>
      </c>
      <c r="K40">
        <v>0.93</v>
      </c>
    </row>
    <row r="41" spans="1:11">
      <c r="A41" s="501">
        <f>'Cleanup TMS'!A41</f>
        <v>3253100</v>
      </c>
      <c r="B41" t="str">
        <f>'Cleanup TMS'!Z41</f>
        <v>NHS Non-Interstate</v>
      </c>
      <c r="C41" s="502">
        <f>IF('Cleanup TMS'!BE41="","",'Cleanup TMS'!BE41)</f>
        <v>0.49</v>
      </c>
      <c r="D41" s="502" t="str">
        <f>IF('Cleanup TMS'!BF41="","",'Cleanup TMS'!BF41)</f>
        <v>B</v>
      </c>
      <c r="E41" s="502">
        <f>IF('Cleanup TMS'!CH41="","",'Cleanup TMS'!CI41)</f>
        <v>0.52</v>
      </c>
      <c r="F41" s="502" t="str">
        <f>IF('Cleanup TMS'!CJ41="","",'Cleanup TMS'!CJ41)</f>
        <v>B</v>
      </c>
      <c r="G41" s="502" t="str">
        <f>IF('Cleanup TMS'!CP41="","",'Cleanup TMS'!CP41)</f>
        <v>NOT CONGESTED</v>
      </c>
      <c r="H41" s="503">
        <f>IF('Cleanup TMS'!L41="","",'Cleanup TMS'!L41)</f>
        <v>2</v>
      </c>
      <c r="I41" s="503">
        <f>IF('Cleanup TMS'!M41="","",'Cleanup TMS'!M41)</f>
        <v>2</v>
      </c>
      <c r="J41" s="503" t="str">
        <f>IF('Cleanup TMS'!Y41="","",'Cleanup TMS'!Y41)</f>
        <v>C</v>
      </c>
      <c r="K41">
        <v>0.49</v>
      </c>
    </row>
    <row r="42" spans="1:11">
      <c r="A42" s="501">
        <f>'Cleanup TMS'!A42</f>
        <v>3253110</v>
      </c>
      <c r="B42" t="str">
        <f>'Cleanup TMS'!Z42</f>
        <v>NHS Non-Interstate</v>
      </c>
      <c r="C42" s="502">
        <f>IF('Cleanup TMS'!BE42="","",'Cleanup TMS'!BE42)</f>
        <v>0.35</v>
      </c>
      <c r="D42" s="502" t="str">
        <f>IF('Cleanup TMS'!BF42="","",'Cleanup TMS'!BF42)</f>
        <v>C</v>
      </c>
      <c r="E42" s="502">
        <f>IF('Cleanup TMS'!CH42="","",'Cleanup TMS'!CI42)</f>
        <v>0.37</v>
      </c>
      <c r="F42" s="502" t="str">
        <f>IF('Cleanup TMS'!CJ42="","",'Cleanup TMS'!CJ42)</f>
        <v>C</v>
      </c>
      <c r="G42" s="502" t="str">
        <f>IF('Cleanup TMS'!CP42="","",'Cleanup TMS'!CP42)</f>
        <v>NOT CONGESTED</v>
      </c>
      <c r="H42" s="503">
        <f>IF('Cleanup TMS'!L42="","",'Cleanup TMS'!L42)</f>
        <v>2</v>
      </c>
      <c r="I42" s="503">
        <f>IF('Cleanup TMS'!M42="","",'Cleanup TMS'!M42)</f>
        <v>2</v>
      </c>
      <c r="J42" s="503" t="str">
        <f>IF('Cleanup TMS'!Y42="","",'Cleanup TMS'!Y42)</f>
        <v>C</v>
      </c>
      <c r="K42">
        <v>0.35</v>
      </c>
    </row>
    <row r="43" spans="1:11">
      <c r="A43" s="501">
        <f>'Cleanup TMS'!A43</f>
        <v>3253130</v>
      </c>
      <c r="B43" t="str">
        <f>'Cleanup TMS'!Z43</f>
        <v>NHS Non-Interstate</v>
      </c>
      <c r="C43" s="502">
        <f>IF('Cleanup TMS'!BE43="","",'Cleanup TMS'!BE43)</f>
        <v>0.67</v>
      </c>
      <c r="D43" s="502" t="str">
        <f>IF('Cleanup TMS'!BF43="","",'Cleanup TMS'!BF43)</f>
        <v>D</v>
      </c>
      <c r="E43" s="502">
        <f>IF('Cleanup TMS'!CH43="","",'Cleanup TMS'!CI43)</f>
        <v>0.71</v>
      </c>
      <c r="F43" s="502" t="str">
        <f>IF('Cleanup TMS'!CJ43="","",'Cleanup TMS'!CJ43)</f>
        <v>D</v>
      </c>
      <c r="G43" s="502" t="str">
        <f>IF('Cleanup TMS'!CP43="","",'Cleanup TMS'!CP43)</f>
        <v>NOT CONGESTED</v>
      </c>
      <c r="H43" s="503">
        <f>IF('Cleanup TMS'!L43="","",'Cleanup TMS'!L43)</f>
        <v>2</v>
      </c>
      <c r="I43" s="503">
        <f>IF('Cleanup TMS'!M43="","",'Cleanup TMS'!M43)</f>
        <v>2</v>
      </c>
      <c r="J43" s="503" t="str">
        <f>IF('Cleanup TMS'!Y43="","",'Cleanup TMS'!Y43)</f>
        <v>D</v>
      </c>
      <c r="K43">
        <v>0.67</v>
      </c>
    </row>
    <row r="44" spans="1:11">
      <c r="A44" s="501">
        <f>'Cleanup TMS'!A44</f>
        <v>3253140</v>
      </c>
      <c r="B44" t="str">
        <f>'Cleanup TMS'!Z44</f>
        <v>NHS Non-Interstate</v>
      </c>
      <c r="C44" s="502">
        <f>IF('Cleanup TMS'!BE44="","",'Cleanup TMS'!BE44)</f>
        <v>0.46</v>
      </c>
      <c r="D44" s="502" t="str">
        <f>IF('Cleanup TMS'!BF44="","",'Cleanup TMS'!BF44)</f>
        <v>C</v>
      </c>
      <c r="E44" s="502">
        <f>IF('Cleanup TMS'!CH44="","",'Cleanup TMS'!CI44)</f>
        <v>0.48</v>
      </c>
      <c r="F44" s="502" t="str">
        <f>IF('Cleanup TMS'!CJ44="","",'Cleanup TMS'!CJ44)</f>
        <v>C</v>
      </c>
      <c r="G44" s="502" t="str">
        <f>IF('Cleanup TMS'!CP44="","",'Cleanup TMS'!CP44)</f>
        <v>NOT CONGESTED</v>
      </c>
      <c r="H44" s="503">
        <f>IF('Cleanup TMS'!L44="","",'Cleanup TMS'!L44)</f>
        <v>2</v>
      </c>
      <c r="I44" s="503">
        <f>IF('Cleanup TMS'!M44="","",'Cleanup TMS'!M44)</f>
        <v>2</v>
      </c>
      <c r="J44" s="503" t="str">
        <f>IF('Cleanup TMS'!Y44="","",'Cleanup TMS'!Y44)</f>
        <v>D</v>
      </c>
      <c r="K44">
        <v>0.46</v>
      </c>
    </row>
    <row r="45" spans="1:11">
      <c r="A45" s="501">
        <f>'Cleanup TMS'!A45</f>
        <v>3253150</v>
      </c>
      <c r="B45" t="str">
        <f>'Cleanup TMS'!Z45</f>
        <v>NHS Non-Interstate</v>
      </c>
      <c r="C45" s="502">
        <f>IF('Cleanup TMS'!BE45="","",'Cleanup TMS'!BE45)</f>
        <v>0.21</v>
      </c>
      <c r="D45" s="502" t="str">
        <f>IF('Cleanup TMS'!BF45="","",'Cleanup TMS'!BF45)</f>
        <v>C</v>
      </c>
      <c r="E45" s="502">
        <f>IF('Cleanup TMS'!CH45="","",'Cleanup TMS'!CI45)</f>
        <v>0.22</v>
      </c>
      <c r="F45" s="502" t="str">
        <f>IF('Cleanup TMS'!CJ45="","",'Cleanup TMS'!CJ45)</f>
        <v>C</v>
      </c>
      <c r="G45" s="502" t="str">
        <f>IF('Cleanup TMS'!CP45="","",'Cleanup TMS'!CP45)</f>
        <v>NOT CONGESTED</v>
      </c>
      <c r="H45" s="503">
        <f>IF('Cleanup TMS'!L45="","",'Cleanup TMS'!L45)</f>
        <v>4</v>
      </c>
      <c r="I45" s="503">
        <f>IF('Cleanup TMS'!M45="","",'Cleanup TMS'!M45)</f>
        <v>4</v>
      </c>
      <c r="J45" s="503" t="str">
        <f>IF('Cleanup TMS'!Y45="","",'Cleanup TMS'!Y45)</f>
        <v>D</v>
      </c>
      <c r="K45">
        <v>0.21</v>
      </c>
    </row>
    <row r="46" spans="1:11">
      <c r="A46" s="501">
        <f>'Cleanup TMS'!A46</f>
        <v>3253170</v>
      </c>
      <c r="B46" t="str">
        <f>'Cleanup TMS'!Z46</f>
        <v>NHS Non-Interstate</v>
      </c>
      <c r="C46" s="502">
        <f>IF('Cleanup TMS'!BE46="","",'Cleanup TMS'!BE46)</f>
        <v>0.26</v>
      </c>
      <c r="D46" s="502" t="str">
        <f>IF('Cleanup TMS'!BF46="","",'Cleanup TMS'!BF46)</f>
        <v>C</v>
      </c>
      <c r="E46" s="502">
        <f>IF('Cleanup TMS'!CH46="","",'Cleanup TMS'!CI46)</f>
        <v>0.28000000000000003</v>
      </c>
      <c r="F46" s="502" t="str">
        <f>IF('Cleanup TMS'!CJ46="","",'Cleanup TMS'!CJ46)</f>
        <v>C</v>
      </c>
      <c r="G46" s="502" t="str">
        <f>IF('Cleanup TMS'!CP46="","",'Cleanup TMS'!CP46)</f>
        <v>NOT CONGESTED</v>
      </c>
      <c r="H46" s="503">
        <f>IF('Cleanup TMS'!L46="","",'Cleanup TMS'!L46)</f>
        <v>2</v>
      </c>
      <c r="I46" s="503">
        <f>IF('Cleanup TMS'!M46="","",'Cleanup TMS'!M46)</f>
        <v>2</v>
      </c>
      <c r="J46" s="503" t="str">
        <f>IF('Cleanup TMS'!Y46="","",'Cleanup TMS'!Y46)</f>
        <v>D</v>
      </c>
      <c r="K46">
        <v>0.26</v>
      </c>
    </row>
    <row r="47" spans="1:11">
      <c r="A47" s="501">
        <f>'Cleanup TMS'!A47</f>
        <v>3253180</v>
      </c>
      <c r="B47" t="str">
        <f>'Cleanup TMS'!Z47</f>
        <v>NHS Non-Interstate</v>
      </c>
      <c r="C47" s="502">
        <f>IF('Cleanup TMS'!BE47="","",'Cleanup TMS'!BE47)</f>
        <v>0.91</v>
      </c>
      <c r="D47" s="502" t="str">
        <f>IF('Cleanup TMS'!BF47="","",'Cleanup TMS'!BF47)</f>
        <v>C</v>
      </c>
      <c r="E47" s="502">
        <f>IF('Cleanup TMS'!CH47="","",'Cleanup TMS'!CI47)</f>
        <v>1.1599999999999999</v>
      </c>
      <c r="F47" s="502" t="str">
        <f>IF('Cleanup TMS'!CJ47="","",'Cleanup TMS'!CJ47)</f>
        <v>F</v>
      </c>
      <c r="G47" s="502" t="str">
        <f>IF('Cleanup TMS'!CP47="","",'Cleanup TMS'!CP47)</f>
        <v>EXTREMELY (2025)</v>
      </c>
      <c r="H47" s="503">
        <f>IF('Cleanup TMS'!L47="","",'Cleanup TMS'!L47)</f>
        <v>2</v>
      </c>
      <c r="I47" s="503">
        <f>IF('Cleanup TMS'!M47="","",'Cleanup TMS'!M47)</f>
        <v>2</v>
      </c>
      <c r="J47" s="503" t="str">
        <f>IF('Cleanup TMS'!Y47="","",'Cleanup TMS'!Y47)</f>
        <v>D</v>
      </c>
      <c r="K47">
        <v>0.91</v>
      </c>
    </row>
    <row r="48" spans="1:11">
      <c r="A48" s="501">
        <f>'Cleanup TMS'!A48</f>
        <v>3253190</v>
      </c>
      <c r="B48" t="str">
        <f>'Cleanup TMS'!Z48</f>
        <v>NHS Non-Interstate</v>
      </c>
      <c r="C48" s="502">
        <f>IF('Cleanup TMS'!BE48="","",'Cleanup TMS'!BE48)</f>
        <v>0.56000000000000005</v>
      </c>
      <c r="D48" s="502" t="str">
        <f>IF('Cleanup TMS'!BF48="","",'Cleanup TMS'!BF48)</f>
        <v>D</v>
      </c>
      <c r="E48" s="502">
        <f>IF('Cleanup TMS'!CH48="","",'Cleanup TMS'!CI48)</f>
        <v>0.59</v>
      </c>
      <c r="F48" s="502" t="str">
        <f>IF('Cleanup TMS'!CJ48="","",'Cleanup TMS'!CJ48)</f>
        <v>D</v>
      </c>
      <c r="G48" s="502" t="str">
        <f>IF('Cleanup TMS'!CP48="","",'Cleanup TMS'!CP48)</f>
        <v>NOT CONGESTED</v>
      </c>
      <c r="H48" s="503">
        <f>IF('Cleanup TMS'!L48="","",'Cleanup TMS'!L48)</f>
        <v>2</v>
      </c>
      <c r="I48" s="503">
        <f>IF('Cleanup TMS'!M48="","",'Cleanup TMS'!M48)</f>
        <v>2</v>
      </c>
      <c r="J48" s="503" t="str">
        <f>IF('Cleanup TMS'!Y48="","",'Cleanup TMS'!Y48)</f>
        <v>D</v>
      </c>
      <c r="K48">
        <v>0.56000000000000005</v>
      </c>
    </row>
    <row r="49" spans="1:11">
      <c r="A49" s="501">
        <f>'Cleanup TMS'!A49</f>
        <v>3253200</v>
      </c>
      <c r="B49" t="str">
        <f>'Cleanup TMS'!Z49</f>
        <v>NHS Non-Interstate</v>
      </c>
      <c r="C49" s="502">
        <f>IF('Cleanup TMS'!BE49="","",'Cleanup TMS'!BE49)</f>
        <v>0.99</v>
      </c>
      <c r="D49" s="502" t="str">
        <f>IF('Cleanup TMS'!BF49="","",'Cleanup TMS'!BF49)</f>
        <v>D</v>
      </c>
      <c r="E49" s="502">
        <f>IF('Cleanup TMS'!CH49="","",'Cleanup TMS'!CI49)</f>
        <v>1.04</v>
      </c>
      <c r="F49" s="502" t="str">
        <f>IF('Cleanup TMS'!CJ49="","",'Cleanup TMS'!CJ49)</f>
        <v>F</v>
      </c>
      <c r="G49" s="502" t="str">
        <f>IF('Cleanup TMS'!CP49="","",'Cleanup TMS'!CP49)</f>
        <v>CONGESTED (2025)</v>
      </c>
      <c r="H49" s="503">
        <f>IF('Cleanup TMS'!L49="","",'Cleanup TMS'!L49)</f>
        <v>2</v>
      </c>
      <c r="I49" s="503">
        <f>IF('Cleanup TMS'!M49="","",'Cleanup TMS'!M49)</f>
        <v>2</v>
      </c>
      <c r="J49" s="503" t="str">
        <f>IF('Cleanup TMS'!Y49="","",'Cleanup TMS'!Y49)</f>
        <v>D</v>
      </c>
      <c r="K49">
        <v>0.99</v>
      </c>
    </row>
    <row r="50" spans="1:11">
      <c r="A50" s="501">
        <f>'Cleanup TMS'!A50</f>
        <v>3253210</v>
      </c>
      <c r="B50" t="str">
        <f>'Cleanup TMS'!Z50</f>
        <v>NHS Non-Interstate</v>
      </c>
      <c r="C50" s="502">
        <f>IF('Cleanup TMS'!BE50="","",'Cleanup TMS'!BE50)</f>
        <v>1.07</v>
      </c>
      <c r="D50" s="502" t="str">
        <f>IF('Cleanup TMS'!BF50="","",'Cleanup TMS'!BF50)</f>
        <v>F</v>
      </c>
      <c r="E50" s="502">
        <f>IF('Cleanup TMS'!CH50="","",'Cleanup TMS'!CI50)</f>
        <v>1.29</v>
      </c>
      <c r="F50" s="502" t="str">
        <f>IF('Cleanup TMS'!CJ50="","",'Cleanup TMS'!CJ50)</f>
        <v>F</v>
      </c>
      <c r="G50" s="502" t="str">
        <f>IF('Cleanup TMS'!CP50="","",'Cleanup TMS'!CP50)</f>
        <v>EXTREMELY (2025)</v>
      </c>
      <c r="H50" s="503">
        <f>IF('Cleanup TMS'!L50="","",'Cleanup TMS'!L50)</f>
        <v>2</v>
      </c>
      <c r="I50" s="503">
        <f>IF('Cleanup TMS'!M50="","",'Cleanup TMS'!M50)</f>
        <v>2</v>
      </c>
      <c r="J50" s="503" t="str">
        <f>IF('Cleanup TMS'!Y50="","",'Cleanup TMS'!Y50)</f>
        <v>D</v>
      </c>
      <c r="K50">
        <v>1.07</v>
      </c>
    </row>
    <row r="51" spans="1:11">
      <c r="A51" s="501">
        <f>'Cleanup TMS'!A51</f>
        <v>3253220</v>
      </c>
      <c r="B51" t="str">
        <f>'Cleanup TMS'!Z51</f>
        <v>NHS Non-Interstate</v>
      </c>
      <c r="C51" s="502">
        <f>IF('Cleanup TMS'!BE51="","",'Cleanup TMS'!BE51)</f>
        <v>0.76</v>
      </c>
      <c r="D51" s="502" t="str">
        <f>IF('Cleanup TMS'!BF51="","",'Cleanup TMS'!BF51)</f>
        <v>D</v>
      </c>
      <c r="E51" s="502">
        <f>IF('Cleanup TMS'!CH51="","",'Cleanup TMS'!CI51)</f>
        <v>0.81</v>
      </c>
      <c r="F51" s="502" t="str">
        <f>IF('Cleanup TMS'!CJ51="","",'Cleanup TMS'!CJ51)</f>
        <v>D</v>
      </c>
      <c r="G51" s="502" t="str">
        <f>IF('Cleanup TMS'!CP51="","",'Cleanup TMS'!CP51)</f>
        <v>NOT CONGESTED</v>
      </c>
      <c r="H51" s="503">
        <f>IF('Cleanup TMS'!L51="","",'Cleanup TMS'!L51)</f>
        <v>2</v>
      </c>
      <c r="I51" s="503">
        <f>IF('Cleanup TMS'!M51="","",'Cleanup TMS'!M51)</f>
        <v>2</v>
      </c>
      <c r="J51" s="503" t="str">
        <f>IF('Cleanup TMS'!Y51="","",'Cleanup TMS'!Y51)</f>
        <v>D</v>
      </c>
      <c r="K51">
        <v>0.76</v>
      </c>
    </row>
    <row r="52" spans="1:11">
      <c r="A52" s="501">
        <f>'Cleanup TMS'!A52</f>
        <v>3253230</v>
      </c>
      <c r="B52" t="str">
        <f>'Cleanup TMS'!Z52</f>
        <v>NHS Non-Interstate</v>
      </c>
      <c r="C52" s="502">
        <f>IF('Cleanup TMS'!BE52="","",'Cleanup TMS'!BE52)</f>
        <v>0.46</v>
      </c>
      <c r="D52" s="502" t="str">
        <f>IF('Cleanup TMS'!BF52="","",'Cleanup TMS'!BF52)</f>
        <v>C</v>
      </c>
      <c r="E52" s="502">
        <f>IF('Cleanup TMS'!CH52="","",'Cleanup TMS'!CI52)</f>
        <v>0.48</v>
      </c>
      <c r="F52" s="502" t="str">
        <f>IF('Cleanup TMS'!CJ52="","",'Cleanup TMS'!CJ52)</f>
        <v>C</v>
      </c>
      <c r="G52" s="502" t="str">
        <f>IF('Cleanup TMS'!CP52="","",'Cleanup TMS'!CP52)</f>
        <v>NOT CONGESTED</v>
      </c>
      <c r="H52" s="503">
        <f>IF('Cleanup TMS'!L52="","",'Cleanup TMS'!L52)</f>
        <v>4</v>
      </c>
      <c r="I52" s="503">
        <f>IF('Cleanup TMS'!M52="","",'Cleanup TMS'!M52)</f>
        <v>4</v>
      </c>
      <c r="J52" s="503" t="str">
        <f>IF('Cleanup TMS'!Y52="","",'Cleanup TMS'!Y52)</f>
        <v>D</v>
      </c>
      <c r="K52">
        <v>0.46</v>
      </c>
    </row>
    <row r="53" spans="1:11">
      <c r="A53" s="501">
        <f>'Cleanup TMS'!A53</f>
        <v>3253240</v>
      </c>
      <c r="B53" t="str">
        <f>'Cleanup TMS'!Z53</f>
        <v>NHS Non-Interstate</v>
      </c>
      <c r="C53" s="502">
        <f>IF('Cleanup TMS'!BE53="","",'Cleanup TMS'!BE53)</f>
        <v>0.56999999999999995</v>
      </c>
      <c r="D53" s="502" t="str">
        <f>IF('Cleanup TMS'!BF53="","",'Cleanup TMS'!BF53)</f>
        <v>C</v>
      </c>
      <c r="E53" s="502">
        <f>IF('Cleanup TMS'!CH53="","",'Cleanup TMS'!CI53)</f>
        <v>0.59</v>
      </c>
      <c r="F53" s="502" t="str">
        <f>IF('Cleanup TMS'!CJ53="","",'Cleanup TMS'!CJ53)</f>
        <v>C</v>
      </c>
      <c r="G53" s="502" t="str">
        <f>IF('Cleanup TMS'!CP53="","",'Cleanup TMS'!CP53)</f>
        <v>NOT CONGESTED</v>
      </c>
      <c r="H53" s="503">
        <f>IF('Cleanup TMS'!L53="","",'Cleanup TMS'!L53)</f>
        <v>4</v>
      </c>
      <c r="I53" s="503">
        <f>IF('Cleanup TMS'!M53="","",'Cleanup TMS'!M53)</f>
        <v>4</v>
      </c>
      <c r="J53" s="503" t="str">
        <f>IF('Cleanup TMS'!Y53="","",'Cleanup TMS'!Y53)</f>
        <v>D</v>
      </c>
      <c r="K53">
        <v>0.56999999999999995</v>
      </c>
    </row>
    <row r="54" spans="1:11">
      <c r="A54" s="501">
        <f>'Cleanup TMS'!A54</f>
        <v>3253250</v>
      </c>
      <c r="B54" t="str">
        <f>'Cleanup TMS'!Z54</f>
        <v>NHS Non-Interstate</v>
      </c>
      <c r="C54" s="502">
        <f>IF('Cleanup TMS'!BE54="","",'Cleanup TMS'!BE54)</f>
        <v>0.68</v>
      </c>
      <c r="D54" s="502" t="str">
        <f>IF('Cleanup TMS'!BF54="","",'Cleanup TMS'!BF54)</f>
        <v>D</v>
      </c>
      <c r="E54" s="502">
        <f>IF('Cleanup TMS'!CH54="","",'Cleanup TMS'!CI54)</f>
        <v>0.85</v>
      </c>
      <c r="F54" s="502" t="str">
        <f>IF('Cleanup TMS'!CJ54="","",'Cleanup TMS'!CJ54)</f>
        <v>D</v>
      </c>
      <c r="G54" s="502" t="str">
        <f>IF('Cleanup TMS'!CP54="","",'Cleanup TMS'!CP54)</f>
        <v>NOT CONGESTED</v>
      </c>
      <c r="H54" s="503">
        <f>IF('Cleanup TMS'!L54="","",'Cleanup TMS'!L54)</f>
        <v>4</v>
      </c>
      <c r="I54" s="503">
        <f>IF('Cleanup TMS'!M54="","",'Cleanup TMS'!M54)</f>
        <v>4</v>
      </c>
      <c r="J54" s="503" t="str">
        <f>IF('Cleanup TMS'!Y54="","",'Cleanup TMS'!Y54)</f>
        <v>D</v>
      </c>
      <c r="K54">
        <v>0.68</v>
      </c>
    </row>
    <row r="55" spans="1:11">
      <c r="A55" s="501">
        <f>'Cleanup TMS'!A55</f>
        <v>3253270</v>
      </c>
      <c r="B55" t="str">
        <f>'Cleanup TMS'!Z55</f>
        <v>NHS Non-Interstate</v>
      </c>
      <c r="C55" s="502">
        <f>IF('Cleanup TMS'!BE55="","",'Cleanup TMS'!BE55)</f>
        <v>0.63</v>
      </c>
      <c r="D55" s="502" t="str">
        <f>IF('Cleanup TMS'!BF55="","",'Cleanup TMS'!BF55)</f>
        <v>C</v>
      </c>
      <c r="E55" s="502">
        <f>IF('Cleanup TMS'!CH55="","",'Cleanup TMS'!CI55)</f>
        <v>0.66</v>
      </c>
      <c r="F55" s="502" t="str">
        <f>IF('Cleanup TMS'!CJ55="","",'Cleanup TMS'!CJ55)</f>
        <v>C</v>
      </c>
      <c r="G55" s="502" t="str">
        <f>IF('Cleanup TMS'!CP55="","",'Cleanup TMS'!CP55)</f>
        <v>NOT CONGESTED</v>
      </c>
      <c r="H55" s="503">
        <f>IF('Cleanup TMS'!L55="","",'Cleanup TMS'!L55)</f>
        <v>4</v>
      </c>
      <c r="I55" s="503">
        <f>IF('Cleanup TMS'!M55="","",'Cleanup TMS'!M55)</f>
        <v>4</v>
      </c>
      <c r="J55" s="503" t="str">
        <f>IF('Cleanup TMS'!Y55="","",'Cleanup TMS'!Y55)</f>
        <v>D</v>
      </c>
      <c r="K55">
        <v>0.63</v>
      </c>
    </row>
    <row r="56" spans="1:11">
      <c r="A56" s="501">
        <f>'Cleanup TMS'!A56</f>
        <v>3253280</v>
      </c>
      <c r="B56" t="str">
        <f>'Cleanup TMS'!Z56</f>
        <v>NHS Non-Interstate</v>
      </c>
      <c r="C56" s="502">
        <f>IF('Cleanup TMS'!BE56="","",'Cleanup TMS'!BE56)</f>
        <v>0.63</v>
      </c>
      <c r="D56" s="502" t="str">
        <f>IF('Cleanup TMS'!BF56="","",'Cleanup TMS'!BF56)</f>
        <v>C</v>
      </c>
      <c r="E56" s="502">
        <f>IF('Cleanup TMS'!CH56="","",'Cleanup TMS'!CI56)</f>
        <v>0.66</v>
      </c>
      <c r="F56" s="502" t="str">
        <f>IF('Cleanup TMS'!CJ56="","",'Cleanup TMS'!CJ56)</f>
        <v>C</v>
      </c>
      <c r="G56" s="502" t="str">
        <f>IF('Cleanup TMS'!CP56="","",'Cleanup TMS'!CP56)</f>
        <v>NOT CONGESTED</v>
      </c>
      <c r="H56" s="503">
        <f>IF('Cleanup TMS'!L56="","",'Cleanup TMS'!L56)</f>
        <v>4</v>
      </c>
      <c r="I56" s="503">
        <f>IF('Cleanup TMS'!M56="","",'Cleanup TMS'!M56)</f>
        <v>4</v>
      </c>
      <c r="J56" s="503" t="str">
        <f>IF('Cleanup TMS'!Y56="","",'Cleanup TMS'!Y56)</f>
        <v>D</v>
      </c>
      <c r="K56">
        <v>0.63</v>
      </c>
    </row>
    <row r="57" spans="1:11">
      <c r="A57" s="501">
        <f>'Cleanup TMS'!A57</f>
        <v>3253290</v>
      </c>
      <c r="B57" t="str">
        <f>'Cleanup TMS'!Z57</f>
        <v>NHS Non-Interstate</v>
      </c>
      <c r="C57" s="502">
        <f>IF('Cleanup TMS'!BE57="","",'Cleanup TMS'!BE57)</f>
        <v>0.63</v>
      </c>
      <c r="D57" s="502" t="str">
        <f>IF('Cleanup TMS'!BF57="","",'Cleanup TMS'!BF57)</f>
        <v>C</v>
      </c>
      <c r="E57" s="502">
        <f>IF('Cleanup TMS'!CH57="","",'Cleanup TMS'!CI57)</f>
        <v>0.66</v>
      </c>
      <c r="F57" s="502" t="str">
        <f>IF('Cleanup TMS'!CJ57="","",'Cleanup TMS'!CJ57)</f>
        <v>C</v>
      </c>
      <c r="G57" s="502" t="str">
        <f>IF('Cleanup TMS'!CP57="","",'Cleanup TMS'!CP57)</f>
        <v>NOT CONGESTED</v>
      </c>
      <c r="H57" s="503">
        <f>IF('Cleanup TMS'!L57="","",'Cleanup TMS'!L57)</f>
        <v>4</v>
      </c>
      <c r="I57" s="503">
        <f>IF('Cleanup TMS'!M57="","",'Cleanup TMS'!M57)</f>
        <v>4</v>
      </c>
      <c r="J57" s="503" t="str">
        <f>IF('Cleanup TMS'!Y57="","",'Cleanup TMS'!Y57)</f>
        <v>D</v>
      </c>
      <c r="K57">
        <v>0.63</v>
      </c>
    </row>
    <row r="58" spans="1:11">
      <c r="A58" s="501">
        <f>'Cleanup TMS'!A58</f>
        <v>3269100</v>
      </c>
      <c r="B58" t="str">
        <f>'Cleanup TMS'!Z58</f>
        <v>Other CMP Network Roadways</v>
      </c>
      <c r="C58" s="502">
        <f>IF('Cleanup TMS'!BE58="","",'Cleanup TMS'!BE58)</f>
        <v>0.08</v>
      </c>
      <c r="D58" s="502" t="str">
        <f>IF('Cleanup TMS'!BF58="","",'Cleanup TMS'!BF58)</f>
        <v>C</v>
      </c>
      <c r="E58" s="502">
        <f>IF('Cleanup TMS'!CH58="","",'Cleanup TMS'!CI58)</f>
        <v>0.08</v>
      </c>
      <c r="F58" s="502" t="str">
        <f>IF('Cleanup TMS'!CJ58="","",'Cleanup TMS'!CJ58)</f>
        <v>C</v>
      </c>
      <c r="G58" s="502" t="str">
        <f>IF('Cleanup TMS'!CP58="","",'Cleanup TMS'!CP58)</f>
        <v>NOT CONGESTED</v>
      </c>
      <c r="H58" s="503">
        <f>IF('Cleanup TMS'!L58="","",'Cleanup TMS'!L58)</f>
        <v>2</v>
      </c>
      <c r="I58" s="503">
        <f>IF('Cleanup TMS'!M58="","",'Cleanup TMS'!M58)</f>
        <v>2</v>
      </c>
      <c r="J58" s="503" t="str">
        <f>IF('Cleanup TMS'!Y58="","",'Cleanup TMS'!Y58)</f>
        <v>D</v>
      </c>
      <c r="K58">
        <v>0.08</v>
      </c>
    </row>
    <row r="59" spans="1:11">
      <c r="A59" s="501">
        <f>'Cleanup TMS'!A59</f>
        <v>3290000</v>
      </c>
      <c r="B59" t="str">
        <f>'Cleanup TMS'!Z59</f>
        <v>Other CMP Network Roadways</v>
      </c>
      <c r="C59" s="502">
        <f>IF('Cleanup TMS'!BE59="","",'Cleanup TMS'!BE59)</f>
        <v>0.61</v>
      </c>
      <c r="D59" s="502" t="str">
        <f>IF('Cleanup TMS'!BF59="","",'Cleanup TMS'!BF59)</f>
        <v>D</v>
      </c>
      <c r="E59" s="502">
        <f>IF('Cleanup TMS'!CH59="","",'Cleanup TMS'!CI59)</f>
        <v>0.81</v>
      </c>
      <c r="F59" s="502" t="str">
        <f>IF('Cleanup TMS'!CJ59="","",'Cleanup TMS'!CJ59)</f>
        <v>D</v>
      </c>
      <c r="G59" s="502" t="str">
        <f>IF('Cleanup TMS'!CP59="","",'Cleanup TMS'!CP59)</f>
        <v>NOT CONGESTED</v>
      </c>
      <c r="H59" s="503">
        <f>IF('Cleanup TMS'!L59="","",'Cleanup TMS'!L59)</f>
        <v>4</v>
      </c>
      <c r="I59" s="503">
        <f>IF('Cleanup TMS'!M59="","",'Cleanup TMS'!M59)</f>
        <v>4</v>
      </c>
      <c r="J59" s="503" t="str">
        <f>IF('Cleanup TMS'!Y59="","",'Cleanup TMS'!Y59)</f>
        <v>D</v>
      </c>
      <c r="K59">
        <v>0.61</v>
      </c>
    </row>
    <row r="60" spans="1:11">
      <c r="A60" s="501">
        <f>'Cleanup TMS'!A60</f>
        <v>3293100</v>
      </c>
      <c r="B60" t="str">
        <f>'Cleanup TMS'!Z60</f>
        <v>Other CMP Network Roadways</v>
      </c>
      <c r="C60" s="502">
        <f>IF('Cleanup TMS'!BE60="","",'Cleanup TMS'!BE60)</f>
        <v>0.11</v>
      </c>
      <c r="D60" s="502" t="str">
        <f>IF('Cleanup TMS'!BF60="","",'Cleanup TMS'!BF60)</f>
        <v>C</v>
      </c>
      <c r="E60" s="502">
        <f>IF('Cleanup TMS'!CH60="","",'Cleanup TMS'!CI60)</f>
        <v>0.12</v>
      </c>
      <c r="F60" s="502" t="str">
        <f>IF('Cleanup TMS'!CJ60="","",'Cleanup TMS'!CJ60)</f>
        <v>C</v>
      </c>
      <c r="G60" s="502" t="str">
        <f>IF('Cleanup TMS'!CP60="","",'Cleanup TMS'!CP60)</f>
        <v>NOT CONGESTED</v>
      </c>
      <c r="H60" s="503">
        <f>IF('Cleanup TMS'!L60="","",'Cleanup TMS'!L60)</f>
        <v>2</v>
      </c>
      <c r="I60" s="503">
        <f>IF('Cleanup TMS'!M60="","",'Cleanup TMS'!M60)</f>
        <v>2</v>
      </c>
      <c r="J60" s="503" t="str">
        <f>IF('Cleanup TMS'!Y60="","",'Cleanup TMS'!Y60)</f>
        <v>C</v>
      </c>
      <c r="K60">
        <v>0.11</v>
      </c>
    </row>
    <row r="61" spans="1:11">
      <c r="A61" s="501">
        <f>'Cleanup TMS'!A61</f>
        <v>3293110</v>
      </c>
      <c r="B61" t="str">
        <f>'Cleanup TMS'!Z61</f>
        <v>Other CMP Network Roadways</v>
      </c>
      <c r="C61" s="502">
        <f>IF('Cleanup TMS'!BE61="","",'Cleanup TMS'!BE61)</f>
        <v>0.13</v>
      </c>
      <c r="D61" s="502" t="str">
        <f>IF('Cleanup TMS'!BF61="","",'Cleanup TMS'!BF61)</f>
        <v>C</v>
      </c>
      <c r="E61" s="502">
        <f>IF('Cleanup TMS'!CH61="","",'Cleanup TMS'!CI61)</f>
        <v>0.16</v>
      </c>
      <c r="F61" s="502" t="str">
        <f>IF('Cleanup TMS'!CJ61="","",'Cleanup TMS'!CJ61)</f>
        <v>C</v>
      </c>
      <c r="G61" s="502" t="str">
        <f>IF('Cleanup TMS'!CP61="","",'Cleanup TMS'!CP61)</f>
        <v>NOT CONGESTED</v>
      </c>
      <c r="H61" s="503">
        <f>IF('Cleanup TMS'!L61="","",'Cleanup TMS'!L61)</f>
        <v>2</v>
      </c>
      <c r="I61" s="503">
        <f>IF('Cleanup TMS'!M61="","",'Cleanup TMS'!M61)</f>
        <v>2</v>
      </c>
      <c r="J61" s="503" t="str">
        <f>IF('Cleanup TMS'!Y61="","",'Cleanup TMS'!Y61)</f>
        <v>D</v>
      </c>
      <c r="K61">
        <v>0.13</v>
      </c>
    </row>
    <row r="62" spans="1:11">
      <c r="A62" s="501">
        <f>'Cleanup TMS'!A62</f>
        <v>3297000</v>
      </c>
      <c r="B62" t="str">
        <f>'Cleanup TMS'!Z62</f>
        <v>Other CMP Network Roadways</v>
      </c>
      <c r="C62" s="502">
        <f>IF('Cleanup TMS'!BE62="","",'Cleanup TMS'!BE62)</f>
        <v>0.04</v>
      </c>
      <c r="D62" s="502" t="str">
        <f>IF('Cleanup TMS'!BF62="","",'Cleanup TMS'!BF62)</f>
        <v>C</v>
      </c>
      <c r="E62" s="502">
        <f>IF('Cleanup TMS'!CH62="","",'Cleanup TMS'!CI62)</f>
        <v>0.04</v>
      </c>
      <c r="F62" s="502" t="str">
        <f>IF('Cleanup TMS'!CJ62="","",'Cleanup TMS'!CJ62)</f>
        <v>C</v>
      </c>
      <c r="G62" s="502" t="str">
        <f>IF('Cleanup TMS'!CP62="","",'Cleanup TMS'!CP62)</f>
        <v>NOT CONGESTED</v>
      </c>
      <c r="H62" s="503">
        <f>IF('Cleanup TMS'!L62="","",'Cleanup TMS'!L62)</f>
        <v>2</v>
      </c>
      <c r="I62" s="503">
        <f>IF('Cleanup TMS'!M62="","",'Cleanup TMS'!M62)</f>
        <v>2</v>
      </c>
      <c r="J62" s="503" t="str">
        <f>IF('Cleanup TMS'!Y62="","",'Cleanup TMS'!Y62)</f>
        <v>C</v>
      </c>
      <c r="K62">
        <v>0.04</v>
      </c>
    </row>
    <row r="63" spans="1:11">
      <c r="A63" s="501">
        <f>'Cleanup TMS'!A63</f>
        <v>3300000</v>
      </c>
      <c r="B63" t="str">
        <f>'Cleanup TMS'!Z63</f>
        <v>Other CMP Network Roadways</v>
      </c>
      <c r="C63" s="502">
        <f>IF('Cleanup TMS'!BE63="","",'Cleanup TMS'!BE63)</f>
        <v>0.64</v>
      </c>
      <c r="D63" s="502" t="str">
        <f>IF('Cleanup TMS'!BF63="","",'Cleanup TMS'!BF63)</f>
        <v>D</v>
      </c>
      <c r="E63" s="502">
        <f>IF('Cleanup TMS'!CH63="","",'Cleanup TMS'!CI63)</f>
        <v>0.67</v>
      </c>
      <c r="F63" s="502" t="str">
        <f>IF('Cleanup TMS'!CJ63="","",'Cleanup TMS'!CJ63)</f>
        <v>D</v>
      </c>
      <c r="G63" s="502" t="str">
        <f>IF('Cleanup TMS'!CP63="","",'Cleanup TMS'!CP63)</f>
        <v>NOT CONGESTED</v>
      </c>
      <c r="H63" s="503">
        <f>IF('Cleanup TMS'!L63="","",'Cleanup TMS'!L63)</f>
        <v>4</v>
      </c>
      <c r="I63" s="503">
        <f>IF('Cleanup TMS'!M63="","",'Cleanup TMS'!M63)</f>
        <v>4</v>
      </c>
      <c r="J63" s="503" t="str">
        <f>IF('Cleanup TMS'!Y63="","",'Cleanup TMS'!Y63)</f>
        <v>D</v>
      </c>
      <c r="K63">
        <v>0.64</v>
      </c>
    </row>
    <row r="64" spans="1:11">
      <c r="A64" s="501">
        <f>'Cleanup TMS'!A64</f>
        <v>3301000</v>
      </c>
      <c r="B64" t="str">
        <f>'Cleanup TMS'!Z64</f>
        <v>Other CMP Network Roadways</v>
      </c>
      <c r="C64" s="502">
        <f>IF('Cleanup TMS'!BE64="","",'Cleanup TMS'!BE64)</f>
        <v>0.35</v>
      </c>
      <c r="D64" s="502" t="str">
        <f>IF('Cleanup TMS'!BF64="","",'Cleanup TMS'!BF64)</f>
        <v>C</v>
      </c>
      <c r="E64" s="502">
        <f>IF('Cleanup TMS'!CH64="","",'Cleanup TMS'!CI64)</f>
        <v>0.39</v>
      </c>
      <c r="F64" s="502" t="str">
        <f>IF('Cleanup TMS'!CJ64="","",'Cleanup TMS'!CJ64)</f>
        <v>C</v>
      </c>
      <c r="G64" s="502" t="str">
        <f>IF('Cleanup TMS'!CP64="","",'Cleanup TMS'!CP64)</f>
        <v>NOT CONGESTED</v>
      </c>
      <c r="H64" s="503">
        <f>IF('Cleanup TMS'!L64="","",'Cleanup TMS'!L64)</f>
        <v>2</v>
      </c>
      <c r="I64" s="503">
        <f>IF('Cleanup TMS'!M64="","",'Cleanup TMS'!M64)</f>
        <v>2</v>
      </c>
      <c r="J64" s="503" t="str">
        <f>IF('Cleanup TMS'!Y64="","",'Cleanup TMS'!Y64)</f>
        <v>D</v>
      </c>
      <c r="K64">
        <v>0.35</v>
      </c>
    </row>
    <row r="65" spans="1:11">
      <c r="A65" s="501">
        <f>'Cleanup TMS'!A65</f>
        <v>3525100</v>
      </c>
      <c r="B65" t="str">
        <f>'Cleanup TMS'!Z65</f>
        <v>Other CMP Network Roadways</v>
      </c>
      <c r="C65" s="502">
        <f>IF('Cleanup TMS'!BE65="","",'Cleanup TMS'!BE65)</f>
        <v>0.27</v>
      </c>
      <c r="D65" s="502" t="str">
        <f>IF('Cleanup TMS'!BF65="","",'Cleanup TMS'!BF65)</f>
        <v>B</v>
      </c>
      <c r="E65" s="502">
        <f>IF('Cleanup TMS'!CH65="","",'Cleanup TMS'!CI65)</f>
        <v>0.33</v>
      </c>
      <c r="F65" s="502" t="str">
        <f>IF('Cleanup TMS'!CJ65="","",'Cleanup TMS'!CJ65)</f>
        <v>B</v>
      </c>
      <c r="G65" s="502" t="str">
        <f>IF('Cleanup TMS'!CP65="","",'Cleanup TMS'!CP65)</f>
        <v>NOT CONGESTED</v>
      </c>
      <c r="H65" s="503">
        <f>IF('Cleanup TMS'!L65="","",'Cleanup TMS'!L65)</f>
        <v>2</v>
      </c>
      <c r="I65" s="503">
        <f>IF('Cleanup TMS'!M65="","",'Cleanup TMS'!M65)</f>
        <v>2</v>
      </c>
      <c r="J65" s="503" t="str">
        <f>IF('Cleanup TMS'!Y65="","",'Cleanup TMS'!Y65)</f>
        <v>D</v>
      </c>
      <c r="K65">
        <v>0.27</v>
      </c>
    </row>
    <row r="66" spans="1:11">
      <c r="A66" s="501">
        <f>'Cleanup TMS'!A66</f>
        <v>3525110</v>
      </c>
      <c r="B66" t="str">
        <f>'Cleanup TMS'!Z66</f>
        <v>Other CMP Network Roadways</v>
      </c>
      <c r="C66" s="502">
        <f>IF('Cleanup TMS'!BE66="","",'Cleanup TMS'!BE66)</f>
        <v>0.28999999999999998</v>
      </c>
      <c r="D66" s="502" t="str">
        <f>IF('Cleanup TMS'!BF66="","",'Cleanup TMS'!BF66)</f>
        <v>B</v>
      </c>
      <c r="E66" s="502">
        <f>IF('Cleanup TMS'!CH66="","",'Cleanup TMS'!CI66)</f>
        <v>0.42</v>
      </c>
      <c r="F66" s="502" t="str">
        <f>IF('Cleanup TMS'!CJ66="","",'Cleanup TMS'!CJ66)</f>
        <v>B</v>
      </c>
      <c r="G66" s="502" t="str">
        <f>IF('Cleanup TMS'!CP66="","",'Cleanup TMS'!CP66)</f>
        <v>NOT CONGESTED</v>
      </c>
      <c r="H66" s="503">
        <f>IF('Cleanup TMS'!L66="","",'Cleanup TMS'!L66)</f>
        <v>2</v>
      </c>
      <c r="I66" s="503">
        <f>IF('Cleanup TMS'!M66="","",'Cleanup TMS'!M66)</f>
        <v>2</v>
      </c>
      <c r="J66" s="503" t="str">
        <f>IF('Cleanup TMS'!Y66="","",'Cleanup TMS'!Y66)</f>
        <v>D</v>
      </c>
      <c r="K66">
        <v>0.28999999999999998</v>
      </c>
    </row>
    <row r="67" spans="1:11">
      <c r="A67" s="501">
        <f>'Cleanup TMS'!A67</f>
        <v>3526000</v>
      </c>
      <c r="B67" t="str">
        <f>'Cleanup TMS'!Z67</f>
        <v>Other CMP Network Roadways</v>
      </c>
      <c r="C67" s="502">
        <f>IF('Cleanup TMS'!BE67="","",'Cleanup TMS'!BE67)</f>
        <v>0.41</v>
      </c>
      <c r="D67" s="502" t="str">
        <f>IF('Cleanup TMS'!BF67="","",'Cleanup TMS'!BF67)</f>
        <v>B</v>
      </c>
      <c r="E67" s="502">
        <f>IF('Cleanup TMS'!CH67="","",'Cleanup TMS'!CI67)</f>
        <v>0.53</v>
      </c>
      <c r="F67" s="502" t="str">
        <f>IF('Cleanup TMS'!CJ67="","",'Cleanup TMS'!CJ67)</f>
        <v>B</v>
      </c>
      <c r="G67" s="502" t="str">
        <f>IF('Cleanup TMS'!CP67="","",'Cleanup TMS'!CP67)</f>
        <v>NOT CONGESTED</v>
      </c>
      <c r="H67" s="503">
        <f>IF('Cleanup TMS'!L67="","",'Cleanup TMS'!L67)</f>
        <v>2</v>
      </c>
      <c r="I67" s="503">
        <f>IF('Cleanup TMS'!M67="","",'Cleanup TMS'!M67)</f>
        <v>2</v>
      </c>
      <c r="J67" s="503" t="str">
        <f>IF('Cleanup TMS'!Y67="","",'Cleanup TMS'!Y67)</f>
        <v>C</v>
      </c>
      <c r="K67">
        <v>0.41</v>
      </c>
    </row>
    <row r="68" spans="1:11">
      <c r="A68" s="501">
        <f>'Cleanup TMS'!A68</f>
        <v>3528120</v>
      </c>
      <c r="B68" t="str">
        <f>'Cleanup TMS'!Z68</f>
        <v>Other CMP Network Roadways</v>
      </c>
      <c r="C68" s="502">
        <f>IF('Cleanup TMS'!BE68="","",'Cleanup TMS'!BE68)</f>
        <v>0.26</v>
      </c>
      <c r="D68" s="502" t="str">
        <f>IF('Cleanup TMS'!BF68="","",'Cleanup TMS'!BF68)</f>
        <v>C</v>
      </c>
      <c r="E68" s="502">
        <f>IF('Cleanup TMS'!CH68="","",'Cleanup TMS'!CI68)</f>
        <v>0.28000000000000003</v>
      </c>
      <c r="F68" s="502" t="str">
        <f>IF('Cleanup TMS'!CJ68="","",'Cleanup TMS'!CJ68)</f>
        <v>C</v>
      </c>
      <c r="G68" s="502" t="str">
        <f>IF('Cleanup TMS'!CP68="","",'Cleanup TMS'!CP68)</f>
        <v>NOT CONGESTED</v>
      </c>
      <c r="H68" s="503">
        <f>IF('Cleanup TMS'!L68="","",'Cleanup TMS'!L68)</f>
        <v>2</v>
      </c>
      <c r="I68" s="503">
        <f>IF('Cleanup TMS'!M68="","",'Cleanup TMS'!M68)</f>
        <v>2</v>
      </c>
      <c r="J68" s="503" t="str">
        <f>IF('Cleanup TMS'!Y68="","",'Cleanup TMS'!Y68)</f>
        <v>D</v>
      </c>
      <c r="K68">
        <v>0.26</v>
      </c>
    </row>
    <row r="69" spans="1:11">
      <c r="A69" s="501">
        <f>'Cleanup TMS'!A69</f>
        <v>3529000</v>
      </c>
      <c r="B69" t="str">
        <f>'Cleanup TMS'!Z69</f>
        <v>Other CMP Network Roadways</v>
      </c>
      <c r="C69" s="502">
        <f>IF('Cleanup TMS'!BE69="","",'Cleanup TMS'!BE69)</f>
        <v>0.04</v>
      </c>
      <c r="D69" s="502" t="str">
        <f>IF('Cleanup TMS'!BF69="","",'Cleanup TMS'!BF69)</f>
        <v>B</v>
      </c>
      <c r="E69" s="502">
        <f>IF('Cleanup TMS'!CH69="","",'Cleanup TMS'!CI69)</f>
        <v>0.05</v>
      </c>
      <c r="F69" s="502" t="str">
        <f>IF('Cleanup TMS'!CJ69="","",'Cleanup TMS'!CJ69)</f>
        <v>B</v>
      </c>
      <c r="G69" s="502" t="str">
        <f>IF('Cleanup TMS'!CP69="","",'Cleanup TMS'!CP69)</f>
        <v>NOT CONGESTED</v>
      </c>
      <c r="H69" s="503">
        <f>IF('Cleanup TMS'!L69="","",'Cleanup TMS'!L69)</f>
        <v>2</v>
      </c>
      <c r="I69" s="503">
        <f>IF('Cleanup TMS'!M69="","",'Cleanup TMS'!M69)</f>
        <v>2</v>
      </c>
      <c r="J69" s="503" t="str">
        <f>IF('Cleanup TMS'!Y69="","",'Cleanup TMS'!Y69)</f>
        <v>D</v>
      </c>
      <c r="K69">
        <v>0.04</v>
      </c>
    </row>
    <row r="70" spans="1:11">
      <c r="A70" s="501">
        <f>'Cleanup TMS'!A70</f>
        <v>3530000</v>
      </c>
      <c r="B70" t="str">
        <f>'Cleanup TMS'!Z70</f>
        <v>Other CMP Network Roadways</v>
      </c>
      <c r="C70" s="502">
        <f>IF('Cleanup TMS'!BE70="","",'Cleanup TMS'!BE70)</f>
        <v>0.17</v>
      </c>
      <c r="D70" s="502" t="str">
        <f>IF('Cleanup TMS'!BF70="","",'Cleanup TMS'!BF70)</f>
        <v>B</v>
      </c>
      <c r="E70" s="502">
        <f>IF('Cleanup TMS'!CH70="","",'Cleanup TMS'!CI70)</f>
        <v>0.18</v>
      </c>
      <c r="F70" s="502" t="str">
        <f>IF('Cleanup TMS'!CJ70="","",'Cleanup TMS'!CJ70)</f>
        <v>B</v>
      </c>
      <c r="G70" s="502" t="str">
        <f>IF('Cleanup TMS'!CP70="","",'Cleanup TMS'!CP70)</f>
        <v>NOT CONGESTED</v>
      </c>
      <c r="H70" s="503">
        <f>IF('Cleanup TMS'!L70="","",'Cleanup TMS'!L70)</f>
        <v>2</v>
      </c>
      <c r="I70" s="503">
        <f>IF('Cleanup TMS'!M70="","",'Cleanup TMS'!M70)</f>
        <v>2</v>
      </c>
      <c r="J70" s="503" t="str">
        <f>IF('Cleanup TMS'!Y70="","",'Cleanup TMS'!Y70)</f>
        <v>D</v>
      </c>
      <c r="K70">
        <v>0.17</v>
      </c>
    </row>
    <row r="71" spans="1:11">
      <c r="A71" s="501">
        <f>'Cleanup TMS'!A71</f>
        <v>3532000</v>
      </c>
      <c r="B71" t="str">
        <f>'Cleanup TMS'!Z71</f>
        <v>Other CMP Network Roadways</v>
      </c>
      <c r="C71" s="502">
        <f>IF('Cleanup TMS'!BE71="","",'Cleanup TMS'!BE71)</f>
        <v>0.1</v>
      </c>
      <c r="D71" s="502" t="str">
        <f>IF('Cleanup TMS'!BF71="","",'Cleanup TMS'!BF71)</f>
        <v>B</v>
      </c>
      <c r="E71" s="502">
        <f>IF('Cleanup TMS'!CH71="","",'Cleanup TMS'!CI71)</f>
        <v>0.12</v>
      </c>
      <c r="F71" s="502" t="str">
        <f>IF('Cleanup TMS'!CJ71="","",'Cleanup TMS'!CJ71)</f>
        <v>B</v>
      </c>
      <c r="G71" s="502" t="str">
        <f>IF('Cleanup TMS'!CP71="","",'Cleanup TMS'!CP71)</f>
        <v>NOT CONGESTED</v>
      </c>
      <c r="H71" s="503">
        <f>IF('Cleanup TMS'!L71="","",'Cleanup TMS'!L71)</f>
        <v>2</v>
      </c>
      <c r="I71" s="503">
        <f>IF('Cleanup TMS'!M71="","",'Cleanup TMS'!M71)</f>
        <v>2</v>
      </c>
      <c r="J71" s="503" t="str">
        <f>IF('Cleanup TMS'!Y71="","",'Cleanup TMS'!Y71)</f>
        <v>C</v>
      </c>
      <c r="K71">
        <v>0.1</v>
      </c>
    </row>
    <row r="72" spans="1:11">
      <c r="A72" s="501">
        <f>'Cleanup TMS'!A72</f>
        <v>3533100</v>
      </c>
      <c r="B72" t="str">
        <f>'Cleanup TMS'!Z72</f>
        <v>Other CMP Network Roadways</v>
      </c>
      <c r="C72" s="502">
        <f>IF('Cleanup TMS'!BE72="","",'Cleanup TMS'!BE72)</f>
        <v>0.62</v>
      </c>
      <c r="D72" s="502" t="str">
        <f>IF('Cleanup TMS'!BF72="","",'Cleanup TMS'!BF72)</f>
        <v>D</v>
      </c>
      <c r="E72" s="502">
        <f>IF('Cleanup TMS'!CH72="","",'Cleanup TMS'!CI72)</f>
        <v>0.66</v>
      </c>
      <c r="F72" s="502" t="str">
        <f>IF('Cleanup TMS'!CJ72="","",'Cleanup TMS'!CJ72)</f>
        <v>D</v>
      </c>
      <c r="G72" s="502" t="str">
        <f>IF('Cleanup TMS'!CP72="","",'Cleanup TMS'!CP72)</f>
        <v>NOT CONGESTED</v>
      </c>
      <c r="H72" s="503">
        <f>IF('Cleanup TMS'!L72="","",'Cleanup TMS'!L72)</f>
        <v>2</v>
      </c>
      <c r="I72" s="503">
        <f>IF('Cleanup TMS'!M72="","",'Cleanup TMS'!M72)</f>
        <v>2</v>
      </c>
      <c r="J72" s="503" t="str">
        <f>IF('Cleanup TMS'!Y72="","",'Cleanup TMS'!Y72)</f>
        <v>D</v>
      </c>
      <c r="K72">
        <v>0.62</v>
      </c>
    </row>
    <row r="73" spans="1:11">
      <c r="A73" s="501">
        <f>'Cleanup TMS'!A73</f>
        <v>3534100</v>
      </c>
      <c r="B73" t="str">
        <f>'Cleanup TMS'!Z73</f>
        <v>Other CMP Network Roadways</v>
      </c>
      <c r="C73" s="502">
        <f>IF('Cleanup TMS'!BE73="","",'Cleanup TMS'!BE73)</f>
        <v>0.08</v>
      </c>
      <c r="D73" s="502" t="str">
        <f>IF('Cleanup TMS'!BF73="","",'Cleanup TMS'!BF73)</f>
        <v>B</v>
      </c>
      <c r="E73" s="502">
        <f>IF('Cleanup TMS'!CH73="","",'Cleanup TMS'!CI73)</f>
        <v>0.09</v>
      </c>
      <c r="F73" s="502" t="str">
        <f>IF('Cleanup TMS'!CJ73="","",'Cleanup TMS'!CJ73)</f>
        <v>B</v>
      </c>
      <c r="G73" s="502" t="str">
        <f>IF('Cleanup TMS'!CP73="","",'Cleanup TMS'!CP73)</f>
        <v>NOT CONGESTED</v>
      </c>
      <c r="H73" s="503">
        <f>IF('Cleanup TMS'!L73="","",'Cleanup TMS'!L73)</f>
        <v>2</v>
      </c>
      <c r="I73" s="503">
        <f>IF('Cleanup TMS'!M73="","",'Cleanup TMS'!M73)</f>
        <v>2</v>
      </c>
      <c r="J73" s="503" t="str">
        <f>IF('Cleanup TMS'!Y73="","",'Cleanup TMS'!Y73)</f>
        <v>D</v>
      </c>
      <c r="K73">
        <v>0.08</v>
      </c>
    </row>
    <row r="74" spans="1:11">
      <c r="A74" s="501">
        <f>'Cleanup TMS'!A74</f>
        <v>3534110</v>
      </c>
      <c r="B74" t="str">
        <f>'Cleanup TMS'!Z74</f>
        <v>Other CMP Network Roadways</v>
      </c>
      <c r="C74" s="502">
        <f>IF('Cleanup TMS'!BE74="","",'Cleanup TMS'!BE74)</f>
        <v>7.0000000000000007E-2</v>
      </c>
      <c r="D74" s="502" t="str">
        <f>IF('Cleanup TMS'!BF74="","",'Cleanup TMS'!BF74)</f>
        <v>B</v>
      </c>
      <c r="E74" s="502">
        <f>IF('Cleanup TMS'!CH74="","",'Cleanup TMS'!CI74)</f>
        <v>0.08</v>
      </c>
      <c r="F74" s="502" t="str">
        <f>IF('Cleanup TMS'!CJ74="","",'Cleanup TMS'!CJ74)</f>
        <v>B</v>
      </c>
      <c r="G74" s="502" t="str">
        <f>IF('Cleanup TMS'!CP74="","",'Cleanup TMS'!CP74)</f>
        <v>NOT CONGESTED</v>
      </c>
      <c r="H74" s="503">
        <f>IF('Cleanup TMS'!L74="","",'Cleanup TMS'!L74)</f>
        <v>2</v>
      </c>
      <c r="I74" s="503">
        <f>IF('Cleanup TMS'!M74="","",'Cleanup TMS'!M74)</f>
        <v>2</v>
      </c>
      <c r="J74" s="503" t="str">
        <f>IF('Cleanup TMS'!Y74="","",'Cleanup TMS'!Y74)</f>
        <v>D</v>
      </c>
      <c r="K74">
        <v>7.0000000000000007E-2</v>
      </c>
    </row>
    <row r="75" spans="1:11">
      <c r="A75" s="501">
        <f>'Cleanup TMS'!A75</f>
        <v>3535100</v>
      </c>
      <c r="B75" t="str">
        <f>'Cleanup TMS'!Z75</f>
        <v>Other CMP Network Roadways</v>
      </c>
      <c r="C75" s="502">
        <f>IF('Cleanup TMS'!BE75="","",'Cleanup TMS'!BE75)</f>
        <v>0.11</v>
      </c>
      <c r="D75" s="502" t="str">
        <f>IF('Cleanup TMS'!BF75="","",'Cleanup TMS'!BF75)</f>
        <v>B</v>
      </c>
      <c r="E75" s="502">
        <f>IF('Cleanup TMS'!CH75="","",'Cleanup TMS'!CI75)</f>
        <v>0.12</v>
      </c>
      <c r="F75" s="502" t="str">
        <f>IF('Cleanup TMS'!CJ75="","",'Cleanup TMS'!CJ75)</f>
        <v>B</v>
      </c>
      <c r="G75" s="502" t="str">
        <f>IF('Cleanup TMS'!CP75="","",'Cleanup TMS'!CP75)</f>
        <v>NOT CONGESTED</v>
      </c>
      <c r="H75" s="503">
        <f>IF('Cleanup TMS'!L75="","",'Cleanup TMS'!L75)</f>
        <v>2</v>
      </c>
      <c r="I75" s="503">
        <f>IF('Cleanup TMS'!M75="","",'Cleanup TMS'!M75)</f>
        <v>2</v>
      </c>
      <c r="J75" s="503" t="str">
        <f>IF('Cleanup TMS'!Y75="","",'Cleanup TMS'!Y75)</f>
        <v>D</v>
      </c>
      <c r="K75">
        <v>0.11</v>
      </c>
    </row>
    <row r="76" spans="1:11">
      <c r="A76" s="501">
        <f>'Cleanup TMS'!A76</f>
        <v>3535110</v>
      </c>
      <c r="B76" t="str">
        <f>'Cleanup TMS'!Z76</f>
        <v>Other CMP Network Roadways</v>
      </c>
      <c r="C76" s="502">
        <f>IF('Cleanup TMS'!BE76="","",'Cleanup TMS'!BE76)</f>
        <v>0.03</v>
      </c>
      <c r="D76" s="502" t="str">
        <f>IF('Cleanup TMS'!BF76="","",'Cleanup TMS'!BF76)</f>
        <v>B</v>
      </c>
      <c r="E76" s="502">
        <f>IF('Cleanup TMS'!CH76="","",'Cleanup TMS'!CI76)</f>
        <v>0.03</v>
      </c>
      <c r="F76" s="502" t="str">
        <f>IF('Cleanup TMS'!CJ76="","",'Cleanup TMS'!CJ76)</f>
        <v>B</v>
      </c>
      <c r="G76" s="502" t="str">
        <f>IF('Cleanup TMS'!CP76="","",'Cleanup TMS'!CP76)</f>
        <v>NOT CONGESTED</v>
      </c>
      <c r="H76" s="503">
        <f>IF('Cleanup TMS'!L76="","",'Cleanup TMS'!L76)</f>
        <v>2</v>
      </c>
      <c r="I76" s="503">
        <f>IF('Cleanup TMS'!M76="","",'Cleanup TMS'!M76)</f>
        <v>2</v>
      </c>
      <c r="J76" s="503" t="str">
        <f>IF('Cleanup TMS'!Y76="","",'Cleanup TMS'!Y76)</f>
        <v>D</v>
      </c>
      <c r="K76">
        <v>0.03</v>
      </c>
    </row>
    <row r="77" spans="1:11">
      <c r="A77" s="501">
        <f>'Cleanup TMS'!A77</f>
        <v>3537100</v>
      </c>
      <c r="B77" t="str">
        <f>'Cleanup TMS'!Z77</f>
        <v>Other CMP Network Roadways</v>
      </c>
      <c r="C77" s="502">
        <f>IF('Cleanup TMS'!BE77="","",'Cleanup TMS'!BE77)</f>
        <v>0.25</v>
      </c>
      <c r="D77" s="502" t="str">
        <f>IF('Cleanup TMS'!BF77="","",'Cleanup TMS'!BF77)</f>
        <v>B</v>
      </c>
      <c r="E77" s="502">
        <f>IF('Cleanup TMS'!CH77="","",'Cleanup TMS'!CI77)</f>
        <v>0.31</v>
      </c>
      <c r="F77" s="502" t="str">
        <f>IF('Cleanup TMS'!CJ77="","",'Cleanup TMS'!CJ77)</f>
        <v>B</v>
      </c>
      <c r="G77" s="502" t="str">
        <f>IF('Cleanup TMS'!CP77="","",'Cleanup TMS'!CP77)</f>
        <v>NOT CONGESTED</v>
      </c>
      <c r="H77" s="503">
        <f>IF('Cleanup TMS'!L77="","",'Cleanup TMS'!L77)</f>
        <v>2</v>
      </c>
      <c r="I77" s="503">
        <f>IF('Cleanup TMS'!M77="","",'Cleanup TMS'!M77)</f>
        <v>2</v>
      </c>
      <c r="J77" s="503" t="str">
        <f>IF('Cleanup TMS'!Y77="","",'Cleanup TMS'!Y77)</f>
        <v>D</v>
      </c>
      <c r="K77">
        <v>0.25</v>
      </c>
    </row>
    <row r="78" spans="1:11">
      <c r="A78" s="501">
        <f>'Cleanup TMS'!A78</f>
        <v>3537120</v>
      </c>
      <c r="B78" t="str">
        <f>'Cleanup TMS'!Z78</f>
        <v>Other CMP Network Roadways</v>
      </c>
      <c r="C78" s="502">
        <f>IF('Cleanup TMS'!BE78="","",'Cleanup TMS'!BE78)</f>
        <v>0.28999999999999998</v>
      </c>
      <c r="D78" s="502" t="str">
        <f>IF('Cleanup TMS'!BF78="","",'Cleanup TMS'!BF78)</f>
        <v>B</v>
      </c>
      <c r="E78" s="502">
        <f>IF('Cleanup TMS'!CH78="","",'Cleanup TMS'!CI78)</f>
        <v>0.36</v>
      </c>
      <c r="F78" s="502" t="str">
        <f>IF('Cleanup TMS'!CJ78="","",'Cleanup TMS'!CJ78)</f>
        <v>B</v>
      </c>
      <c r="G78" s="502" t="str">
        <f>IF('Cleanup TMS'!CP78="","",'Cleanup TMS'!CP78)</f>
        <v>NOT CONGESTED</v>
      </c>
      <c r="H78" s="503">
        <f>IF('Cleanup TMS'!L78="","",'Cleanup TMS'!L78)</f>
        <v>2</v>
      </c>
      <c r="I78" s="503">
        <f>IF('Cleanup TMS'!M78="","",'Cleanup TMS'!M78)</f>
        <v>2</v>
      </c>
      <c r="J78" s="503" t="str">
        <f>IF('Cleanup TMS'!Y78="","",'Cleanup TMS'!Y78)</f>
        <v>D</v>
      </c>
      <c r="K78">
        <v>0.28999999999999998</v>
      </c>
    </row>
    <row r="79" spans="1:11">
      <c r="A79" s="501">
        <f>'Cleanup TMS'!A79</f>
        <v>3537130</v>
      </c>
      <c r="B79" t="str">
        <f>'Cleanup TMS'!Z79</f>
        <v>Other CMP Network Roadways</v>
      </c>
      <c r="C79" s="502">
        <f>IF('Cleanup TMS'!BE79="","",'Cleanup TMS'!BE79)</f>
        <v>0.67</v>
      </c>
      <c r="D79" s="502" t="str">
        <f>IF('Cleanup TMS'!BF79="","",'Cleanup TMS'!BF79)</f>
        <v>D</v>
      </c>
      <c r="E79" s="502">
        <f>IF('Cleanup TMS'!CH79="","",'Cleanup TMS'!CI79)</f>
        <v>0.78</v>
      </c>
      <c r="F79" s="502" t="str">
        <f>IF('Cleanup TMS'!CJ79="","",'Cleanup TMS'!CJ79)</f>
        <v>D</v>
      </c>
      <c r="G79" s="502" t="str">
        <f>IF('Cleanup TMS'!CP79="","",'Cleanup TMS'!CP79)</f>
        <v>NOT CONGESTED</v>
      </c>
      <c r="H79" s="503">
        <f>IF('Cleanup TMS'!L79="","",'Cleanup TMS'!L79)</f>
        <v>2</v>
      </c>
      <c r="I79" s="503">
        <f>IF('Cleanup TMS'!M79="","",'Cleanup TMS'!M79)</f>
        <v>2</v>
      </c>
      <c r="J79" s="503" t="str">
        <f>IF('Cleanup TMS'!Y79="","",'Cleanup TMS'!Y79)</f>
        <v>D</v>
      </c>
      <c r="K79">
        <v>0.67</v>
      </c>
    </row>
    <row r="80" spans="1:11">
      <c r="A80" s="501">
        <f>'Cleanup TMS'!A80</f>
        <v>3537140</v>
      </c>
      <c r="B80" t="str">
        <f>'Cleanup TMS'!Z80</f>
        <v>Other CMP Network Roadways</v>
      </c>
      <c r="C80" s="502">
        <f>IF('Cleanup TMS'!BE80="","",'Cleanup TMS'!BE80)</f>
        <v>0.64</v>
      </c>
      <c r="D80" s="502" t="str">
        <f>IF('Cleanup TMS'!BF80="","",'Cleanup TMS'!BF80)</f>
        <v>C</v>
      </c>
      <c r="E80" s="502">
        <f>IF('Cleanup TMS'!CH80="","",'Cleanup TMS'!CI80)</f>
        <v>0.67</v>
      </c>
      <c r="F80" s="502" t="str">
        <f>IF('Cleanup TMS'!CJ80="","",'Cleanup TMS'!CJ80)</f>
        <v>C</v>
      </c>
      <c r="G80" s="502" t="str">
        <f>IF('Cleanup TMS'!CP80="","",'Cleanup TMS'!CP80)</f>
        <v>NOT CONGESTED</v>
      </c>
      <c r="H80" s="503">
        <f>IF('Cleanup TMS'!L80="","",'Cleanup TMS'!L80)</f>
        <v>4</v>
      </c>
      <c r="I80" s="503">
        <f>IF('Cleanup TMS'!M80="","",'Cleanup TMS'!M80)</f>
        <v>4</v>
      </c>
      <c r="J80" s="503" t="str">
        <f>IF('Cleanup TMS'!Y80="","",'Cleanup TMS'!Y80)</f>
        <v>D</v>
      </c>
      <c r="K80">
        <v>0.64</v>
      </c>
    </row>
    <row r="81" spans="1:11">
      <c r="A81" s="501">
        <f>'Cleanup TMS'!A81</f>
        <v>3537150</v>
      </c>
      <c r="B81" t="str">
        <f>'Cleanup TMS'!Z81</f>
        <v>Other CMP Network Roadways</v>
      </c>
      <c r="C81" s="502">
        <f>IF('Cleanup TMS'!BE81="","",'Cleanup TMS'!BE81)</f>
        <v>0.63</v>
      </c>
      <c r="D81" s="502" t="str">
        <f>IF('Cleanup TMS'!BF81="","",'Cleanup TMS'!BF81)</f>
        <v>C</v>
      </c>
      <c r="E81" s="502">
        <f>IF('Cleanup TMS'!CH81="","",'Cleanup TMS'!CI81)</f>
        <v>0.66</v>
      </c>
      <c r="F81" s="502" t="str">
        <f>IF('Cleanup TMS'!CJ81="","",'Cleanup TMS'!CJ81)</f>
        <v>C</v>
      </c>
      <c r="G81" s="502" t="str">
        <f>IF('Cleanup TMS'!CP81="","",'Cleanup TMS'!CP81)</f>
        <v>NOT CONGESTED</v>
      </c>
      <c r="H81" s="503">
        <f>IF('Cleanup TMS'!L81="","",'Cleanup TMS'!L81)</f>
        <v>4</v>
      </c>
      <c r="I81" s="503">
        <f>IF('Cleanup TMS'!M81="","",'Cleanup TMS'!M81)</f>
        <v>4</v>
      </c>
      <c r="J81" s="503" t="str">
        <f>IF('Cleanup TMS'!Y81="","",'Cleanup TMS'!Y81)</f>
        <v>D</v>
      </c>
      <c r="K81">
        <v>0.63</v>
      </c>
    </row>
    <row r="82" spans="1:11">
      <c r="A82" s="501">
        <f>'Cleanup TMS'!A82</f>
        <v>3537160</v>
      </c>
      <c r="B82" t="str">
        <f>'Cleanup TMS'!Z82</f>
        <v>Other CMP Network Roadways</v>
      </c>
      <c r="C82" s="502">
        <f>IF('Cleanup TMS'!BE82="","",'Cleanup TMS'!BE82)</f>
        <v>0.56000000000000005</v>
      </c>
      <c r="D82" s="502" t="str">
        <f>IF('Cleanup TMS'!BF82="","",'Cleanup TMS'!BF82)</f>
        <v>C</v>
      </c>
      <c r="E82" s="502">
        <f>IF('Cleanup TMS'!CH82="","",'Cleanup TMS'!CI82)</f>
        <v>0.59</v>
      </c>
      <c r="F82" s="502" t="str">
        <f>IF('Cleanup TMS'!CJ82="","",'Cleanup TMS'!CJ82)</f>
        <v>C</v>
      </c>
      <c r="G82" s="502" t="str">
        <f>IF('Cleanup TMS'!CP82="","",'Cleanup TMS'!CP82)</f>
        <v>NOT CONGESTED</v>
      </c>
      <c r="H82" s="503">
        <f>IF('Cleanup TMS'!L82="","",'Cleanup TMS'!L82)</f>
        <v>4</v>
      </c>
      <c r="I82" s="503">
        <f>IF('Cleanup TMS'!M82="","",'Cleanup TMS'!M82)</f>
        <v>4</v>
      </c>
      <c r="J82" s="503" t="str">
        <f>IF('Cleanup TMS'!Y82="","",'Cleanup TMS'!Y82)</f>
        <v>D</v>
      </c>
      <c r="K82">
        <v>0.56000000000000005</v>
      </c>
    </row>
    <row r="83" spans="1:11">
      <c r="A83" s="501">
        <f>'Cleanup TMS'!A83</f>
        <v>3537170</v>
      </c>
      <c r="B83" t="str">
        <f>'Cleanup TMS'!Z83</f>
        <v>Other CMP Network Roadways</v>
      </c>
      <c r="C83" s="502">
        <f>IF('Cleanup TMS'!BE83="","",'Cleanup TMS'!BE83)</f>
        <v>0.65</v>
      </c>
      <c r="D83" s="502" t="str">
        <f>IF('Cleanup TMS'!BF83="","",'Cleanup TMS'!BF83)</f>
        <v>C</v>
      </c>
      <c r="E83" s="502">
        <f>IF('Cleanup TMS'!CH83="","",'Cleanup TMS'!CI83)</f>
        <v>0.68</v>
      </c>
      <c r="F83" s="502" t="str">
        <f>IF('Cleanup TMS'!CJ83="","",'Cleanup TMS'!CJ83)</f>
        <v>C</v>
      </c>
      <c r="G83" s="502" t="str">
        <f>IF('Cleanup TMS'!CP83="","",'Cleanup TMS'!CP83)</f>
        <v>NOT CONGESTED</v>
      </c>
      <c r="H83" s="503">
        <f>IF('Cleanup TMS'!L83="","",'Cleanup TMS'!L83)</f>
        <v>4</v>
      </c>
      <c r="I83" s="503">
        <f>IF('Cleanup TMS'!M83="","",'Cleanup TMS'!M83)</f>
        <v>4</v>
      </c>
      <c r="J83" s="503" t="str">
        <f>IF('Cleanup TMS'!Y83="","",'Cleanup TMS'!Y83)</f>
        <v>D</v>
      </c>
      <c r="K83">
        <v>0.65</v>
      </c>
    </row>
    <row r="84" spans="1:11">
      <c r="A84" s="501">
        <f>'Cleanup TMS'!A84</f>
        <v>3537180</v>
      </c>
      <c r="B84" t="str">
        <f>'Cleanup TMS'!Z84</f>
        <v>Other CMP Network Roadways</v>
      </c>
      <c r="C84" s="502">
        <f>IF('Cleanup TMS'!BE84="","",'Cleanup TMS'!BE84)</f>
        <v>0.7</v>
      </c>
      <c r="D84" s="502" t="str">
        <f>IF('Cleanup TMS'!BF84="","",'Cleanup TMS'!BF84)</f>
        <v>C</v>
      </c>
      <c r="E84" s="502">
        <f>IF('Cleanup TMS'!CH84="","",'Cleanup TMS'!CI84)</f>
        <v>0.73</v>
      </c>
      <c r="F84" s="502" t="str">
        <f>IF('Cleanup TMS'!CJ84="","",'Cleanup TMS'!CJ84)</f>
        <v>C</v>
      </c>
      <c r="G84" s="502" t="str">
        <f>IF('Cleanup TMS'!CP84="","",'Cleanup TMS'!CP84)</f>
        <v>NOT CONGESTED</v>
      </c>
      <c r="H84" s="503">
        <f>IF('Cleanup TMS'!L84="","",'Cleanup TMS'!L84)</f>
        <v>4</v>
      </c>
      <c r="I84" s="503">
        <f>IF('Cleanup TMS'!M84="","",'Cleanup TMS'!M84)</f>
        <v>4</v>
      </c>
      <c r="J84" s="503" t="str">
        <f>IF('Cleanup TMS'!Y84="","",'Cleanup TMS'!Y84)</f>
        <v>D</v>
      </c>
      <c r="K84">
        <v>0.7</v>
      </c>
    </row>
    <row r="85" spans="1:11">
      <c r="A85" s="501">
        <f>'Cleanup TMS'!A85</f>
        <v>3537200</v>
      </c>
      <c r="B85" t="str">
        <f>'Cleanup TMS'!Z85</f>
        <v>Other CMP Network Roadways</v>
      </c>
      <c r="C85" s="502">
        <f>IF('Cleanup TMS'!BE85="","",'Cleanup TMS'!BE85)</f>
        <v>0.4</v>
      </c>
      <c r="D85" s="502" t="str">
        <f>IF('Cleanup TMS'!BF85="","",'Cleanup TMS'!BF85)</f>
        <v>B</v>
      </c>
      <c r="E85" s="502">
        <f>IF('Cleanup TMS'!CH85="","",'Cleanup TMS'!CI85)</f>
        <v>0.5</v>
      </c>
      <c r="F85" s="502" t="str">
        <f>IF('Cleanup TMS'!CJ85="","",'Cleanup TMS'!CJ85)</f>
        <v>C</v>
      </c>
      <c r="G85" s="502" t="str">
        <f>IF('Cleanup TMS'!CP85="","",'Cleanup TMS'!CP85)</f>
        <v>NOT CONGESTED</v>
      </c>
      <c r="H85" s="503">
        <f>IF('Cleanup TMS'!L85="","",'Cleanup TMS'!L85)</f>
        <v>2</v>
      </c>
      <c r="I85" s="503">
        <f>IF('Cleanup TMS'!M85="","",'Cleanup TMS'!M85)</f>
        <v>2</v>
      </c>
      <c r="J85" s="503" t="str">
        <f>IF('Cleanup TMS'!Y85="","",'Cleanup TMS'!Y85)</f>
        <v>D</v>
      </c>
      <c r="K85">
        <v>0.4</v>
      </c>
    </row>
    <row r="86" spans="1:11">
      <c r="A86" s="501">
        <f>'Cleanup TMS'!A86</f>
        <v>3538000</v>
      </c>
      <c r="B86" t="str">
        <f>'Cleanup TMS'!Z86</f>
        <v>Other CMP Network Roadways</v>
      </c>
      <c r="C86" s="502">
        <f>IF('Cleanup TMS'!BE86="","",'Cleanup TMS'!BE86)</f>
        <v>0.09</v>
      </c>
      <c r="D86" s="502" t="str">
        <f>IF('Cleanup TMS'!BF86="","",'Cleanup TMS'!BF86)</f>
        <v>B</v>
      </c>
      <c r="E86" s="502">
        <f>IF('Cleanup TMS'!CH86="","",'Cleanup TMS'!CI86)</f>
        <v>0.1</v>
      </c>
      <c r="F86" s="502" t="str">
        <f>IF('Cleanup TMS'!CJ86="","",'Cleanup TMS'!CJ86)</f>
        <v>B</v>
      </c>
      <c r="G86" s="502" t="str">
        <f>IF('Cleanup TMS'!CP86="","",'Cleanup TMS'!CP86)</f>
        <v>NOT CONGESTED</v>
      </c>
      <c r="H86" s="503">
        <f>IF('Cleanup TMS'!L86="","",'Cleanup TMS'!L86)</f>
        <v>2</v>
      </c>
      <c r="I86" s="503">
        <f>IF('Cleanup TMS'!M86="","",'Cleanup TMS'!M86)</f>
        <v>2</v>
      </c>
      <c r="J86" s="503" t="str">
        <f>IF('Cleanup TMS'!Y86="","",'Cleanup TMS'!Y86)</f>
        <v>C</v>
      </c>
      <c r="K86">
        <v>0.09</v>
      </c>
    </row>
    <row r="87" spans="1:11">
      <c r="A87" s="501">
        <f>'Cleanup TMS'!A87</f>
        <v>3539100</v>
      </c>
      <c r="B87" t="str">
        <f>'Cleanup TMS'!Z87</f>
        <v>Other CMP Network Roadways</v>
      </c>
      <c r="C87" s="502">
        <f>IF('Cleanup TMS'!BE87="","",'Cleanup TMS'!BE87)</f>
        <v>0.04</v>
      </c>
      <c r="D87" s="502" t="str">
        <f>IF('Cleanup TMS'!BF87="","",'Cleanup TMS'!BF87)</f>
        <v>C</v>
      </c>
      <c r="E87" s="502">
        <f>IF('Cleanup TMS'!CH87="","",'Cleanup TMS'!CI87)</f>
        <v>0.05</v>
      </c>
      <c r="F87" s="502" t="str">
        <f>IF('Cleanup TMS'!CJ87="","",'Cleanup TMS'!CJ87)</f>
        <v>C</v>
      </c>
      <c r="G87" s="502" t="str">
        <f>IF('Cleanup TMS'!CP87="","",'Cleanup TMS'!CP87)</f>
        <v>NOT CONGESTED</v>
      </c>
      <c r="H87" s="503">
        <f>IF('Cleanup TMS'!L87="","",'Cleanup TMS'!L87)</f>
        <v>2</v>
      </c>
      <c r="I87" s="503">
        <f>IF('Cleanup TMS'!M87="","",'Cleanup TMS'!M87)</f>
        <v>2</v>
      </c>
      <c r="J87" s="503" t="str">
        <f>IF('Cleanup TMS'!Y87="","",'Cleanup TMS'!Y87)</f>
        <v>D</v>
      </c>
      <c r="K87">
        <v>0.04</v>
      </c>
    </row>
    <row r="88" spans="1:11">
      <c r="A88" s="501">
        <f>'Cleanup TMS'!A88</f>
        <v>3539120</v>
      </c>
      <c r="B88" t="str">
        <f>'Cleanup TMS'!Z88</f>
        <v>Other CMP Network Roadways</v>
      </c>
      <c r="C88" s="502">
        <f>IF('Cleanup TMS'!BE88="","",'Cleanup TMS'!BE88)</f>
        <v>0.09</v>
      </c>
      <c r="D88" s="502" t="str">
        <f>IF('Cleanup TMS'!BF88="","",'Cleanup TMS'!BF88)</f>
        <v>C</v>
      </c>
      <c r="E88" s="502">
        <f>IF('Cleanup TMS'!CH88="","",'Cleanup TMS'!CI88)</f>
        <v>0.09</v>
      </c>
      <c r="F88" s="502" t="str">
        <f>IF('Cleanup TMS'!CJ88="","",'Cleanup TMS'!CJ88)</f>
        <v>C</v>
      </c>
      <c r="G88" s="502" t="str">
        <f>IF('Cleanup TMS'!CP88="","",'Cleanup TMS'!CP88)</f>
        <v>NOT CONGESTED</v>
      </c>
      <c r="H88" s="503">
        <f>IF('Cleanup TMS'!L88="","",'Cleanup TMS'!L88)</f>
        <v>2</v>
      </c>
      <c r="I88" s="503">
        <f>IF('Cleanup TMS'!M88="","",'Cleanup TMS'!M88)</f>
        <v>2</v>
      </c>
      <c r="J88" s="503" t="str">
        <f>IF('Cleanup TMS'!Y88="","",'Cleanup TMS'!Y88)</f>
        <v>D</v>
      </c>
      <c r="K88">
        <v>0.09</v>
      </c>
    </row>
    <row r="89" spans="1:11">
      <c r="A89" s="501">
        <f>'Cleanup TMS'!A89</f>
        <v>3540100</v>
      </c>
      <c r="B89" t="str">
        <f>'Cleanup TMS'!Z89</f>
        <v>Other CMP Network Roadways</v>
      </c>
      <c r="C89" s="502">
        <f>IF('Cleanup TMS'!BE89="","",'Cleanup TMS'!BE89)</f>
        <v>0.15</v>
      </c>
      <c r="D89" s="502" t="str">
        <f>IF('Cleanup TMS'!BF89="","",'Cleanup TMS'!BF89)</f>
        <v>B</v>
      </c>
      <c r="E89" s="502">
        <f>IF('Cleanup TMS'!CH89="","",'Cleanup TMS'!CI89)</f>
        <v>0.18</v>
      </c>
      <c r="F89" s="502" t="str">
        <f>IF('Cleanup TMS'!CJ89="","",'Cleanup TMS'!CJ89)</f>
        <v>B</v>
      </c>
      <c r="G89" s="502" t="str">
        <f>IF('Cleanup TMS'!CP89="","",'Cleanup TMS'!CP89)</f>
        <v>NOT CONGESTED</v>
      </c>
      <c r="H89" s="503">
        <f>IF('Cleanup TMS'!L89="","",'Cleanup TMS'!L89)</f>
        <v>2</v>
      </c>
      <c r="I89" s="503">
        <f>IF('Cleanup TMS'!M89="","",'Cleanup TMS'!M89)</f>
        <v>2</v>
      </c>
      <c r="J89" s="503" t="str">
        <f>IF('Cleanup TMS'!Y89="","",'Cleanup TMS'!Y89)</f>
        <v>D</v>
      </c>
      <c r="K89">
        <v>0.15</v>
      </c>
    </row>
    <row r="90" spans="1:11">
      <c r="A90" s="501">
        <f>'Cleanup TMS'!A90</f>
        <v>3540110</v>
      </c>
      <c r="B90" t="str">
        <f>'Cleanup TMS'!Z90</f>
        <v>Other CMP Network Roadways</v>
      </c>
      <c r="C90" s="502">
        <f>IF('Cleanup TMS'!BE90="","",'Cleanup TMS'!BE90)</f>
        <v>0.12</v>
      </c>
      <c r="D90" s="502" t="str">
        <f>IF('Cleanup TMS'!BF90="","",'Cleanup TMS'!BF90)</f>
        <v>B</v>
      </c>
      <c r="E90" s="502">
        <f>IF('Cleanup TMS'!CH90="","",'Cleanup TMS'!CI90)</f>
        <v>0.16</v>
      </c>
      <c r="F90" s="502" t="str">
        <f>IF('Cleanup TMS'!CJ90="","",'Cleanup TMS'!CJ90)</f>
        <v>B</v>
      </c>
      <c r="G90" s="502" t="str">
        <f>IF('Cleanup TMS'!CP90="","",'Cleanup TMS'!CP90)</f>
        <v>NOT CONGESTED</v>
      </c>
      <c r="H90" s="503">
        <f>IF('Cleanup TMS'!L90="","",'Cleanup TMS'!L90)</f>
        <v>2</v>
      </c>
      <c r="I90" s="503">
        <f>IF('Cleanup TMS'!M90="","",'Cleanup TMS'!M90)</f>
        <v>2</v>
      </c>
      <c r="J90" s="503" t="str">
        <f>IF('Cleanup TMS'!Y90="","",'Cleanup TMS'!Y90)</f>
        <v>D</v>
      </c>
      <c r="K90">
        <v>0.12</v>
      </c>
    </row>
    <row r="91" spans="1:11">
      <c r="A91" s="501">
        <f>'Cleanup TMS'!A91</f>
        <v>3541110</v>
      </c>
      <c r="B91" t="str">
        <f>'Cleanup TMS'!Z91</f>
        <v>Other CMP Network Roadways</v>
      </c>
      <c r="C91" s="502">
        <f>IF('Cleanup TMS'!BE91="","",'Cleanup TMS'!BE91)</f>
        <v>0</v>
      </c>
      <c r="D91" s="502" t="str">
        <f>IF('Cleanup TMS'!BF91="","",'Cleanup TMS'!BF91)</f>
        <v>C</v>
      </c>
      <c r="E91" s="502">
        <f>IF('Cleanup TMS'!CH91="","",'Cleanup TMS'!CI91)</f>
        <v>0</v>
      </c>
      <c r="F91" s="502" t="str">
        <f>IF('Cleanup TMS'!CJ91="","",'Cleanup TMS'!CJ91)</f>
        <v>C</v>
      </c>
      <c r="G91" s="502" t="str">
        <f>IF('Cleanup TMS'!CP91="","",'Cleanup TMS'!CP91)</f>
        <v>CONGESTED (2020)</v>
      </c>
      <c r="H91" s="503">
        <f>IF('Cleanup TMS'!L91="","",'Cleanup TMS'!L91)</f>
        <v>2</v>
      </c>
      <c r="I91" s="503">
        <f>IF('Cleanup TMS'!M91="","",'Cleanup TMS'!M91)</f>
        <v>2</v>
      </c>
      <c r="J91" s="503" t="str">
        <f>IF('Cleanup TMS'!Y91="","",'Cleanup TMS'!Y91)</f>
        <v>F</v>
      </c>
      <c r="K91">
        <v>0</v>
      </c>
    </row>
    <row r="92" spans="1:11">
      <c r="A92" s="501">
        <f>'Cleanup TMS'!A92</f>
        <v>3542100</v>
      </c>
      <c r="B92" t="str">
        <f>'Cleanup TMS'!Z92</f>
        <v>Other CMP Network Roadways</v>
      </c>
      <c r="C92" s="502">
        <f>IF('Cleanup TMS'!BE92="","",'Cleanup TMS'!BE92)</f>
        <v>0.06</v>
      </c>
      <c r="D92" s="502" t="str">
        <f>IF('Cleanup TMS'!BF92="","",'Cleanup TMS'!BF92)</f>
        <v>B</v>
      </c>
      <c r="E92" s="502">
        <f>IF('Cleanup TMS'!CH92="","",'Cleanup TMS'!CI92)</f>
        <v>0.06</v>
      </c>
      <c r="F92" s="502" t="str">
        <f>IF('Cleanup TMS'!CJ92="","",'Cleanup TMS'!CJ92)</f>
        <v>B</v>
      </c>
      <c r="G92" s="502" t="str">
        <f>IF('Cleanup TMS'!CP92="","",'Cleanup TMS'!CP92)</f>
        <v>NOT CONGESTED</v>
      </c>
      <c r="H92" s="503">
        <f>IF('Cleanup TMS'!L92="","",'Cleanup TMS'!L92)</f>
        <v>2</v>
      </c>
      <c r="I92" s="503">
        <f>IF('Cleanup TMS'!M92="","",'Cleanup TMS'!M92)</f>
        <v>2</v>
      </c>
      <c r="J92" s="503" t="str">
        <f>IF('Cleanup TMS'!Y92="","",'Cleanup TMS'!Y92)</f>
        <v>D</v>
      </c>
      <c r="K92">
        <v>0.06</v>
      </c>
    </row>
    <row r="93" spans="1:11">
      <c r="A93" s="501">
        <f>'Cleanup TMS'!A93</f>
        <v>3542120</v>
      </c>
      <c r="B93" t="str">
        <f>'Cleanup TMS'!Z93</f>
        <v>Other CMP Network Roadways</v>
      </c>
      <c r="C93" s="502">
        <f>IF('Cleanup TMS'!BE93="","",'Cleanup TMS'!BE93)</f>
        <v>0.09</v>
      </c>
      <c r="D93" s="502" t="str">
        <f>IF('Cleanup TMS'!BF93="","",'Cleanup TMS'!BF93)</f>
        <v>B</v>
      </c>
      <c r="E93" s="502">
        <f>IF('Cleanup TMS'!CH93="","",'Cleanup TMS'!CI93)</f>
        <v>0.09</v>
      </c>
      <c r="F93" s="502" t="str">
        <f>IF('Cleanup TMS'!CJ93="","",'Cleanup TMS'!CJ93)</f>
        <v>B</v>
      </c>
      <c r="G93" s="502" t="str">
        <f>IF('Cleanup TMS'!CP93="","",'Cleanup TMS'!CP93)</f>
        <v>NOT CONGESTED</v>
      </c>
      <c r="H93" s="503">
        <f>IF('Cleanup TMS'!L93="","",'Cleanup TMS'!L93)</f>
        <v>2</v>
      </c>
      <c r="I93" s="503">
        <f>IF('Cleanup TMS'!M93="","",'Cleanup TMS'!M93)</f>
        <v>2</v>
      </c>
      <c r="J93" s="503" t="str">
        <f>IF('Cleanup TMS'!Y93="","",'Cleanup TMS'!Y93)</f>
        <v>D</v>
      </c>
      <c r="K93">
        <v>0.09</v>
      </c>
    </row>
    <row r="94" spans="1:11">
      <c r="A94" s="501">
        <f>'Cleanup TMS'!A94</f>
        <v>3542130</v>
      </c>
      <c r="B94" t="str">
        <f>'Cleanup TMS'!Z94</f>
        <v>Other CMP Network Roadways</v>
      </c>
      <c r="C94" s="502">
        <f>IF('Cleanup TMS'!BE94="","",'Cleanup TMS'!BE94)</f>
        <v>0.21</v>
      </c>
      <c r="D94" s="502" t="str">
        <f>IF('Cleanup TMS'!BF94="","",'Cleanup TMS'!BF94)</f>
        <v>B</v>
      </c>
      <c r="E94" s="502">
        <f>IF('Cleanup TMS'!CH94="","",'Cleanup TMS'!CI94)</f>
        <v>0.24</v>
      </c>
      <c r="F94" s="502" t="str">
        <f>IF('Cleanup TMS'!CJ94="","",'Cleanup TMS'!CJ94)</f>
        <v>B</v>
      </c>
      <c r="G94" s="502" t="str">
        <f>IF('Cleanup TMS'!CP94="","",'Cleanup TMS'!CP94)</f>
        <v>NOT CONGESTED</v>
      </c>
      <c r="H94" s="503">
        <f>IF('Cleanup TMS'!L94="","",'Cleanup TMS'!L94)</f>
        <v>2</v>
      </c>
      <c r="I94" s="503">
        <f>IF('Cleanup TMS'!M94="","",'Cleanup TMS'!M94)</f>
        <v>2</v>
      </c>
      <c r="J94" s="503" t="str">
        <f>IF('Cleanup TMS'!Y94="","",'Cleanup TMS'!Y94)</f>
        <v>D</v>
      </c>
      <c r="K94">
        <v>0.21</v>
      </c>
    </row>
    <row r="95" spans="1:11">
      <c r="A95" s="501">
        <f>'Cleanup TMS'!A95</f>
        <v>3542150</v>
      </c>
      <c r="B95" t="str">
        <f>'Cleanup TMS'!Z95</f>
        <v>Other CMP Network Roadways</v>
      </c>
      <c r="C95" s="502">
        <f>IF('Cleanup TMS'!BE95="","",'Cleanup TMS'!BE95)</f>
        <v>0.24</v>
      </c>
      <c r="D95" s="502" t="str">
        <f>IF('Cleanup TMS'!BF95="","",'Cleanup TMS'!BF95)</f>
        <v>B</v>
      </c>
      <c r="E95" s="502">
        <f>IF('Cleanup TMS'!CH95="","",'Cleanup TMS'!CI95)</f>
        <v>0.25</v>
      </c>
      <c r="F95" s="502" t="str">
        <f>IF('Cleanup TMS'!CJ95="","",'Cleanup TMS'!CJ95)</f>
        <v>B</v>
      </c>
      <c r="G95" s="502" t="str">
        <f>IF('Cleanup TMS'!CP95="","",'Cleanup TMS'!CP95)</f>
        <v>NOT CONGESTED</v>
      </c>
      <c r="H95" s="503">
        <f>IF('Cleanup TMS'!L95="","",'Cleanup TMS'!L95)</f>
        <v>2</v>
      </c>
      <c r="I95" s="503">
        <f>IF('Cleanup TMS'!M95="","",'Cleanup TMS'!M95)</f>
        <v>2</v>
      </c>
      <c r="J95" s="503" t="str">
        <f>IF('Cleanup TMS'!Y95="","",'Cleanup TMS'!Y95)</f>
        <v>D</v>
      </c>
      <c r="K95">
        <v>0.24</v>
      </c>
    </row>
    <row r="96" spans="1:11">
      <c r="A96" s="501">
        <f>'Cleanup TMS'!A96</f>
        <v>3543100</v>
      </c>
      <c r="B96" t="str">
        <f>'Cleanup TMS'!Z96</f>
        <v>Other CMP Network Roadways</v>
      </c>
      <c r="C96" s="502">
        <f>IF('Cleanup TMS'!BE96="","",'Cleanup TMS'!BE96)</f>
        <v>0.46</v>
      </c>
      <c r="D96" s="502" t="str">
        <f>IF('Cleanup TMS'!BF96="","",'Cleanup TMS'!BF96)</f>
        <v>C</v>
      </c>
      <c r="E96" s="502">
        <f>IF('Cleanup TMS'!CH96="","",'Cleanup TMS'!CI96)</f>
        <v>0.54</v>
      </c>
      <c r="F96" s="502" t="str">
        <f>IF('Cleanup TMS'!CJ96="","",'Cleanup TMS'!CJ96)</f>
        <v>D</v>
      </c>
      <c r="G96" s="502" t="str">
        <f>IF('Cleanup TMS'!CP96="","",'Cleanup TMS'!CP96)</f>
        <v>NOT CONGESTED</v>
      </c>
      <c r="H96" s="503">
        <f>IF('Cleanup TMS'!L96="","",'Cleanup TMS'!L96)</f>
        <v>2</v>
      </c>
      <c r="I96" s="503">
        <f>IF('Cleanup TMS'!M96="","",'Cleanup TMS'!M96)</f>
        <v>2</v>
      </c>
      <c r="J96" s="503" t="str">
        <f>IF('Cleanup TMS'!Y96="","",'Cleanup TMS'!Y96)</f>
        <v>D</v>
      </c>
      <c r="K96">
        <v>0.46</v>
      </c>
    </row>
    <row r="97" spans="1:11">
      <c r="A97" s="501">
        <f>'Cleanup TMS'!A97</f>
        <v>3545100</v>
      </c>
      <c r="B97" t="str">
        <f>'Cleanup TMS'!Z97</f>
        <v>NHS Interstate</v>
      </c>
      <c r="C97" s="502">
        <f>IF('Cleanup TMS'!BE97="","",'Cleanup TMS'!BE97)</f>
        <v>0.96</v>
      </c>
      <c r="D97" s="502" t="str">
        <f>IF('Cleanup TMS'!BF97="","",'Cleanup TMS'!BF97)</f>
        <v>C</v>
      </c>
      <c r="E97" s="502">
        <f>IF('Cleanup TMS'!CH97="","",'Cleanup TMS'!CI97)</f>
        <v>1.01</v>
      </c>
      <c r="F97" s="502" t="str">
        <f>IF('Cleanup TMS'!CJ97="","",'Cleanup TMS'!CJ97)</f>
        <v>D</v>
      </c>
      <c r="G97" s="502" t="str">
        <f>IF('Cleanup TMS'!CP97="","",'Cleanup TMS'!CP97)</f>
        <v>CONGESTED (2025)</v>
      </c>
      <c r="H97" s="503">
        <f>IF('Cleanup TMS'!L97="","",'Cleanup TMS'!L97)</f>
        <v>4</v>
      </c>
      <c r="I97" s="503">
        <f>IF('Cleanup TMS'!M97="","",'Cleanup TMS'!M97)</f>
        <v>4</v>
      </c>
      <c r="J97" s="503" t="str">
        <f>IF('Cleanup TMS'!Y97="","",'Cleanup TMS'!Y97)</f>
        <v>C</v>
      </c>
      <c r="K97">
        <v>0.96</v>
      </c>
    </row>
    <row r="98" spans="1:11">
      <c r="A98" s="501">
        <f>'Cleanup TMS'!A98</f>
        <v>3545110</v>
      </c>
      <c r="B98" t="str">
        <f>'Cleanup TMS'!Z98</f>
        <v>NHS Interstate</v>
      </c>
      <c r="C98" s="502">
        <f>IF('Cleanup TMS'!BE98="","",'Cleanup TMS'!BE98)</f>
        <v>0.94</v>
      </c>
      <c r="D98" s="502" t="str">
        <f>IF('Cleanup TMS'!BF98="","",'Cleanup TMS'!BF98)</f>
        <v>C</v>
      </c>
      <c r="E98" s="502">
        <f>IF('Cleanup TMS'!CH98="","",'Cleanup TMS'!CI98)</f>
        <v>0.99</v>
      </c>
      <c r="F98" s="502" t="str">
        <f>IF('Cleanup TMS'!CJ98="","",'Cleanup TMS'!CJ98)</f>
        <v>C</v>
      </c>
      <c r="G98" s="502" t="str">
        <f>IF('Cleanup TMS'!CP98="","",'Cleanup TMS'!CP98)</f>
        <v>APPROACHING CONGESTION</v>
      </c>
      <c r="H98" s="503">
        <f>IF('Cleanup TMS'!L98="","",'Cleanup TMS'!L98)</f>
        <v>4</v>
      </c>
      <c r="I98" s="503">
        <f>IF('Cleanup TMS'!M98="","",'Cleanup TMS'!M98)</f>
        <v>4</v>
      </c>
      <c r="J98" s="503" t="str">
        <f>IF('Cleanup TMS'!Y98="","",'Cleanup TMS'!Y98)</f>
        <v>C</v>
      </c>
      <c r="K98">
        <v>0.94</v>
      </c>
    </row>
    <row r="99" spans="1:11">
      <c r="A99" s="501">
        <f>'Cleanup TMS'!A99</f>
        <v>3546100</v>
      </c>
      <c r="B99" t="str">
        <f>'Cleanup TMS'!Z99</f>
        <v>NHS Interstate</v>
      </c>
      <c r="C99" s="502">
        <f>IF('Cleanup TMS'!BE99="","",'Cleanup TMS'!BE99)</f>
        <v>0.51</v>
      </c>
      <c r="D99" s="502" t="str">
        <f>IF('Cleanup TMS'!BF99="","",'Cleanup TMS'!BF99)</f>
        <v>B</v>
      </c>
      <c r="E99" s="502">
        <f>IF('Cleanup TMS'!CH99="","",'Cleanup TMS'!CI99)</f>
        <v>0.54</v>
      </c>
      <c r="F99" s="502" t="str">
        <f>IF('Cleanup TMS'!CJ99="","",'Cleanup TMS'!CJ99)</f>
        <v>B</v>
      </c>
      <c r="G99" s="502" t="str">
        <f>IF('Cleanup TMS'!CP99="","",'Cleanup TMS'!CP99)</f>
        <v>NOT CONGESTED</v>
      </c>
      <c r="H99" s="503">
        <f>IF('Cleanup TMS'!L99="","",'Cleanup TMS'!L99)</f>
        <v>6</v>
      </c>
      <c r="I99" s="503">
        <f>IF('Cleanup TMS'!M99="","",'Cleanup TMS'!M99)</f>
        <v>6</v>
      </c>
      <c r="J99" s="503" t="str">
        <f>IF('Cleanup TMS'!Y99="","",'Cleanup TMS'!Y99)</f>
        <v>C</v>
      </c>
      <c r="K99">
        <v>0.51</v>
      </c>
    </row>
    <row r="100" spans="1:11">
      <c r="A100" s="501">
        <f>'Cleanup TMS'!A100</f>
        <v>3546120</v>
      </c>
      <c r="B100" t="str">
        <f>'Cleanup TMS'!Z100</f>
        <v>NHS Interstate</v>
      </c>
      <c r="C100" s="502">
        <f>IF('Cleanup TMS'!BE100="","",'Cleanup TMS'!BE100)</f>
        <v>0.63</v>
      </c>
      <c r="D100" s="502" t="str">
        <f>IF('Cleanup TMS'!BF100="","",'Cleanup TMS'!BF100)</f>
        <v>B</v>
      </c>
      <c r="E100" s="502">
        <f>IF('Cleanup TMS'!CH100="","",'Cleanup TMS'!CI100)</f>
        <v>0.67</v>
      </c>
      <c r="F100" s="502" t="str">
        <f>IF('Cleanup TMS'!CJ100="","",'Cleanup TMS'!CJ100)</f>
        <v>B</v>
      </c>
      <c r="G100" s="502" t="str">
        <f>IF('Cleanup TMS'!CP100="","",'Cleanup TMS'!CP100)</f>
        <v>NOT CONGESTED</v>
      </c>
      <c r="H100" s="503">
        <f>IF('Cleanup TMS'!L100="","",'Cleanup TMS'!L100)</f>
        <v>6</v>
      </c>
      <c r="I100" s="503">
        <f>IF('Cleanup TMS'!M100="","",'Cleanup TMS'!M100)</f>
        <v>6</v>
      </c>
      <c r="J100" s="503" t="str">
        <f>IF('Cleanup TMS'!Y100="","",'Cleanup TMS'!Y100)</f>
        <v>C</v>
      </c>
      <c r="K100">
        <v>0.63</v>
      </c>
    </row>
    <row r="101" spans="1:11">
      <c r="A101" s="501">
        <f>'Cleanup TMS'!A101</f>
        <v>3546130</v>
      </c>
      <c r="B101" t="str">
        <f>'Cleanup TMS'!Z101</f>
        <v>NHS Interstate</v>
      </c>
      <c r="C101" s="502">
        <f>IF('Cleanup TMS'!BE101="","",'Cleanup TMS'!BE101)</f>
        <v>0.79</v>
      </c>
      <c r="D101" s="502" t="str">
        <f>IF('Cleanup TMS'!BF101="","",'Cleanup TMS'!BF101)</f>
        <v>C</v>
      </c>
      <c r="E101" s="502">
        <f>IF('Cleanup TMS'!CH101="","",'Cleanup TMS'!CI101)</f>
        <v>0.9</v>
      </c>
      <c r="F101" s="502" t="str">
        <f>IF('Cleanup TMS'!CJ101="","",'Cleanup TMS'!CJ101)</f>
        <v>C</v>
      </c>
      <c r="G101" s="502" t="str">
        <f>IF('Cleanup TMS'!CP101="","",'Cleanup TMS'!CP101)</f>
        <v>APPROACHING CONGESTION</v>
      </c>
      <c r="H101" s="503">
        <f>IF('Cleanup TMS'!L101="","",'Cleanup TMS'!L101)</f>
        <v>6</v>
      </c>
      <c r="I101" s="503">
        <f>IF('Cleanup TMS'!M101="","",'Cleanup TMS'!M101)</f>
        <v>6</v>
      </c>
      <c r="J101" s="503" t="str">
        <f>IF('Cleanup TMS'!Y101="","",'Cleanup TMS'!Y101)</f>
        <v>C</v>
      </c>
      <c r="K101">
        <v>0.79</v>
      </c>
    </row>
    <row r="102" spans="1:11">
      <c r="A102" s="501">
        <f>'Cleanup TMS'!A102</f>
        <v>3546140</v>
      </c>
      <c r="B102" t="str">
        <f>'Cleanup TMS'!Z102</f>
        <v>NHS Interstate</v>
      </c>
      <c r="C102" s="502">
        <f>IF('Cleanup TMS'!BE102="","",'Cleanup TMS'!BE102)</f>
        <v>0.77</v>
      </c>
      <c r="D102" s="502" t="str">
        <f>IF('Cleanup TMS'!BF102="","",'Cleanup TMS'!BF102)</f>
        <v>C</v>
      </c>
      <c r="E102" s="502">
        <f>IF('Cleanup TMS'!CH102="","",'Cleanup TMS'!CI102)</f>
        <v>0.8</v>
      </c>
      <c r="F102" s="502" t="str">
        <f>IF('Cleanup TMS'!CJ102="","",'Cleanup TMS'!CJ102)</f>
        <v>C</v>
      </c>
      <c r="G102" s="502" t="str">
        <f>IF('Cleanup TMS'!CP102="","",'Cleanup TMS'!CP102)</f>
        <v>NOT CONGESTED</v>
      </c>
      <c r="H102" s="503">
        <f>IF('Cleanup TMS'!L102="","",'Cleanup TMS'!L102)</f>
        <v>6</v>
      </c>
      <c r="I102" s="503">
        <f>IF('Cleanup TMS'!M102="","",'Cleanup TMS'!M102)</f>
        <v>6</v>
      </c>
      <c r="J102" s="503" t="str">
        <f>IF('Cleanup TMS'!Y102="","",'Cleanup TMS'!Y102)</f>
        <v>C</v>
      </c>
      <c r="K102">
        <v>0.77</v>
      </c>
    </row>
    <row r="103" spans="1:11">
      <c r="A103" s="501">
        <f>'Cleanup TMS'!A103</f>
        <v>3546150</v>
      </c>
      <c r="B103" t="str">
        <f>'Cleanup TMS'!Z103</f>
        <v>NHS Interstate</v>
      </c>
      <c r="C103" s="502">
        <f>IF('Cleanup TMS'!BE103="","",'Cleanup TMS'!BE103)</f>
        <v>1.28</v>
      </c>
      <c r="D103" s="502" t="str">
        <f>IF('Cleanup TMS'!BF103="","",'Cleanup TMS'!BF103)</f>
        <v>E</v>
      </c>
      <c r="E103" s="502">
        <f>IF('Cleanup TMS'!CH103="","",'Cleanup TMS'!CI103)</f>
        <v>1.35</v>
      </c>
      <c r="F103" s="502" t="str">
        <f>IF('Cleanup TMS'!CJ103="","",'Cleanup TMS'!CJ103)</f>
        <v>E</v>
      </c>
      <c r="G103" s="502" t="str">
        <f>IF('Cleanup TMS'!CP103="","",'Cleanup TMS'!CP103)</f>
        <v>CONGESTED (2020)</v>
      </c>
      <c r="H103" s="503">
        <f>IF('Cleanup TMS'!L103="","",'Cleanup TMS'!L103)</f>
        <v>6</v>
      </c>
      <c r="I103" s="503">
        <f>IF('Cleanup TMS'!M103="","",'Cleanup TMS'!M103)</f>
        <v>6</v>
      </c>
      <c r="J103" s="503" t="str">
        <f>IF('Cleanup TMS'!Y103="","",'Cleanup TMS'!Y103)</f>
        <v>C</v>
      </c>
      <c r="K103">
        <v>1.28</v>
      </c>
    </row>
    <row r="104" spans="1:11">
      <c r="A104" s="501">
        <f>'Cleanup TMS'!A104</f>
        <v>3546180</v>
      </c>
      <c r="B104" t="str">
        <f>'Cleanup TMS'!Z104</f>
        <v>NHS Interstate</v>
      </c>
      <c r="C104" s="502">
        <f>IF('Cleanup TMS'!BE104="","",'Cleanup TMS'!BE104)</f>
        <v>0.99</v>
      </c>
      <c r="D104" s="502" t="str">
        <f>IF('Cleanup TMS'!BF104="","",'Cleanup TMS'!BF104)</f>
        <v>C</v>
      </c>
      <c r="E104" s="502">
        <f>IF('Cleanup TMS'!CH104="","",'Cleanup TMS'!CI104)</f>
        <v>1.04</v>
      </c>
      <c r="F104" s="502" t="str">
        <f>IF('Cleanup TMS'!CJ104="","",'Cleanup TMS'!CJ104)</f>
        <v>D</v>
      </c>
      <c r="G104" s="502" t="str">
        <f>IF('Cleanup TMS'!CP104="","",'Cleanup TMS'!CP104)</f>
        <v>CONGESTED (2025)</v>
      </c>
      <c r="H104" s="503">
        <f>IF('Cleanup TMS'!L104="","",'Cleanup TMS'!L104)</f>
        <v>6</v>
      </c>
      <c r="I104" s="503">
        <f>IF('Cleanup TMS'!M104="","",'Cleanup TMS'!M104)</f>
        <v>6</v>
      </c>
      <c r="J104" s="503" t="str">
        <f>IF('Cleanup TMS'!Y104="","",'Cleanup TMS'!Y104)</f>
        <v>C</v>
      </c>
      <c r="K104">
        <v>0.99</v>
      </c>
    </row>
    <row r="105" spans="1:11">
      <c r="A105" s="501">
        <f>'Cleanup TMS'!A105</f>
        <v>3547105</v>
      </c>
      <c r="B105" t="str">
        <f>'Cleanup TMS'!Z105</f>
        <v>NHS Non-Interstate</v>
      </c>
      <c r="C105" s="502">
        <f>IF('Cleanup TMS'!BE105="","",'Cleanup TMS'!BE105)</f>
        <v>0.57999999999999996</v>
      </c>
      <c r="D105" s="502" t="str">
        <f>IF('Cleanup TMS'!BF105="","",'Cleanup TMS'!BF105)</f>
        <v>C</v>
      </c>
      <c r="E105" s="502">
        <f>IF('Cleanup TMS'!CH105="","",'Cleanup TMS'!CI105)</f>
        <v>0.61</v>
      </c>
      <c r="F105" s="502" t="str">
        <f>IF('Cleanup TMS'!CJ105="","",'Cleanup TMS'!CJ105)</f>
        <v>C</v>
      </c>
      <c r="G105" s="502" t="str">
        <f>IF('Cleanup TMS'!CP105="","",'Cleanup TMS'!CP105)</f>
        <v>NOT CONGESTED</v>
      </c>
      <c r="H105" s="503">
        <f>IF('Cleanup TMS'!L105="","",'Cleanup TMS'!L105)</f>
        <v>6</v>
      </c>
      <c r="I105" s="503">
        <f>IF('Cleanup TMS'!M105="","",'Cleanup TMS'!M105)</f>
        <v>6</v>
      </c>
      <c r="J105" s="503" t="str">
        <f>IF('Cleanup TMS'!Y105="","",'Cleanup TMS'!Y105)</f>
        <v>D</v>
      </c>
      <c r="K105">
        <v>0.57999999999999996</v>
      </c>
    </row>
    <row r="106" spans="1:11">
      <c r="A106" s="501">
        <f>'Cleanup TMS'!A106</f>
        <v>3547120</v>
      </c>
      <c r="B106" t="str">
        <f>'Cleanup TMS'!Z106</f>
        <v>NHS Non-Interstate</v>
      </c>
      <c r="C106" s="502">
        <f>IF('Cleanup TMS'!BE106="","",'Cleanup TMS'!BE106)</f>
        <v>0.57999999999999996</v>
      </c>
      <c r="D106" s="502" t="str">
        <f>IF('Cleanup TMS'!BF106="","",'Cleanup TMS'!BF106)</f>
        <v>C</v>
      </c>
      <c r="E106" s="502">
        <f>IF('Cleanup TMS'!CH106="","",'Cleanup TMS'!CI106)</f>
        <v>0.61</v>
      </c>
      <c r="F106" s="502" t="str">
        <f>IF('Cleanup TMS'!CJ106="","",'Cleanup TMS'!CJ106)</f>
        <v>C</v>
      </c>
      <c r="G106" s="502" t="str">
        <f>IF('Cleanup TMS'!CP106="","",'Cleanup TMS'!CP106)</f>
        <v>NOT CONGESTED</v>
      </c>
      <c r="H106" s="503">
        <f>IF('Cleanup TMS'!L106="","",'Cleanup TMS'!L106)</f>
        <v>6</v>
      </c>
      <c r="I106" s="503">
        <f>IF('Cleanup TMS'!M106="","",'Cleanup TMS'!M106)</f>
        <v>6</v>
      </c>
      <c r="J106" s="503" t="str">
        <f>IF('Cleanup TMS'!Y106="","",'Cleanup TMS'!Y106)</f>
        <v>D</v>
      </c>
      <c r="K106">
        <v>0.57999999999999996</v>
      </c>
    </row>
    <row r="107" spans="1:11">
      <c r="A107" s="501">
        <f>'Cleanup TMS'!A107</f>
        <v>3549100</v>
      </c>
      <c r="B107" t="str">
        <f>'Cleanup TMS'!Z107</f>
        <v>Other CMP Network Roadways</v>
      </c>
      <c r="C107" s="502">
        <f>IF('Cleanup TMS'!BE107="","",'Cleanup TMS'!BE107)</f>
        <v>0.28000000000000003</v>
      </c>
      <c r="D107" s="502" t="str">
        <f>IF('Cleanup TMS'!BF107="","",'Cleanup TMS'!BF107)</f>
        <v>B</v>
      </c>
      <c r="E107" s="502">
        <f>IF('Cleanup TMS'!CH107="","",'Cleanup TMS'!CI107)</f>
        <v>0.35</v>
      </c>
      <c r="F107" s="502" t="str">
        <f>IF('Cleanup TMS'!CJ107="","",'Cleanup TMS'!CJ107)</f>
        <v>B</v>
      </c>
      <c r="G107" s="502" t="str">
        <f>IF('Cleanup TMS'!CP107="","",'Cleanup TMS'!CP107)</f>
        <v>NOT CONGESTED</v>
      </c>
      <c r="H107" s="503">
        <f>IF('Cleanup TMS'!L107="","",'Cleanup TMS'!L107)</f>
        <v>2</v>
      </c>
      <c r="I107" s="503">
        <f>IF('Cleanup TMS'!M107="","",'Cleanup TMS'!M107)</f>
        <v>2</v>
      </c>
      <c r="J107" s="503" t="str">
        <f>IF('Cleanup TMS'!Y107="","",'Cleanup TMS'!Y107)</f>
        <v>C</v>
      </c>
      <c r="K107">
        <v>0.28000000000000003</v>
      </c>
    </row>
    <row r="108" spans="1:11">
      <c r="A108" s="501">
        <f>'Cleanup TMS'!A108</f>
        <v>3549110</v>
      </c>
      <c r="B108" t="str">
        <f>'Cleanup TMS'!Z108</f>
        <v>Other CMP Network Roadways</v>
      </c>
      <c r="C108" s="502">
        <f>IF('Cleanup TMS'!BE108="","",'Cleanup TMS'!BE108)</f>
        <v>0.35</v>
      </c>
      <c r="D108" s="502" t="str">
        <f>IF('Cleanup TMS'!BF108="","",'Cleanup TMS'!BF108)</f>
        <v>B</v>
      </c>
      <c r="E108" s="502">
        <f>IF('Cleanup TMS'!CH108="","",'Cleanup TMS'!CI108)</f>
        <v>0.41</v>
      </c>
      <c r="F108" s="502" t="str">
        <f>IF('Cleanup TMS'!CJ108="","",'Cleanup TMS'!CJ108)</f>
        <v>B</v>
      </c>
      <c r="G108" s="502" t="str">
        <f>IF('Cleanup TMS'!CP108="","",'Cleanup TMS'!CP108)</f>
        <v>NOT CONGESTED</v>
      </c>
      <c r="H108" s="503">
        <f>IF('Cleanup TMS'!L108="","",'Cleanup TMS'!L108)</f>
        <v>2</v>
      </c>
      <c r="I108" s="503">
        <f>IF('Cleanup TMS'!M108="","",'Cleanup TMS'!M108)</f>
        <v>2</v>
      </c>
      <c r="J108" s="503" t="str">
        <f>IF('Cleanup TMS'!Y108="","",'Cleanup TMS'!Y108)</f>
        <v>C</v>
      </c>
      <c r="K108">
        <v>0.35</v>
      </c>
    </row>
    <row r="109" spans="1:11">
      <c r="A109" s="501">
        <f>'Cleanup TMS'!A109</f>
        <v>3549120</v>
      </c>
      <c r="B109" t="str">
        <f>'Cleanup TMS'!Z109</f>
        <v>Other CMP Network Roadways</v>
      </c>
      <c r="C109" s="502">
        <f>IF('Cleanup TMS'!BE109="","",'Cleanup TMS'!BE109)</f>
        <v>0.33</v>
      </c>
      <c r="D109" s="502" t="str">
        <f>IF('Cleanup TMS'!BF109="","",'Cleanup TMS'!BF109)</f>
        <v>B</v>
      </c>
      <c r="E109" s="502">
        <f>IF('Cleanup TMS'!CH109="","",'Cleanup TMS'!CI109)</f>
        <v>0.36</v>
      </c>
      <c r="F109" s="502" t="str">
        <f>IF('Cleanup TMS'!CJ109="","",'Cleanup TMS'!CJ109)</f>
        <v>B</v>
      </c>
      <c r="G109" s="502" t="str">
        <f>IF('Cleanup TMS'!CP109="","",'Cleanup TMS'!CP109)</f>
        <v>NOT CONGESTED</v>
      </c>
      <c r="H109" s="503">
        <f>IF('Cleanup TMS'!L109="","",'Cleanup TMS'!L109)</f>
        <v>2</v>
      </c>
      <c r="I109" s="503">
        <f>IF('Cleanup TMS'!M109="","",'Cleanup TMS'!M109)</f>
        <v>2</v>
      </c>
      <c r="J109" s="503" t="str">
        <f>IF('Cleanup TMS'!Y109="","",'Cleanup TMS'!Y109)</f>
        <v>C</v>
      </c>
      <c r="K109">
        <v>0.33</v>
      </c>
    </row>
    <row r="110" spans="1:11">
      <c r="A110" s="501">
        <f>'Cleanup TMS'!A110</f>
        <v>3549130</v>
      </c>
      <c r="B110" t="str">
        <f>'Cleanup TMS'!Z110</f>
        <v>Other CMP Network Roadways</v>
      </c>
      <c r="C110" s="502">
        <f>IF('Cleanup TMS'!BE110="","",'Cleanup TMS'!BE110)</f>
        <v>0.27</v>
      </c>
      <c r="D110" s="502" t="str">
        <f>IF('Cleanup TMS'!BF110="","",'Cleanup TMS'!BF110)</f>
        <v>B</v>
      </c>
      <c r="E110" s="502">
        <f>IF('Cleanup TMS'!CH110="","",'Cleanup TMS'!CI110)</f>
        <v>0.3</v>
      </c>
      <c r="F110" s="502" t="str">
        <f>IF('Cleanup TMS'!CJ110="","",'Cleanup TMS'!CJ110)</f>
        <v>B</v>
      </c>
      <c r="G110" s="502" t="str">
        <f>IF('Cleanup TMS'!CP110="","",'Cleanup TMS'!CP110)</f>
        <v>NOT CONGESTED</v>
      </c>
      <c r="H110" s="503">
        <f>IF('Cleanup TMS'!L110="","",'Cleanup TMS'!L110)</f>
        <v>2</v>
      </c>
      <c r="I110" s="503">
        <f>IF('Cleanup TMS'!M110="","",'Cleanup TMS'!M110)</f>
        <v>2</v>
      </c>
      <c r="J110" s="503" t="str">
        <f>IF('Cleanup TMS'!Y110="","",'Cleanup TMS'!Y110)</f>
        <v>D</v>
      </c>
      <c r="K110">
        <v>0.27</v>
      </c>
    </row>
    <row r="111" spans="1:11">
      <c r="A111" s="501">
        <f>'Cleanup TMS'!A111</f>
        <v>3549140</v>
      </c>
      <c r="B111" t="str">
        <f>'Cleanup TMS'!Z111</f>
        <v>Other CMP Network Roadways</v>
      </c>
      <c r="C111" s="502">
        <f>IF('Cleanup TMS'!BE111="","",'Cleanup TMS'!BE111)</f>
        <v>0.27</v>
      </c>
      <c r="D111" s="502" t="str">
        <f>IF('Cleanup TMS'!BF111="","",'Cleanup TMS'!BF111)</f>
        <v>B</v>
      </c>
      <c r="E111" s="502">
        <f>IF('Cleanup TMS'!CH111="","",'Cleanup TMS'!CI111)</f>
        <v>0.33</v>
      </c>
      <c r="F111" s="502" t="str">
        <f>IF('Cleanup TMS'!CJ111="","",'Cleanup TMS'!CJ111)</f>
        <v>B</v>
      </c>
      <c r="G111" s="502" t="str">
        <f>IF('Cleanup TMS'!CP111="","",'Cleanup TMS'!CP111)</f>
        <v>NOT CONGESTED</v>
      </c>
      <c r="H111" s="503">
        <f>IF('Cleanup TMS'!L111="","",'Cleanup TMS'!L111)</f>
        <v>2</v>
      </c>
      <c r="I111" s="503">
        <f>IF('Cleanup TMS'!M111="","",'Cleanup TMS'!M111)</f>
        <v>2</v>
      </c>
      <c r="J111" s="503" t="str">
        <f>IF('Cleanup TMS'!Y111="","",'Cleanup TMS'!Y111)</f>
        <v>D</v>
      </c>
      <c r="K111">
        <v>0.27</v>
      </c>
    </row>
    <row r="112" spans="1:11">
      <c r="A112" s="501">
        <f>'Cleanup TMS'!A112</f>
        <v>3549160</v>
      </c>
      <c r="B112" t="str">
        <f>'Cleanup TMS'!Z112</f>
        <v>Other CMP Network Roadways</v>
      </c>
      <c r="C112" s="502">
        <f>IF('Cleanup TMS'!BE112="","",'Cleanup TMS'!BE112)</f>
        <v>0.68</v>
      </c>
      <c r="D112" s="502" t="str">
        <f>IF('Cleanup TMS'!BF112="","",'Cleanup TMS'!BF112)</f>
        <v>D</v>
      </c>
      <c r="E112" s="502">
        <f>IF('Cleanup TMS'!CH112="","",'Cleanup TMS'!CI112)</f>
        <v>0.86</v>
      </c>
      <c r="F112" s="502" t="str">
        <f>IF('Cleanup TMS'!CJ112="","",'Cleanup TMS'!CJ112)</f>
        <v>D</v>
      </c>
      <c r="G112" s="502" t="str">
        <f>IF('Cleanup TMS'!CP112="","",'Cleanup TMS'!CP112)</f>
        <v>NOT CONGESTED</v>
      </c>
      <c r="H112" s="503">
        <f>IF('Cleanup TMS'!L112="","",'Cleanup TMS'!L112)</f>
        <v>2</v>
      </c>
      <c r="I112" s="503">
        <f>IF('Cleanup TMS'!M112="","",'Cleanup TMS'!M112)</f>
        <v>2</v>
      </c>
      <c r="J112" s="503" t="str">
        <f>IF('Cleanup TMS'!Y112="","",'Cleanup TMS'!Y112)</f>
        <v>D</v>
      </c>
      <c r="K112">
        <v>0.68</v>
      </c>
    </row>
    <row r="113" spans="1:11">
      <c r="A113" s="501">
        <f>'Cleanup TMS'!A113</f>
        <v>3550100</v>
      </c>
      <c r="B113" t="str">
        <f>'Cleanup TMS'!Z113</f>
        <v>Other CMP Network Roadways</v>
      </c>
      <c r="C113" s="502">
        <f>IF('Cleanup TMS'!BE113="","",'Cleanup TMS'!BE113)</f>
        <v>0.34</v>
      </c>
      <c r="D113" s="502" t="str">
        <f>IF('Cleanup TMS'!BF113="","",'Cleanup TMS'!BF113)</f>
        <v>B</v>
      </c>
      <c r="E113" s="502">
        <f>IF('Cleanup TMS'!CH113="","",'Cleanup TMS'!CI113)</f>
        <v>0.36</v>
      </c>
      <c r="F113" s="502" t="str">
        <f>IF('Cleanup TMS'!CJ113="","",'Cleanup TMS'!CJ113)</f>
        <v>B</v>
      </c>
      <c r="G113" s="502" t="str">
        <f>IF('Cleanup TMS'!CP113="","",'Cleanup TMS'!CP113)</f>
        <v>NOT CONGESTED</v>
      </c>
      <c r="H113" s="503">
        <f>IF('Cleanup TMS'!L113="","",'Cleanup TMS'!L113)</f>
        <v>2</v>
      </c>
      <c r="I113" s="503">
        <f>IF('Cleanup TMS'!M113="","",'Cleanup TMS'!M113)</f>
        <v>2</v>
      </c>
      <c r="J113" s="503" t="str">
        <f>IF('Cleanup TMS'!Y113="","",'Cleanup TMS'!Y113)</f>
        <v>D</v>
      </c>
      <c r="K113">
        <v>0.34</v>
      </c>
    </row>
    <row r="114" spans="1:11">
      <c r="A114" s="501">
        <f>'Cleanup TMS'!A114</f>
        <v>3550110</v>
      </c>
      <c r="B114" t="str">
        <f>'Cleanup TMS'!Z114</f>
        <v>Other CMP Network Roadways</v>
      </c>
      <c r="C114" s="502">
        <f>IF('Cleanup TMS'!BE114="","",'Cleanup TMS'!BE114)</f>
        <v>0.56999999999999995</v>
      </c>
      <c r="D114" s="502" t="str">
        <f>IF('Cleanup TMS'!BF114="","",'Cleanup TMS'!BF114)</f>
        <v>C</v>
      </c>
      <c r="E114" s="502">
        <f>IF('Cleanup TMS'!CH114="","",'Cleanup TMS'!CI114)</f>
        <v>0.62</v>
      </c>
      <c r="F114" s="502" t="str">
        <f>IF('Cleanup TMS'!CJ114="","",'Cleanup TMS'!CJ114)</f>
        <v>C</v>
      </c>
      <c r="G114" s="502" t="str">
        <f>IF('Cleanup TMS'!CP114="","",'Cleanup TMS'!CP114)</f>
        <v>NOT CONGESTED</v>
      </c>
      <c r="H114" s="503">
        <f>IF('Cleanup TMS'!L114="","",'Cleanup TMS'!L114)</f>
        <v>2</v>
      </c>
      <c r="I114" s="503">
        <f>IF('Cleanup TMS'!M114="","",'Cleanup TMS'!M114)</f>
        <v>2</v>
      </c>
      <c r="J114" s="503" t="str">
        <f>IF('Cleanup TMS'!Y114="","",'Cleanup TMS'!Y114)</f>
        <v>D</v>
      </c>
      <c r="K114">
        <v>0.56999999999999995</v>
      </c>
    </row>
    <row r="115" spans="1:11">
      <c r="A115" s="501">
        <f>'Cleanup TMS'!A115</f>
        <v>3551100</v>
      </c>
      <c r="B115" t="str">
        <f>'Cleanup TMS'!Z115</f>
        <v>NHS Non-Interstate</v>
      </c>
      <c r="C115" s="502">
        <f>IF('Cleanup TMS'!BE115="","",'Cleanup TMS'!BE115)</f>
        <v>0.45</v>
      </c>
      <c r="D115" s="502" t="str">
        <f>IF('Cleanup TMS'!BF115="","",'Cleanup TMS'!BF115)</f>
        <v>C</v>
      </c>
      <c r="E115" s="502">
        <f>IF('Cleanup TMS'!CH115="","",'Cleanup TMS'!CI115)</f>
        <v>0.47</v>
      </c>
      <c r="F115" s="502" t="str">
        <f>IF('Cleanup TMS'!CJ115="","",'Cleanup TMS'!CJ115)</f>
        <v>C</v>
      </c>
      <c r="G115" s="502" t="str">
        <f>IF('Cleanup TMS'!CP115="","",'Cleanup TMS'!CP115)</f>
        <v>NOT CONGESTED</v>
      </c>
      <c r="H115" s="503">
        <f>IF('Cleanup TMS'!L115="","",'Cleanup TMS'!L115)</f>
        <v>4</v>
      </c>
      <c r="I115" s="503">
        <f>IF('Cleanup TMS'!M115="","",'Cleanup TMS'!M115)</f>
        <v>4</v>
      </c>
      <c r="J115" s="503" t="str">
        <f>IF('Cleanup TMS'!Y115="","",'Cleanup TMS'!Y115)</f>
        <v>D</v>
      </c>
      <c r="K115">
        <v>0.45</v>
      </c>
    </row>
    <row r="116" spans="1:11">
      <c r="A116" s="501">
        <f>'Cleanup TMS'!A116</f>
        <v>3551130</v>
      </c>
      <c r="B116" t="str">
        <f>'Cleanup TMS'!Z116</f>
        <v>NHS Non-Interstate</v>
      </c>
      <c r="C116" s="502">
        <f>IF('Cleanup TMS'!BE116="","",'Cleanup TMS'!BE116)</f>
        <v>0.47</v>
      </c>
      <c r="D116" s="502" t="str">
        <f>IF('Cleanup TMS'!BF116="","",'Cleanup TMS'!BF116)</f>
        <v>C</v>
      </c>
      <c r="E116" s="502">
        <f>IF('Cleanup TMS'!CH116="","",'Cleanup TMS'!CI116)</f>
        <v>0.49</v>
      </c>
      <c r="F116" s="502" t="str">
        <f>IF('Cleanup TMS'!CJ116="","",'Cleanup TMS'!CJ116)</f>
        <v>C</v>
      </c>
      <c r="G116" s="502" t="str">
        <f>IF('Cleanup TMS'!CP116="","",'Cleanup TMS'!CP116)</f>
        <v>NOT CONGESTED</v>
      </c>
      <c r="H116" s="503">
        <f>IF('Cleanup TMS'!L116="","",'Cleanup TMS'!L116)</f>
        <v>4</v>
      </c>
      <c r="I116" s="503">
        <f>IF('Cleanup TMS'!M116="","",'Cleanup TMS'!M116)</f>
        <v>4</v>
      </c>
      <c r="J116" s="503" t="str">
        <f>IF('Cleanup TMS'!Y116="","",'Cleanup TMS'!Y116)</f>
        <v>D</v>
      </c>
      <c r="K116">
        <v>0.47</v>
      </c>
    </row>
    <row r="117" spans="1:11">
      <c r="A117" s="501">
        <f>'Cleanup TMS'!A117</f>
        <v>3552100</v>
      </c>
      <c r="B117" t="str">
        <f>'Cleanup TMS'!Z117</f>
        <v>NHS Non-Interstate</v>
      </c>
      <c r="C117" s="502">
        <f>IF('Cleanup TMS'!BE117="","",'Cleanup TMS'!BE117)</f>
        <v>0.27</v>
      </c>
      <c r="D117" s="502" t="str">
        <f>IF('Cleanup TMS'!BF117="","",'Cleanup TMS'!BF117)</f>
        <v>B</v>
      </c>
      <c r="E117" s="502">
        <f>IF('Cleanup TMS'!CH117="","",'Cleanup TMS'!CI117)</f>
        <v>0.28000000000000003</v>
      </c>
      <c r="F117" s="502" t="str">
        <f>IF('Cleanup TMS'!CJ117="","",'Cleanup TMS'!CJ117)</f>
        <v>B</v>
      </c>
      <c r="G117" s="502" t="str">
        <f>IF('Cleanup TMS'!CP117="","",'Cleanup TMS'!CP117)</f>
        <v>NOT CONGESTED</v>
      </c>
      <c r="H117" s="503">
        <f>IF('Cleanup TMS'!L117="","",'Cleanup TMS'!L117)</f>
        <v>4</v>
      </c>
      <c r="I117" s="503">
        <f>IF('Cleanup TMS'!M117="","",'Cleanup TMS'!M117)</f>
        <v>4</v>
      </c>
      <c r="J117" s="503" t="str">
        <f>IF('Cleanup TMS'!Y117="","",'Cleanup TMS'!Y117)</f>
        <v>C</v>
      </c>
      <c r="K117">
        <v>0.27</v>
      </c>
    </row>
    <row r="118" spans="1:11">
      <c r="A118" s="501">
        <f>'Cleanup TMS'!A118</f>
        <v>3552110</v>
      </c>
      <c r="B118" t="str">
        <f>'Cleanup TMS'!Z118</f>
        <v>NHS Non-Interstate</v>
      </c>
      <c r="C118" s="502">
        <f>IF('Cleanup TMS'!BE118="","",'Cleanup TMS'!BE118)</f>
        <v>0.25</v>
      </c>
      <c r="D118" s="502" t="str">
        <f>IF('Cleanup TMS'!BF118="","",'Cleanup TMS'!BF118)</f>
        <v>B</v>
      </c>
      <c r="E118" s="502">
        <f>IF('Cleanup TMS'!CH118="","",'Cleanup TMS'!CI118)</f>
        <v>0.26</v>
      </c>
      <c r="F118" s="502" t="str">
        <f>IF('Cleanup TMS'!CJ118="","",'Cleanup TMS'!CJ118)</f>
        <v>B</v>
      </c>
      <c r="G118" s="502" t="str">
        <f>IF('Cleanup TMS'!CP118="","",'Cleanup TMS'!CP118)</f>
        <v>NOT CONGESTED</v>
      </c>
      <c r="H118" s="503">
        <f>IF('Cleanup TMS'!L118="","",'Cleanup TMS'!L118)</f>
        <v>4</v>
      </c>
      <c r="I118" s="503">
        <f>IF('Cleanup TMS'!M118="","",'Cleanup TMS'!M118)</f>
        <v>4</v>
      </c>
      <c r="J118" s="503" t="str">
        <f>IF('Cleanup TMS'!Y118="","",'Cleanup TMS'!Y118)</f>
        <v>C</v>
      </c>
      <c r="K118">
        <v>0.25</v>
      </c>
    </row>
    <row r="119" spans="1:11">
      <c r="A119" s="501">
        <f>'Cleanup TMS'!A119</f>
        <v>3552120</v>
      </c>
      <c r="B119" t="str">
        <f>'Cleanup TMS'!Z119</f>
        <v>NHS Non-Interstate</v>
      </c>
      <c r="C119" s="502">
        <f>IF('Cleanup TMS'!BE119="","",'Cleanup TMS'!BE119)</f>
        <v>0.23</v>
      </c>
      <c r="D119" s="502" t="str">
        <f>IF('Cleanup TMS'!BF119="","",'Cleanup TMS'!BF119)</f>
        <v>B</v>
      </c>
      <c r="E119" s="502">
        <f>IF('Cleanup TMS'!CH119="","",'Cleanup TMS'!CI119)</f>
        <v>0.24</v>
      </c>
      <c r="F119" s="502" t="str">
        <f>IF('Cleanup TMS'!CJ119="","",'Cleanup TMS'!CJ119)</f>
        <v>B</v>
      </c>
      <c r="G119" s="502" t="str">
        <f>IF('Cleanup TMS'!CP119="","",'Cleanup TMS'!CP119)</f>
        <v>NOT CONGESTED</v>
      </c>
      <c r="H119" s="503">
        <f>IF('Cleanup TMS'!L119="","",'Cleanup TMS'!L119)</f>
        <v>4</v>
      </c>
      <c r="I119" s="503">
        <f>IF('Cleanup TMS'!M119="","",'Cleanup TMS'!M119)</f>
        <v>4</v>
      </c>
      <c r="J119" s="503" t="str">
        <f>IF('Cleanup TMS'!Y119="","",'Cleanup TMS'!Y119)</f>
        <v>C</v>
      </c>
      <c r="K119">
        <v>0.23</v>
      </c>
    </row>
    <row r="120" spans="1:11">
      <c r="A120" s="501">
        <f>'Cleanup TMS'!A120</f>
        <v>3552130</v>
      </c>
      <c r="B120" t="str">
        <f>'Cleanup TMS'!Z120</f>
        <v>NHS Non-Interstate</v>
      </c>
      <c r="C120" s="502">
        <f>IF('Cleanup TMS'!BE120="","",'Cleanup TMS'!BE120)</f>
        <v>0.3</v>
      </c>
      <c r="D120" s="502" t="str">
        <f>IF('Cleanup TMS'!BF120="","",'Cleanup TMS'!BF120)</f>
        <v>B</v>
      </c>
      <c r="E120" s="502">
        <f>IF('Cleanup TMS'!CH120="","",'Cleanup TMS'!CI120)</f>
        <v>0.32</v>
      </c>
      <c r="F120" s="502" t="str">
        <f>IF('Cleanup TMS'!CJ120="","",'Cleanup TMS'!CJ120)</f>
        <v>B</v>
      </c>
      <c r="G120" s="502" t="str">
        <f>IF('Cleanup TMS'!CP120="","",'Cleanup TMS'!CP120)</f>
        <v>NOT CONGESTED</v>
      </c>
      <c r="H120" s="503">
        <f>IF('Cleanup TMS'!L120="","",'Cleanup TMS'!L120)</f>
        <v>4</v>
      </c>
      <c r="I120" s="503">
        <f>IF('Cleanup TMS'!M120="","",'Cleanup TMS'!M120)</f>
        <v>4</v>
      </c>
      <c r="J120" s="503" t="str">
        <f>IF('Cleanup TMS'!Y120="","",'Cleanup TMS'!Y120)</f>
        <v>D</v>
      </c>
      <c r="K120">
        <v>0.3</v>
      </c>
    </row>
    <row r="121" spans="1:11">
      <c r="A121" s="501">
        <f>'Cleanup TMS'!A121</f>
        <v>3553100</v>
      </c>
      <c r="B121" t="str">
        <f>'Cleanup TMS'!Z121</f>
        <v>Other CMP Network Roadways</v>
      </c>
      <c r="C121" s="502">
        <f>IF('Cleanup TMS'!BE121="","",'Cleanup TMS'!BE121)</f>
        <v>0.3</v>
      </c>
      <c r="D121" s="502" t="str">
        <f>IF('Cleanup TMS'!BF121="","",'Cleanup TMS'!BF121)</f>
        <v>B</v>
      </c>
      <c r="E121" s="502">
        <f>IF('Cleanup TMS'!CH121="","",'Cleanup TMS'!CI121)</f>
        <v>0.33</v>
      </c>
      <c r="F121" s="502" t="str">
        <f>IF('Cleanup TMS'!CJ121="","",'Cleanup TMS'!CJ121)</f>
        <v>B</v>
      </c>
      <c r="G121" s="502" t="str">
        <f>IF('Cleanup TMS'!CP121="","",'Cleanup TMS'!CP121)</f>
        <v>NOT CONGESTED</v>
      </c>
      <c r="H121" s="503">
        <f>IF('Cleanup TMS'!L121="","",'Cleanup TMS'!L121)</f>
        <v>2</v>
      </c>
      <c r="I121" s="503">
        <f>IF('Cleanup TMS'!M121="","",'Cleanup TMS'!M121)</f>
        <v>2</v>
      </c>
      <c r="J121" s="503" t="str">
        <f>IF('Cleanup TMS'!Y121="","",'Cleanup TMS'!Y121)</f>
        <v>D</v>
      </c>
      <c r="K121">
        <v>0.3</v>
      </c>
    </row>
    <row r="122" spans="1:11">
      <c r="A122" s="501">
        <f>'Cleanup TMS'!A122</f>
        <v>3553130</v>
      </c>
      <c r="B122" t="str">
        <f>'Cleanup TMS'!Z122</f>
        <v>Other CMP Network Roadways</v>
      </c>
      <c r="C122" s="502">
        <f>IF('Cleanup TMS'!BE122="","",'Cleanup TMS'!BE122)</f>
        <v>0.42</v>
      </c>
      <c r="D122" s="502" t="str">
        <f>IF('Cleanup TMS'!BF122="","",'Cleanup TMS'!BF122)</f>
        <v>C</v>
      </c>
      <c r="E122" s="502">
        <f>IF('Cleanup TMS'!CH122="","",'Cleanup TMS'!CI122)</f>
        <v>0.44</v>
      </c>
      <c r="F122" s="502" t="str">
        <f>IF('Cleanup TMS'!CJ122="","",'Cleanup TMS'!CJ122)</f>
        <v>C</v>
      </c>
      <c r="G122" s="502" t="str">
        <f>IF('Cleanup TMS'!CP122="","",'Cleanup TMS'!CP122)</f>
        <v>NOT CONGESTED</v>
      </c>
      <c r="H122" s="503">
        <f>IF('Cleanup TMS'!L122="","",'Cleanup TMS'!L122)</f>
        <v>2</v>
      </c>
      <c r="I122" s="503">
        <f>IF('Cleanup TMS'!M122="","",'Cleanup TMS'!M122)</f>
        <v>2</v>
      </c>
      <c r="J122" s="503" t="str">
        <f>IF('Cleanup TMS'!Y122="","",'Cleanup TMS'!Y122)</f>
        <v>D</v>
      </c>
      <c r="K122">
        <v>0.42</v>
      </c>
    </row>
    <row r="123" spans="1:11">
      <c r="A123" s="501">
        <f>'Cleanup TMS'!A123</f>
        <v>3553140</v>
      </c>
      <c r="B123" t="str">
        <f>'Cleanup TMS'!Z123</f>
        <v>Other CMP Network Roadways</v>
      </c>
      <c r="C123" s="502">
        <f>IF('Cleanup TMS'!BE123="","",'Cleanup TMS'!BE123)</f>
        <v>0.37</v>
      </c>
      <c r="D123" s="502" t="str">
        <f>IF('Cleanup TMS'!BF123="","",'Cleanup TMS'!BF123)</f>
        <v>C</v>
      </c>
      <c r="E123" s="502">
        <f>IF('Cleanup TMS'!CH123="","",'Cleanup TMS'!CI123)</f>
        <v>0.47</v>
      </c>
      <c r="F123" s="502" t="str">
        <f>IF('Cleanup TMS'!CJ123="","",'Cleanup TMS'!CJ123)</f>
        <v>C</v>
      </c>
      <c r="G123" s="502" t="str">
        <f>IF('Cleanup TMS'!CP123="","",'Cleanup TMS'!CP123)</f>
        <v>NOT CONGESTED</v>
      </c>
      <c r="H123" s="503">
        <f>IF('Cleanup TMS'!L123="","",'Cleanup TMS'!L123)</f>
        <v>2</v>
      </c>
      <c r="I123" s="503">
        <f>IF('Cleanup TMS'!M123="","",'Cleanup TMS'!M123)</f>
        <v>2</v>
      </c>
      <c r="J123" s="503" t="str">
        <f>IF('Cleanup TMS'!Y123="","",'Cleanup TMS'!Y123)</f>
        <v>D</v>
      </c>
      <c r="K123">
        <v>0.37</v>
      </c>
    </row>
    <row r="124" spans="1:11">
      <c r="A124" s="501">
        <f>'Cleanup TMS'!A124</f>
        <v>3553150</v>
      </c>
      <c r="B124" t="str">
        <f>'Cleanup TMS'!Z124</f>
        <v>Other CMP Network Roadways</v>
      </c>
      <c r="C124" s="502">
        <f>IF('Cleanup TMS'!BE124="","",'Cleanup TMS'!BE124)</f>
        <v>0.31</v>
      </c>
      <c r="D124" s="502" t="str">
        <f>IF('Cleanup TMS'!BF124="","",'Cleanup TMS'!BF124)</f>
        <v>C</v>
      </c>
      <c r="E124" s="502">
        <f>IF('Cleanup TMS'!CH124="","",'Cleanup TMS'!CI124)</f>
        <v>0.4</v>
      </c>
      <c r="F124" s="502" t="str">
        <f>IF('Cleanup TMS'!CJ124="","",'Cleanup TMS'!CJ124)</f>
        <v>C</v>
      </c>
      <c r="G124" s="502" t="str">
        <f>IF('Cleanup TMS'!CP124="","",'Cleanup TMS'!CP124)</f>
        <v>NOT CONGESTED</v>
      </c>
      <c r="H124" s="503">
        <f>IF('Cleanup TMS'!L124="","",'Cleanup TMS'!L124)</f>
        <v>2</v>
      </c>
      <c r="I124" s="503">
        <f>IF('Cleanup TMS'!M124="","",'Cleanup TMS'!M124)</f>
        <v>2</v>
      </c>
      <c r="J124" s="503" t="str">
        <f>IF('Cleanup TMS'!Y124="","",'Cleanup TMS'!Y124)</f>
        <v>D</v>
      </c>
      <c r="K124">
        <v>0.31</v>
      </c>
    </row>
    <row r="125" spans="1:11">
      <c r="A125" s="501">
        <f>'Cleanup TMS'!A125</f>
        <v>3553160</v>
      </c>
      <c r="B125" t="str">
        <f>'Cleanup TMS'!Z125</f>
        <v>Other CMP Network Roadways</v>
      </c>
      <c r="C125" s="502">
        <f>IF('Cleanup TMS'!BE125="","",'Cleanup TMS'!BE125)</f>
        <v>0.41</v>
      </c>
      <c r="D125" s="502" t="str">
        <f>IF('Cleanup TMS'!BF125="","",'Cleanup TMS'!BF125)</f>
        <v>B</v>
      </c>
      <c r="E125" s="502">
        <f>IF('Cleanup TMS'!CH125="","",'Cleanup TMS'!CI125)</f>
        <v>0.52</v>
      </c>
      <c r="F125" s="502" t="str">
        <f>IF('Cleanup TMS'!CJ125="","",'Cleanup TMS'!CJ125)</f>
        <v>C</v>
      </c>
      <c r="G125" s="502" t="str">
        <f>IF('Cleanup TMS'!CP125="","",'Cleanup TMS'!CP125)</f>
        <v>NOT CONGESTED</v>
      </c>
      <c r="H125" s="503">
        <f>IF('Cleanup TMS'!L125="","",'Cleanup TMS'!L125)</f>
        <v>2</v>
      </c>
      <c r="I125" s="503">
        <f>IF('Cleanup TMS'!M125="","",'Cleanup TMS'!M125)</f>
        <v>2</v>
      </c>
      <c r="J125" s="503" t="str">
        <f>IF('Cleanup TMS'!Y125="","",'Cleanup TMS'!Y125)</f>
        <v>D</v>
      </c>
      <c r="K125">
        <v>0.41</v>
      </c>
    </row>
    <row r="126" spans="1:11">
      <c r="A126" s="501">
        <f>'Cleanup TMS'!A126</f>
        <v>3553170</v>
      </c>
      <c r="B126" t="str">
        <f>'Cleanup TMS'!Z126</f>
        <v>Other CMP Network Roadways</v>
      </c>
      <c r="C126" s="502">
        <f>IF('Cleanup TMS'!BE126="","",'Cleanup TMS'!BE126)</f>
        <v>0.41</v>
      </c>
      <c r="D126" s="502" t="str">
        <f>IF('Cleanup TMS'!BF126="","",'Cleanup TMS'!BF126)</f>
        <v>B</v>
      </c>
      <c r="E126" s="502">
        <f>IF('Cleanup TMS'!CH126="","",'Cleanup TMS'!CI126)</f>
        <v>0.5</v>
      </c>
      <c r="F126" s="502" t="str">
        <f>IF('Cleanup TMS'!CJ126="","",'Cleanup TMS'!CJ126)</f>
        <v>C</v>
      </c>
      <c r="G126" s="502" t="str">
        <f>IF('Cleanup TMS'!CP126="","",'Cleanup TMS'!CP126)</f>
        <v>NOT CONGESTED</v>
      </c>
      <c r="H126" s="503">
        <f>IF('Cleanup TMS'!L126="","",'Cleanup TMS'!L126)</f>
        <v>2</v>
      </c>
      <c r="I126" s="503">
        <f>IF('Cleanup TMS'!M126="","",'Cleanup TMS'!M126)</f>
        <v>2</v>
      </c>
      <c r="J126" s="503" t="str">
        <f>IF('Cleanup TMS'!Y126="","",'Cleanup TMS'!Y126)</f>
        <v>D</v>
      </c>
      <c r="K126">
        <v>0.41</v>
      </c>
    </row>
    <row r="127" spans="1:11">
      <c r="A127" s="501">
        <f>'Cleanup TMS'!A127</f>
        <v>3553180</v>
      </c>
      <c r="B127" t="str">
        <f>'Cleanup TMS'!Z127</f>
        <v>Other CMP Network Roadways</v>
      </c>
      <c r="C127" s="502">
        <f>IF('Cleanup TMS'!BE127="","",'Cleanup TMS'!BE127)</f>
        <v>0.28999999999999998</v>
      </c>
      <c r="D127" s="502" t="str">
        <f>IF('Cleanup TMS'!BF127="","",'Cleanup TMS'!BF127)</f>
        <v>B</v>
      </c>
      <c r="E127" s="502">
        <f>IF('Cleanup TMS'!CH127="","",'Cleanup TMS'!CI127)</f>
        <v>0.34</v>
      </c>
      <c r="F127" s="502" t="str">
        <f>IF('Cleanup TMS'!CJ127="","",'Cleanup TMS'!CJ127)</f>
        <v>B</v>
      </c>
      <c r="G127" s="502" t="str">
        <f>IF('Cleanup TMS'!CP127="","",'Cleanup TMS'!CP127)</f>
        <v>NOT CONGESTED</v>
      </c>
      <c r="H127" s="503">
        <f>IF('Cleanup TMS'!L127="","",'Cleanup TMS'!L127)</f>
        <v>2</v>
      </c>
      <c r="I127" s="503">
        <f>IF('Cleanup TMS'!M127="","",'Cleanup TMS'!M127)</f>
        <v>2</v>
      </c>
      <c r="J127" s="503" t="str">
        <f>IF('Cleanup TMS'!Y127="","",'Cleanup TMS'!Y127)</f>
        <v>D</v>
      </c>
      <c r="K127">
        <v>0.28999999999999998</v>
      </c>
    </row>
    <row r="128" spans="1:11">
      <c r="A128" s="501">
        <f>'Cleanup TMS'!A128</f>
        <v>3553190</v>
      </c>
      <c r="B128" t="str">
        <f>'Cleanup TMS'!Z128</f>
        <v>Other CMP Network Roadways</v>
      </c>
      <c r="C128" s="502">
        <f>IF('Cleanup TMS'!BE128="","",'Cleanup TMS'!BE128)</f>
        <v>0.28000000000000003</v>
      </c>
      <c r="D128" s="502" t="str">
        <f>IF('Cleanup TMS'!BF128="","",'Cleanup TMS'!BF128)</f>
        <v>B</v>
      </c>
      <c r="E128" s="502">
        <f>IF('Cleanup TMS'!CH128="","",'Cleanup TMS'!CI128)</f>
        <v>0.35</v>
      </c>
      <c r="F128" s="502" t="str">
        <f>IF('Cleanup TMS'!CJ128="","",'Cleanup TMS'!CJ128)</f>
        <v>B</v>
      </c>
      <c r="G128" s="502" t="str">
        <f>IF('Cleanup TMS'!CP128="","",'Cleanup TMS'!CP128)</f>
        <v>NOT CONGESTED</v>
      </c>
      <c r="H128" s="503">
        <f>IF('Cleanup TMS'!L128="","",'Cleanup TMS'!L128)</f>
        <v>2</v>
      </c>
      <c r="I128" s="503">
        <f>IF('Cleanup TMS'!M128="","",'Cleanup TMS'!M128)</f>
        <v>2</v>
      </c>
      <c r="J128" s="503" t="str">
        <f>IF('Cleanup TMS'!Y128="","",'Cleanup TMS'!Y128)</f>
        <v>D</v>
      </c>
      <c r="K128">
        <v>0.28000000000000003</v>
      </c>
    </row>
    <row r="129" spans="1:11">
      <c r="A129" s="501">
        <f>'Cleanup TMS'!A129</f>
        <v>3553200</v>
      </c>
      <c r="B129" t="str">
        <f>'Cleanup TMS'!Z129</f>
        <v>Other CMP Network Roadways</v>
      </c>
      <c r="C129" s="502">
        <f>IF('Cleanup TMS'!BE129="","",'Cleanup TMS'!BE129)</f>
        <v>0.34</v>
      </c>
      <c r="D129" s="502" t="str">
        <f>IF('Cleanup TMS'!BF129="","",'Cleanup TMS'!BF129)</f>
        <v>B</v>
      </c>
      <c r="E129" s="502">
        <f>IF('Cleanup TMS'!CH129="","",'Cleanup TMS'!CI129)</f>
        <v>0.42</v>
      </c>
      <c r="F129" s="502" t="str">
        <f>IF('Cleanup TMS'!CJ129="","",'Cleanup TMS'!CJ129)</f>
        <v>B</v>
      </c>
      <c r="G129" s="502" t="str">
        <f>IF('Cleanup TMS'!CP129="","",'Cleanup TMS'!CP129)</f>
        <v>NOT CONGESTED</v>
      </c>
      <c r="H129" s="503">
        <f>IF('Cleanup TMS'!L129="","",'Cleanup TMS'!L129)</f>
        <v>2</v>
      </c>
      <c r="I129" s="503">
        <f>IF('Cleanup TMS'!M129="","",'Cleanup TMS'!M129)</f>
        <v>2</v>
      </c>
      <c r="J129" s="503" t="str">
        <f>IF('Cleanup TMS'!Y129="","",'Cleanup TMS'!Y129)</f>
        <v>D</v>
      </c>
      <c r="K129">
        <v>0.34</v>
      </c>
    </row>
    <row r="130" spans="1:11">
      <c r="A130" s="501">
        <f>'Cleanup TMS'!A130</f>
        <v>3553210</v>
      </c>
      <c r="B130" t="str">
        <f>'Cleanup TMS'!Z130</f>
        <v>Other CMP Network Roadways</v>
      </c>
      <c r="C130" s="502">
        <f>IF('Cleanup TMS'!BE130="","",'Cleanup TMS'!BE130)</f>
        <v>0.34</v>
      </c>
      <c r="D130" s="502" t="str">
        <f>IF('Cleanup TMS'!BF130="","",'Cleanup TMS'!BF130)</f>
        <v>B</v>
      </c>
      <c r="E130" s="502">
        <f>IF('Cleanup TMS'!CH130="","",'Cleanup TMS'!CI130)</f>
        <v>0.42</v>
      </c>
      <c r="F130" s="502" t="str">
        <f>IF('Cleanup TMS'!CJ130="","",'Cleanup TMS'!CJ130)</f>
        <v>B</v>
      </c>
      <c r="G130" s="502" t="str">
        <f>IF('Cleanup TMS'!CP130="","",'Cleanup TMS'!CP130)</f>
        <v>NOT CONGESTED</v>
      </c>
      <c r="H130" s="503">
        <f>IF('Cleanup TMS'!L130="","",'Cleanup TMS'!L130)</f>
        <v>2</v>
      </c>
      <c r="I130" s="503">
        <f>IF('Cleanup TMS'!M130="","",'Cleanup TMS'!M130)</f>
        <v>2</v>
      </c>
      <c r="J130" s="503" t="str">
        <f>IF('Cleanup TMS'!Y130="","",'Cleanup TMS'!Y130)</f>
        <v>D</v>
      </c>
      <c r="K130">
        <v>0.34</v>
      </c>
    </row>
    <row r="131" spans="1:11">
      <c r="A131" s="501">
        <f>'Cleanup TMS'!A131</f>
        <v>3554120</v>
      </c>
      <c r="B131" t="str">
        <f>'Cleanup TMS'!Z131</f>
        <v>NHS Non-Interstate</v>
      </c>
      <c r="C131" s="502">
        <f>IF('Cleanup TMS'!BE131="","",'Cleanup TMS'!BE131)</f>
        <v>0.38</v>
      </c>
      <c r="D131" s="502" t="str">
        <f>IF('Cleanup TMS'!BF131="","",'Cleanup TMS'!BF131)</f>
        <v>C</v>
      </c>
      <c r="E131" s="502">
        <f>IF('Cleanup TMS'!CH131="","",'Cleanup TMS'!CI131)</f>
        <v>0.41</v>
      </c>
      <c r="F131" s="502" t="str">
        <f>IF('Cleanup TMS'!CJ131="","",'Cleanup TMS'!CJ131)</f>
        <v>C</v>
      </c>
      <c r="G131" s="502" t="str">
        <f>IF('Cleanup TMS'!CP131="","",'Cleanup TMS'!CP131)</f>
        <v>NOT CONGESTED</v>
      </c>
      <c r="H131" s="503">
        <f>IF('Cleanup TMS'!L131="","",'Cleanup TMS'!L131)</f>
        <v>4</v>
      </c>
      <c r="I131" s="503">
        <f>IF('Cleanup TMS'!M131="","",'Cleanup TMS'!M131)</f>
        <v>4</v>
      </c>
      <c r="J131" s="503" t="str">
        <f>IF('Cleanup TMS'!Y131="","",'Cleanup TMS'!Y131)</f>
        <v>D</v>
      </c>
      <c r="K131">
        <v>0.38</v>
      </c>
    </row>
    <row r="132" spans="1:11">
      <c r="A132" s="501">
        <f>'Cleanup TMS'!A132</f>
        <v>3554130</v>
      </c>
      <c r="B132" t="str">
        <f>'Cleanup TMS'!Z132</f>
        <v>NHS Non-Interstate</v>
      </c>
      <c r="C132" s="502">
        <f>IF('Cleanup TMS'!BE132="","",'Cleanup TMS'!BE132)</f>
        <v>0.37</v>
      </c>
      <c r="D132" s="502" t="str">
        <f>IF('Cleanup TMS'!BF132="","",'Cleanup TMS'!BF132)</f>
        <v>C</v>
      </c>
      <c r="E132" s="502">
        <f>IF('Cleanup TMS'!CH132="","",'Cleanup TMS'!CI132)</f>
        <v>0.38</v>
      </c>
      <c r="F132" s="502" t="str">
        <f>IF('Cleanup TMS'!CJ132="","",'Cleanup TMS'!CJ132)</f>
        <v>C</v>
      </c>
      <c r="G132" s="502" t="str">
        <f>IF('Cleanup TMS'!CP132="","",'Cleanup TMS'!CP132)</f>
        <v>NOT CONGESTED</v>
      </c>
      <c r="H132" s="503">
        <f>IF('Cleanup TMS'!L132="","",'Cleanup TMS'!L132)</f>
        <v>4</v>
      </c>
      <c r="I132" s="503">
        <f>IF('Cleanup TMS'!M132="","",'Cleanup TMS'!M132)</f>
        <v>4</v>
      </c>
      <c r="J132" s="503" t="str">
        <f>IF('Cleanup TMS'!Y132="","",'Cleanup TMS'!Y132)</f>
        <v>D</v>
      </c>
      <c r="K132">
        <v>0.37</v>
      </c>
    </row>
    <row r="133" spans="1:11">
      <c r="A133" s="501">
        <f>'Cleanup TMS'!A133</f>
        <v>3554140</v>
      </c>
      <c r="B133" t="str">
        <f>'Cleanup TMS'!Z133</f>
        <v>NHS Non-Interstate</v>
      </c>
      <c r="C133" s="502">
        <f>IF('Cleanup TMS'!BE133="","",'Cleanup TMS'!BE133)</f>
        <v>0.31</v>
      </c>
      <c r="D133" s="502" t="str">
        <f>IF('Cleanup TMS'!BF133="","",'Cleanup TMS'!BF133)</f>
        <v>C</v>
      </c>
      <c r="E133" s="502">
        <f>IF('Cleanup TMS'!CH133="","",'Cleanup TMS'!CI133)</f>
        <v>0.41</v>
      </c>
      <c r="F133" s="502" t="str">
        <f>IF('Cleanup TMS'!CJ133="","",'Cleanup TMS'!CJ133)</f>
        <v>C</v>
      </c>
      <c r="G133" s="502" t="str">
        <f>IF('Cleanup TMS'!CP133="","",'Cleanup TMS'!CP133)</f>
        <v>NOT CONGESTED</v>
      </c>
      <c r="H133" s="503">
        <f>IF('Cleanup TMS'!L133="","",'Cleanup TMS'!L133)</f>
        <v>4</v>
      </c>
      <c r="I133" s="503">
        <f>IF('Cleanup TMS'!M133="","",'Cleanup TMS'!M133)</f>
        <v>4</v>
      </c>
      <c r="J133" s="503" t="str">
        <f>IF('Cleanup TMS'!Y133="","",'Cleanup TMS'!Y133)</f>
        <v>D</v>
      </c>
      <c r="K133">
        <v>0.31</v>
      </c>
    </row>
    <row r="134" spans="1:11">
      <c r="A134" s="501">
        <f>'Cleanup TMS'!A134</f>
        <v>3555100</v>
      </c>
      <c r="B134" t="str">
        <f>'Cleanup TMS'!Z134</f>
        <v>Other CMP Network Roadways</v>
      </c>
      <c r="C134" s="502">
        <f>IF('Cleanup TMS'!BE134="","",'Cleanup TMS'!BE134)</f>
        <v>0.53</v>
      </c>
      <c r="D134" s="502" t="str">
        <f>IF('Cleanup TMS'!BF134="","",'Cleanup TMS'!BF134)</f>
        <v>B</v>
      </c>
      <c r="E134" s="502">
        <f>IF('Cleanup TMS'!CH134="","",'Cleanup TMS'!CI134)</f>
        <v>0.56000000000000005</v>
      </c>
      <c r="F134" s="502" t="str">
        <f>IF('Cleanup TMS'!CJ134="","",'Cleanup TMS'!CJ134)</f>
        <v>C</v>
      </c>
      <c r="G134" s="502" t="str">
        <f>IF('Cleanup TMS'!CP134="","",'Cleanup TMS'!CP134)</f>
        <v>NOT CONGESTED</v>
      </c>
      <c r="H134" s="503">
        <f>IF('Cleanup TMS'!L134="","",'Cleanup TMS'!L134)</f>
        <v>2</v>
      </c>
      <c r="I134" s="503">
        <f>IF('Cleanup TMS'!M134="","",'Cleanup TMS'!M134)</f>
        <v>2</v>
      </c>
      <c r="J134" s="503" t="str">
        <f>IF('Cleanup TMS'!Y134="","",'Cleanup TMS'!Y134)</f>
        <v>C</v>
      </c>
      <c r="K134">
        <v>0.53</v>
      </c>
    </row>
    <row r="135" spans="1:11">
      <c r="A135" s="501">
        <f>'Cleanup TMS'!A135</f>
        <v>3555110</v>
      </c>
      <c r="B135" t="str">
        <f>'Cleanup TMS'!Z135</f>
        <v>Other CMP Network Roadways</v>
      </c>
      <c r="C135" s="502">
        <f>IF('Cleanup TMS'!BE135="","",'Cleanup TMS'!BE135)</f>
        <v>0.63</v>
      </c>
      <c r="D135" s="502" t="str">
        <f>IF('Cleanup TMS'!BF135="","",'Cleanup TMS'!BF135)</f>
        <v>C</v>
      </c>
      <c r="E135" s="502">
        <f>IF('Cleanup TMS'!CH135="","",'Cleanup TMS'!CI135)</f>
        <v>0.72</v>
      </c>
      <c r="F135" s="502" t="str">
        <f>IF('Cleanup TMS'!CJ135="","",'Cleanup TMS'!CJ135)</f>
        <v>C</v>
      </c>
      <c r="G135" s="502" t="str">
        <f>IF('Cleanup TMS'!CP135="","",'Cleanup TMS'!CP135)</f>
        <v>NOT CONGESTED</v>
      </c>
      <c r="H135" s="503">
        <f>IF('Cleanup TMS'!L135="","",'Cleanup TMS'!L135)</f>
        <v>2</v>
      </c>
      <c r="I135" s="503">
        <f>IF('Cleanup TMS'!M135="","",'Cleanup TMS'!M135)</f>
        <v>2</v>
      </c>
      <c r="J135" s="503" t="str">
        <f>IF('Cleanup TMS'!Y135="","",'Cleanup TMS'!Y135)</f>
        <v>C</v>
      </c>
      <c r="K135">
        <v>0.63</v>
      </c>
    </row>
    <row r="136" spans="1:11">
      <c r="A136" s="501">
        <f>'Cleanup TMS'!A136</f>
        <v>3555120</v>
      </c>
      <c r="B136" t="str">
        <f>'Cleanup TMS'!Z136</f>
        <v>Other CMP Network Roadways</v>
      </c>
      <c r="C136" s="502">
        <f>IF('Cleanup TMS'!BE136="","",'Cleanup TMS'!BE136)</f>
        <v>0.27</v>
      </c>
      <c r="D136" s="502" t="str">
        <f>IF('Cleanup TMS'!BF136="","",'Cleanup TMS'!BF136)</f>
        <v>B</v>
      </c>
      <c r="E136" s="502">
        <f>IF('Cleanup TMS'!CH136="","",'Cleanup TMS'!CI136)</f>
        <v>0.3</v>
      </c>
      <c r="F136" s="502" t="str">
        <f>IF('Cleanup TMS'!CJ136="","",'Cleanup TMS'!CJ136)</f>
        <v>B</v>
      </c>
      <c r="G136" s="502" t="str">
        <f>IF('Cleanup TMS'!CP136="","",'Cleanup TMS'!CP136)</f>
        <v>NOT CONGESTED</v>
      </c>
      <c r="H136" s="503">
        <f>IF('Cleanup TMS'!L136="","",'Cleanup TMS'!L136)</f>
        <v>2</v>
      </c>
      <c r="I136" s="503">
        <f>IF('Cleanup TMS'!M136="","",'Cleanup TMS'!M136)</f>
        <v>2</v>
      </c>
      <c r="J136" s="503" t="str">
        <f>IF('Cleanup TMS'!Y136="","",'Cleanup TMS'!Y136)</f>
        <v>D</v>
      </c>
      <c r="K136">
        <v>0.27</v>
      </c>
    </row>
    <row r="137" spans="1:11">
      <c r="A137" s="501">
        <f>'Cleanup TMS'!A137</f>
        <v>3555130</v>
      </c>
      <c r="B137" t="str">
        <f>'Cleanup TMS'!Z137</f>
        <v>Other CMP Network Roadways</v>
      </c>
      <c r="C137" s="502">
        <f>IF('Cleanup TMS'!BE137="","",'Cleanup TMS'!BE137)</f>
        <v>0.19</v>
      </c>
      <c r="D137" s="502" t="str">
        <f>IF('Cleanup TMS'!BF137="","",'Cleanup TMS'!BF137)</f>
        <v>C</v>
      </c>
      <c r="E137" s="502">
        <f>IF('Cleanup TMS'!CH137="","",'Cleanup TMS'!CI137)</f>
        <v>0.2</v>
      </c>
      <c r="F137" s="502" t="str">
        <f>IF('Cleanup TMS'!CJ137="","",'Cleanup TMS'!CJ137)</f>
        <v>C</v>
      </c>
      <c r="G137" s="502" t="str">
        <f>IF('Cleanup TMS'!CP137="","",'Cleanup TMS'!CP137)</f>
        <v>NOT CONGESTED</v>
      </c>
      <c r="H137" s="503">
        <f>IF('Cleanup TMS'!L137="","",'Cleanup TMS'!L137)</f>
        <v>4</v>
      </c>
      <c r="I137" s="503">
        <f>IF('Cleanup TMS'!M137="","",'Cleanup TMS'!M137)</f>
        <v>4</v>
      </c>
      <c r="J137" s="503" t="str">
        <f>IF('Cleanup TMS'!Y137="","",'Cleanup TMS'!Y137)</f>
        <v>D</v>
      </c>
      <c r="K137">
        <v>0.19</v>
      </c>
    </row>
    <row r="138" spans="1:11">
      <c r="A138" s="501">
        <f>'Cleanup TMS'!A138</f>
        <v>3556100</v>
      </c>
      <c r="B138" t="str">
        <f>'Cleanup TMS'!Z138</f>
        <v>Other CMP Network Roadways</v>
      </c>
      <c r="C138" s="502">
        <f>IF('Cleanup TMS'!BE138="","",'Cleanup TMS'!BE138)</f>
        <v>0.25</v>
      </c>
      <c r="D138" s="502" t="str">
        <f>IF('Cleanup TMS'!BF138="","",'Cleanup TMS'!BF138)</f>
        <v>B</v>
      </c>
      <c r="E138" s="502">
        <f>IF('Cleanup TMS'!CH138="","",'Cleanup TMS'!CI138)</f>
        <v>0.27</v>
      </c>
      <c r="F138" s="502" t="str">
        <f>IF('Cleanup TMS'!CJ138="","",'Cleanup TMS'!CJ138)</f>
        <v>B</v>
      </c>
      <c r="G138" s="502" t="str">
        <f>IF('Cleanup TMS'!CP138="","",'Cleanup TMS'!CP138)</f>
        <v>NOT CONGESTED</v>
      </c>
      <c r="H138" s="503">
        <f>IF('Cleanup TMS'!L138="","",'Cleanup TMS'!L138)</f>
        <v>2</v>
      </c>
      <c r="I138" s="503">
        <f>IF('Cleanup TMS'!M138="","",'Cleanup TMS'!M138)</f>
        <v>2</v>
      </c>
      <c r="J138" s="503" t="str">
        <f>IF('Cleanup TMS'!Y138="","",'Cleanup TMS'!Y138)</f>
        <v>D</v>
      </c>
      <c r="K138">
        <v>0.25</v>
      </c>
    </row>
    <row r="139" spans="1:11">
      <c r="A139" s="501">
        <f>'Cleanup TMS'!A139</f>
        <v>3556110</v>
      </c>
      <c r="B139" t="str">
        <f>'Cleanup TMS'!Z139</f>
        <v>Other CMP Network Roadways</v>
      </c>
      <c r="C139" s="502">
        <f>IF('Cleanup TMS'!BE139="","",'Cleanup TMS'!BE139)</f>
        <v>0.19</v>
      </c>
      <c r="D139" s="502" t="str">
        <f>IF('Cleanup TMS'!BF139="","",'Cleanup TMS'!BF139)</f>
        <v>B</v>
      </c>
      <c r="E139" s="502">
        <f>IF('Cleanup TMS'!CH139="","",'Cleanup TMS'!CI139)</f>
        <v>0.21</v>
      </c>
      <c r="F139" s="502" t="str">
        <f>IF('Cleanup TMS'!CJ139="","",'Cleanup TMS'!CJ139)</f>
        <v>B</v>
      </c>
      <c r="G139" s="502" t="str">
        <f>IF('Cleanup TMS'!CP139="","",'Cleanup TMS'!CP139)</f>
        <v>NOT CONGESTED</v>
      </c>
      <c r="H139" s="503">
        <f>IF('Cleanup TMS'!L139="","",'Cleanup TMS'!L139)</f>
        <v>2</v>
      </c>
      <c r="I139" s="503">
        <f>IF('Cleanup TMS'!M139="","",'Cleanup TMS'!M139)</f>
        <v>2</v>
      </c>
      <c r="J139" s="503" t="str">
        <f>IF('Cleanup TMS'!Y139="","",'Cleanup TMS'!Y139)</f>
        <v>D</v>
      </c>
      <c r="K139">
        <v>0.19</v>
      </c>
    </row>
    <row r="140" spans="1:11">
      <c r="A140" s="501">
        <f>'Cleanup TMS'!A140</f>
        <v>3557110</v>
      </c>
      <c r="B140" t="str">
        <f>'Cleanup TMS'!Z140</f>
        <v>Other CMP Network Roadways</v>
      </c>
      <c r="C140" s="502">
        <f>IF('Cleanup TMS'!BE140="","",'Cleanup TMS'!BE140)</f>
        <v>0.4</v>
      </c>
      <c r="D140" s="502" t="str">
        <f>IF('Cleanup TMS'!BF140="","",'Cleanup TMS'!BF140)</f>
        <v>C</v>
      </c>
      <c r="E140" s="502">
        <f>IF('Cleanup TMS'!CH140="","",'Cleanup TMS'!CI140)</f>
        <v>0.53</v>
      </c>
      <c r="F140" s="502" t="str">
        <f>IF('Cleanup TMS'!CJ140="","",'Cleanup TMS'!CJ140)</f>
        <v>C</v>
      </c>
      <c r="G140" s="502" t="str">
        <f>IF('Cleanup TMS'!CP140="","",'Cleanup TMS'!CP140)</f>
        <v>NOT CONGESTED</v>
      </c>
      <c r="H140" s="503">
        <f>IF('Cleanup TMS'!L140="","",'Cleanup TMS'!L140)</f>
        <v>4</v>
      </c>
      <c r="I140" s="503">
        <f>IF('Cleanup TMS'!M140="","",'Cleanup TMS'!M140)</f>
        <v>4</v>
      </c>
      <c r="J140" s="503" t="str">
        <f>IF('Cleanup TMS'!Y140="","",'Cleanup TMS'!Y140)</f>
        <v>D</v>
      </c>
      <c r="K140">
        <v>0.4</v>
      </c>
    </row>
    <row r="141" spans="1:11">
      <c r="A141" s="501">
        <f>'Cleanup TMS'!A141</f>
        <v>3557120</v>
      </c>
      <c r="B141" t="str">
        <f>'Cleanup TMS'!Z141</f>
        <v>Other CMP Network Roadways</v>
      </c>
      <c r="C141" s="502">
        <f>IF('Cleanup TMS'!BE141="","",'Cleanup TMS'!BE141)</f>
        <v>0.39</v>
      </c>
      <c r="D141" s="502" t="str">
        <f>IF('Cleanup TMS'!BF141="","",'Cleanup TMS'!BF141)</f>
        <v>C</v>
      </c>
      <c r="E141" s="502">
        <f>IF('Cleanup TMS'!CH141="","",'Cleanup TMS'!CI141)</f>
        <v>0.56000000000000005</v>
      </c>
      <c r="F141" s="502" t="str">
        <f>IF('Cleanup TMS'!CJ141="","",'Cleanup TMS'!CJ141)</f>
        <v>C</v>
      </c>
      <c r="G141" s="502" t="str">
        <f>IF('Cleanup TMS'!CP141="","",'Cleanup TMS'!CP141)</f>
        <v>NOT CONGESTED</v>
      </c>
      <c r="H141" s="503">
        <f>IF('Cleanup TMS'!L141="","",'Cleanup TMS'!L141)</f>
        <v>4</v>
      </c>
      <c r="I141" s="503">
        <f>IF('Cleanup TMS'!M141="","",'Cleanup TMS'!M141)</f>
        <v>4</v>
      </c>
      <c r="J141" s="503" t="str">
        <f>IF('Cleanup TMS'!Y141="","",'Cleanup TMS'!Y141)</f>
        <v>D</v>
      </c>
      <c r="K141">
        <v>0.39</v>
      </c>
    </row>
    <row r="142" spans="1:11">
      <c r="A142" s="501">
        <f>'Cleanup TMS'!A142</f>
        <v>3557130</v>
      </c>
      <c r="B142" t="str">
        <f>'Cleanup TMS'!Z142</f>
        <v>Other CMP Network Roadways</v>
      </c>
      <c r="C142" s="502">
        <f>IF('Cleanup TMS'!BE142="","",'Cleanup TMS'!BE142)</f>
        <v>0.73</v>
      </c>
      <c r="D142" s="502" t="str">
        <f>IF('Cleanup TMS'!BF142="","",'Cleanup TMS'!BF142)</f>
        <v>C</v>
      </c>
      <c r="E142" s="502">
        <f>IF('Cleanup TMS'!CH142="","",'Cleanup TMS'!CI142)</f>
        <v>0.8</v>
      </c>
      <c r="F142" s="502" t="str">
        <f>IF('Cleanup TMS'!CJ142="","",'Cleanup TMS'!CJ142)</f>
        <v>C</v>
      </c>
      <c r="G142" s="502" t="str">
        <f>IF('Cleanup TMS'!CP142="","",'Cleanup TMS'!CP142)</f>
        <v>NOT CONGESTED</v>
      </c>
      <c r="H142" s="503">
        <f>IF('Cleanup TMS'!L142="","",'Cleanup TMS'!L142)</f>
        <v>4</v>
      </c>
      <c r="I142" s="503">
        <f>IF('Cleanup TMS'!M142="","",'Cleanup TMS'!M142)</f>
        <v>4</v>
      </c>
      <c r="J142" s="503" t="str">
        <f>IF('Cleanup TMS'!Y142="","",'Cleanup TMS'!Y142)</f>
        <v>D</v>
      </c>
      <c r="K142">
        <v>0.73</v>
      </c>
    </row>
    <row r="143" spans="1:11">
      <c r="A143" s="501">
        <f>'Cleanup TMS'!A143</f>
        <v>3557140</v>
      </c>
      <c r="B143" t="str">
        <f>'Cleanup TMS'!Z143</f>
        <v>Other CMP Network Roadways</v>
      </c>
      <c r="C143" s="502">
        <f>IF('Cleanup TMS'!BE143="","",'Cleanup TMS'!BE143)</f>
        <v>0.59</v>
      </c>
      <c r="D143" s="502" t="str">
        <f>IF('Cleanup TMS'!BF143="","",'Cleanup TMS'!BF143)</f>
        <v>C</v>
      </c>
      <c r="E143" s="502">
        <f>IF('Cleanup TMS'!CH143="","",'Cleanup TMS'!CI143)</f>
        <v>0.83</v>
      </c>
      <c r="F143" s="502" t="str">
        <f>IF('Cleanup TMS'!CJ143="","",'Cleanup TMS'!CJ143)</f>
        <v>C</v>
      </c>
      <c r="G143" s="502" t="str">
        <f>IF('Cleanup TMS'!CP143="","",'Cleanup TMS'!CP143)</f>
        <v>NOT CONGESTED</v>
      </c>
      <c r="H143" s="503">
        <f>IF('Cleanup TMS'!L143="","",'Cleanup TMS'!L143)</f>
        <v>4</v>
      </c>
      <c r="I143" s="503">
        <f>IF('Cleanup TMS'!M143="","",'Cleanup TMS'!M143)</f>
        <v>4</v>
      </c>
      <c r="J143" s="503" t="str">
        <f>IF('Cleanup TMS'!Y143="","",'Cleanup TMS'!Y143)</f>
        <v>D</v>
      </c>
      <c r="K143">
        <v>0.59</v>
      </c>
    </row>
    <row r="144" spans="1:11">
      <c r="A144" s="501">
        <f>'Cleanup TMS'!A144</f>
        <v>3558110</v>
      </c>
      <c r="B144" t="str">
        <f>'Cleanup TMS'!Z144</f>
        <v>NHS Non-Interstate</v>
      </c>
      <c r="C144" s="502">
        <f>IF('Cleanup TMS'!BE144="","",'Cleanup TMS'!BE144)</f>
        <v>0.32</v>
      </c>
      <c r="D144" s="502" t="str">
        <f>IF('Cleanup TMS'!BF144="","",'Cleanup TMS'!BF144)</f>
        <v>B</v>
      </c>
      <c r="E144" s="502">
        <f>IF('Cleanup TMS'!CH144="","",'Cleanup TMS'!CI144)</f>
        <v>0.34</v>
      </c>
      <c r="F144" s="502" t="str">
        <f>IF('Cleanup TMS'!CJ144="","",'Cleanup TMS'!CJ144)</f>
        <v>B</v>
      </c>
      <c r="G144" s="502" t="str">
        <f>IF('Cleanup TMS'!CP144="","",'Cleanup TMS'!CP144)</f>
        <v>NOT CONGESTED</v>
      </c>
      <c r="H144" s="503">
        <f>IF('Cleanup TMS'!L144="","",'Cleanup TMS'!L144)</f>
        <v>2</v>
      </c>
      <c r="I144" s="503">
        <f>IF('Cleanup TMS'!M144="","",'Cleanup TMS'!M144)</f>
        <v>2</v>
      </c>
      <c r="J144" s="503" t="str">
        <f>IF('Cleanup TMS'!Y144="","",'Cleanup TMS'!Y144)</f>
        <v>D</v>
      </c>
      <c r="K144">
        <v>0.32</v>
      </c>
    </row>
    <row r="145" spans="1:11">
      <c r="A145" s="501">
        <f>'Cleanup TMS'!A145</f>
        <v>3558120</v>
      </c>
      <c r="B145" t="str">
        <f>'Cleanup TMS'!Z145</f>
        <v>NHS Non-Interstate</v>
      </c>
      <c r="C145" s="502">
        <f>IF('Cleanup TMS'!BE145="","",'Cleanup TMS'!BE145)</f>
        <v>0.31</v>
      </c>
      <c r="D145" s="502" t="str">
        <f>IF('Cleanup TMS'!BF145="","",'Cleanup TMS'!BF145)</f>
        <v>B</v>
      </c>
      <c r="E145" s="502">
        <f>IF('Cleanup TMS'!CH145="","",'Cleanup TMS'!CI145)</f>
        <v>0.33</v>
      </c>
      <c r="F145" s="502" t="str">
        <f>IF('Cleanup TMS'!CJ145="","",'Cleanup TMS'!CJ145)</f>
        <v>B</v>
      </c>
      <c r="G145" s="502" t="str">
        <f>IF('Cleanup TMS'!CP145="","",'Cleanup TMS'!CP145)</f>
        <v>NOT CONGESTED</v>
      </c>
      <c r="H145" s="503">
        <f>IF('Cleanup TMS'!L145="","",'Cleanup TMS'!L145)</f>
        <v>2</v>
      </c>
      <c r="I145" s="503">
        <f>IF('Cleanup TMS'!M145="","",'Cleanup TMS'!M145)</f>
        <v>2</v>
      </c>
      <c r="J145" s="503" t="str">
        <f>IF('Cleanup TMS'!Y145="","",'Cleanup TMS'!Y145)</f>
        <v>D</v>
      </c>
      <c r="K145">
        <v>0.31</v>
      </c>
    </row>
    <row r="146" spans="1:11">
      <c r="A146" s="501">
        <f>'Cleanup TMS'!A146</f>
        <v>3558140</v>
      </c>
      <c r="B146" t="str">
        <f>'Cleanup TMS'!Z146</f>
        <v>NHS Non-Interstate</v>
      </c>
      <c r="C146" s="502">
        <f>IF('Cleanup TMS'!BE146="","",'Cleanup TMS'!BE146)</f>
        <v>0.31</v>
      </c>
      <c r="D146" s="502" t="str">
        <f>IF('Cleanup TMS'!BF146="","",'Cleanup TMS'!BF146)</f>
        <v>B</v>
      </c>
      <c r="E146" s="502">
        <f>IF('Cleanup TMS'!CH146="","",'Cleanup TMS'!CI146)</f>
        <v>0.33</v>
      </c>
      <c r="F146" s="502" t="str">
        <f>IF('Cleanup TMS'!CJ146="","",'Cleanup TMS'!CJ146)</f>
        <v>B</v>
      </c>
      <c r="G146" s="502" t="str">
        <f>IF('Cleanup TMS'!CP146="","",'Cleanup TMS'!CP146)</f>
        <v>NOT CONGESTED</v>
      </c>
      <c r="H146" s="503">
        <f>IF('Cleanup TMS'!L146="","",'Cleanup TMS'!L146)</f>
        <v>2</v>
      </c>
      <c r="I146" s="503">
        <f>IF('Cleanup TMS'!M146="","",'Cleanup TMS'!M146)</f>
        <v>2</v>
      </c>
      <c r="J146" s="503" t="str">
        <f>IF('Cleanup TMS'!Y146="","",'Cleanup TMS'!Y146)</f>
        <v>D</v>
      </c>
      <c r="K146">
        <v>0.31</v>
      </c>
    </row>
    <row r="147" spans="1:11">
      <c r="A147" s="501">
        <f>'Cleanup TMS'!A147</f>
        <v>3558150</v>
      </c>
      <c r="B147" t="str">
        <f>'Cleanup TMS'!Z147</f>
        <v>NHS Non-Interstate</v>
      </c>
      <c r="C147" s="502">
        <f>IF('Cleanup TMS'!BE147="","",'Cleanup TMS'!BE147)</f>
        <v>0.28000000000000003</v>
      </c>
      <c r="D147" s="502" t="str">
        <f>IF('Cleanup TMS'!BF147="","",'Cleanup TMS'!BF147)</f>
        <v>B</v>
      </c>
      <c r="E147" s="502">
        <f>IF('Cleanup TMS'!CH147="","",'Cleanup TMS'!CI147)</f>
        <v>0.36</v>
      </c>
      <c r="F147" s="502" t="str">
        <f>IF('Cleanup TMS'!CJ147="","",'Cleanup TMS'!CJ147)</f>
        <v>B</v>
      </c>
      <c r="G147" s="502" t="str">
        <f>IF('Cleanup TMS'!CP147="","",'Cleanup TMS'!CP147)</f>
        <v>NOT CONGESTED</v>
      </c>
      <c r="H147" s="503">
        <f>IF('Cleanup TMS'!L147="","",'Cleanup TMS'!L147)</f>
        <v>2</v>
      </c>
      <c r="I147" s="503">
        <f>IF('Cleanup TMS'!M147="","",'Cleanup TMS'!M147)</f>
        <v>2</v>
      </c>
      <c r="J147" s="503" t="str">
        <f>IF('Cleanup TMS'!Y147="","",'Cleanup TMS'!Y147)</f>
        <v>D</v>
      </c>
      <c r="K147">
        <v>0.28000000000000003</v>
      </c>
    </row>
    <row r="148" spans="1:11">
      <c r="A148" s="501">
        <f>'Cleanup TMS'!A148</f>
        <v>3558170</v>
      </c>
      <c r="B148" t="str">
        <f>'Cleanup TMS'!Z148</f>
        <v>NHS Non-Interstate</v>
      </c>
      <c r="C148" s="502">
        <f>IF('Cleanup TMS'!BE148="","",'Cleanup TMS'!BE148)</f>
        <v>0.7</v>
      </c>
      <c r="D148" s="502" t="str">
        <f>IF('Cleanup TMS'!BF148="","",'Cleanup TMS'!BF148)</f>
        <v>C</v>
      </c>
      <c r="E148" s="502">
        <f>IF('Cleanup TMS'!CH148="","",'Cleanup TMS'!CI148)</f>
        <v>0.8</v>
      </c>
      <c r="F148" s="502" t="str">
        <f>IF('Cleanup TMS'!CJ148="","",'Cleanup TMS'!CJ148)</f>
        <v>C</v>
      </c>
      <c r="G148" s="502" t="str">
        <f>IF('Cleanup TMS'!CP148="","",'Cleanup TMS'!CP148)</f>
        <v>NOT CONGESTED</v>
      </c>
      <c r="H148" s="503">
        <f>IF('Cleanup TMS'!L148="","",'Cleanup TMS'!L148)</f>
        <v>2</v>
      </c>
      <c r="I148" s="503">
        <f>IF('Cleanup TMS'!M148="","",'Cleanup TMS'!M148)</f>
        <v>2</v>
      </c>
      <c r="J148" s="503" t="str">
        <f>IF('Cleanup TMS'!Y148="","",'Cleanup TMS'!Y148)</f>
        <v>C</v>
      </c>
      <c r="K148">
        <v>0.7</v>
      </c>
    </row>
    <row r="149" spans="1:11">
      <c r="A149" s="501">
        <f>'Cleanup TMS'!A149</f>
        <v>3558180</v>
      </c>
      <c r="B149" t="str">
        <f>'Cleanup TMS'!Z149</f>
        <v>NHS Non-Interstate</v>
      </c>
      <c r="C149" s="502">
        <f>IF('Cleanup TMS'!BE149="","",'Cleanup TMS'!BE149)</f>
        <v>0.32</v>
      </c>
      <c r="D149" s="502" t="str">
        <f>IF('Cleanup TMS'!BF149="","",'Cleanup TMS'!BF149)</f>
        <v>B</v>
      </c>
      <c r="E149" s="502">
        <f>IF('Cleanup TMS'!CH149="","",'Cleanup TMS'!CI149)</f>
        <v>0.34</v>
      </c>
      <c r="F149" s="502" t="str">
        <f>IF('Cleanup TMS'!CJ149="","",'Cleanup TMS'!CJ149)</f>
        <v>B</v>
      </c>
      <c r="G149" s="502" t="str">
        <f>IF('Cleanup TMS'!CP149="","",'Cleanup TMS'!CP149)</f>
        <v>NOT CONGESTED</v>
      </c>
      <c r="H149" s="503">
        <f>IF('Cleanup TMS'!L149="","",'Cleanup TMS'!L149)</f>
        <v>2</v>
      </c>
      <c r="I149" s="503">
        <f>IF('Cleanup TMS'!M149="","",'Cleanup TMS'!M149)</f>
        <v>2</v>
      </c>
      <c r="J149" s="503" t="str">
        <f>IF('Cleanup TMS'!Y149="","",'Cleanup TMS'!Y149)</f>
        <v>D</v>
      </c>
      <c r="K149">
        <v>0.32</v>
      </c>
    </row>
    <row r="150" spans="1:11">
      <c r="A150" s="501">
        <f>'Cleanup TMS'!A150</f>
        <v>3558190</v>
      </c>
      <c r="B150" t="str">
        <f>'Cleanup TMS'!Z150</f>
        <v>NHS Non-Interstate</v>
      </c>
      <c r="C150" s="502">
        <f>IF('Cleanup TMS'!BE150="","",'Cleanup TMS'!BE150)</f>
        <v>0.32</v>
      </c>
      <c r="D150" s="502" t="str">
        <f>IF('Cleanup TMS'!BF150="","",'Cleanup TMS'!BF150)</f>
        <v>B</v>
      </c>
      <c r="E150" s="502">
        <f>IF('Cleanup TMS'!CH150="","",'Cleanup TMS'!CI150)</f>
        <v>0.34</v>
      </c>
      <c r="F150" s="502" t="str">
        <f>IF('Cleanup TMS'!CJ150="","",'Cleanup TMS'!CJ150)</f>
        <v>B</v>
      </c>
      <c r="G150" s="502" t="str">
        <f>IF('Cleanup TMS'!CP150="","",'Cleanup TMS'!CP150)</f>
        <v>NOT CONGESTED</v>
      </c>
      <c r="H150" s="503">
        <f>IF('Cleanup TMS'!L150="","",'Cleanup TMS'!L150)</f>
        <v>2</v>
      </c>
      <c r="I150" s="503">
        <f>IF('Cleanup TMS'!M150="","",'Cleanup TMS'!M150)</f>
        <v>2</v>
      </c>
      <c r="J150" s="503" t="str">
        <f>IF('Cleanup TMS'!Y150="","",'Cleanup TMS'!Y150)</f>
        <v>D</v>
      </c>
      <c r="K150">
        <v>0.32</v>
      </c>
    </row>
    <row r="151" spans="1:11">
      <c r="A151" s="501">
        <f>'Cleanup TMS'!A151</f>
        <v>3559100</v>
      </c>
      <c r="B151" t="str">
        <f>'Cleanup TMS'!Z151</f>
        <v>NHS Non-Interstate</v>
      </c>
      <c r="C151" s="502">
        <f>IF('Cleanup TMS'!BE151="","",'Cleanup TMS'!BE151)</f>
        <v>0.64</v>
      </c>
      <c r="D151" s="502" t="str">
        <f>IF('Cleanup TMS'!BF151="","",'Cleanup TMS'!BF151)</f>
        <v>C</v>
      </c>
      <c r="E151" s="502">
        <f>IF('Cleanup TMS'!CH151="","",'Cleanup TMS'!CI151)</f>
        <v>0.13</v>
      </c>
      <c r="F151" s="502" t="str">
        <f>IF('Cleanup TMS'!CJ151="","",'Cleanup TMS'!CJ151)</f>
        <v>B</v>
      </c>
      <c r="G151" s="502" t="str">
        <f>IF('Cleanup TMS'!CP151="","",'Cleanup TMS'!CP151)</f>
        <v>NOT CONGESTED</v>
      </c>
      <c r="H151" s="503">
        <f>IF('Cleanup TMS'!L151="","",'Cleanup TMS'!L151)</f>
        <v>2</v>
      </c>
      <c r="I151" s="503">
        <f>IF('Cleanup TMS'!M151="","",'Cleanup TMS'!M151)</f>
        <v>4</v>
      </c>
      <c r="J151" s="503" t="str">
        <f>IF('Cleanup TMS'!Y151="","",'Cleanup TMS'!Y151)</f>
        <v>C</v>
      </c>
      <c r="K151">
        <v>0.64</v>
      </c>
    </row>
    <row r="152" spans="1:11">
      <c r="A152" s="501">
        <f>'Cleanup TMS'!A152</f>
        <v>3559110</v>
      </c>
      <c r="B152" t="str">
        <f>'Cleanup TMS'!Z152</f>
        <v>NHS Non-Interstate</v>
      </c>
      <c r="C152" s="502">
        <f>IF('Cleanup TMS'!BE152="","",'Cleanup TMS'!BE152)</f>
        <v>0.77</v>
      </c>
      <c r="D152" s="502" t="str">
        <f>IF('Cleanup TMS'!BF152="","",'Cleanup TMS'!BF152)</f>
        <v>C</v>
      </c>
      <c r="E152" s="502">
        <f>IF('Cleanup TMS'!CH152="","",'Cleanup TMS'!CI152)</f>
        <v>0.81</v>
      </c>
      <c r="F152" s="502" t="str">
        <f>IF('Cleanup TMS'!CJ152="","",'Cleanup TMS'!CJ152)</f>
        <v>C</v>
      </c>
      <c r="G152" s="502" t="str">
        <f>IF('Cleanup TMS'!CP152="","",'Cleanup TMS'!CP152)</f>
        <v>NOT CONGESTED</v>
      </c>
      <c r="H152" s="503">
        <f>IF('Cleanup TMS'!L152="","",'Cleanup TMS'!L152)</f>
        <v>2</v>
      </c>
      <c r="I152" s="503">
        <f>IF('Cleanup TMS'!M152="","",'Cleanup TMS'!M152)</f>
        <v>2</v>
      </c>
      <c r="J152" s="503" t="str">
        <f>IF('Cleanup TMS'!Y152="","",'Cleanup TMS'!Y152)</f>
        <v>C</v>
      </c>
      <c r="K152">
        <v>0.77</v>
      </c>
    </row>
    <row r="153" spans="1:11">
      <c r="A153" s="501">
        <f>'Cleanup TMS'!A153</f>
        <v>3560110</v>
      </c>
      <c r="B153" t="str">
        <f>'Cleanup TMS'!Z153</f>
        <v>NHS Non-Interstate</v>
      </c>
      <c r="C153" s="502">
        <f>IF('Cleanup TMS'!BE153="","",'Cleanup TMS'!BE153)</f>
        <v>0.82</v>
      </c>
      <c r="D153" s="502" t="str">
        <f>IF('Cleanup TMS'!BF153="","",'Cleanup TMS'!BF153)</f>
        <v>C</v>
      </c>
      <c r="E153" s="502">
        <f>IF('Cleanup TMS'!CH153="","",'Cleanup TMS'!CI153)</f>
        <v>0.86</v>
      </c>
      <c r="F153" s="502" t="str">
        <f>IF('Cleanup TMS'!CJ153="","",'Cleanup TMS'!CJ153)</f>
        <v>C</v>
      </c>
      <c r="G153" s="502" t="str">
        <f>IF('Cleanup TMS'!CP153="","",'Cleanup TMS'!CP153)</f>
        <v>NOT CONGESTED</v>
      </c>
      <c r="H153" s="503">
        <f>IF('Cleanup TMS'!L153="","",'Cleanup TMS'!L153)</f>
        <v>2</v>
      </c>
      <c r="I153" s="503">
        <f>IF('Cleanup TMS'!M153="","",'Cleanup TMS'!M153)</f>
        <v>2</v>
      </c>
      <c r="J153" s="503" t="str">
        <f>IF('Cleanup TMS'!Y153="","",'Cleanup TMS'!Y153)</f>
        <v>C</v>
      </c>
      <c r="K153">
        <v>0.82</v>
      </c>
    </row>
    <row r="154" spans="1:11">
      <c r="A154" s="501">
        <f>'Cleanup TMS'!A154</f>
        <v>3560120</v>
      </c>
      <c r="B154" t="str">
        <f>'Cleanup TMS'!Z154</f>
        <v>NHS Non-Interstate</v>
      </c>
      <c r="C154" s="502">
        <f>IF('Cleanup TMS'!BE154="","",'Cleanup TMS'!BE154)</f>
        <v>1.1599999999999999</v>
      </c>
      <c r="D154" s="502" t="str">
        <f>IF('Cleanup TMS'!BF154="","",'Cleanup TMS'!BF154)</f>
        <v>D</v>
      </c>
      <c r="E154" s="502">
        <f>IF('Cleanup TMS'!CH154="","",'Cleanup TMS'!CI154)</f>
        <v>1.22</v>
      </c>
      <c r="F154" s="502" t="str">
        <f>IF('Cleanup TMS'!CJ154="","",'Cleanup TMS'!CJ154)</f>
        <v>D</v>
      </c>
      <c r="G154" s="502" t="str">
        <f>IF('Cleanup TMS'!CP154="","",'Cleanup TMS'!CP154)</f>
        <v>CONGESTED (2020)</v>
      </c>
      <c r="H154" s="503">
        <f>IF('Cleanup TMS'!L154="","",'Cleanup TMS'!L154)</f>
        <v>2</v>
      </c>
      <c r="I154" s="503">
        <f>IF('Cleanup TMS'!M154="","",'Cleanup TMS'!M154)</f>
        <v>2</v>
      </c>
      <c r="J154" s="503" t="str">
        <f>IF('Cleanup TMS'!Y154="","",'Cleanup TMS'!Y154)</f>
        <v>C</v>
      </c>
      <c r="K154">
        <v>1.1599999999999999</v>
      </c>
    </row>
    <row r="155" spans="1:11">
      <c r="A155" s="501">
        <f>'Cleanup TMS'!A155</f>
        <v>4000100</v>
      </c>
      <c r="B155" t="str">
        <f>'Cleanup TMS'!Z155</f>
        <v>Other CMP Network Roadways</v>
      </c>
      <c r="C155" s="502">
        <f>IF('Cleanup TMS'!BE155="","",'Cleanup TMS'!BE155)</f>
        <v>7.0000000000000007E-2</v>
      </c>
      <c r="D155" s="502" t="str">
        <f>IF('Cleanup TMS'!BF155="","",'Cleanup TMS'!BF155)</f>
        <v>B</v>
      </c>
      <c r="E155" s="502">
        <f>IF('Cleanup TMS'!CH155="","",'Cleanup TMS'!CI155)</f>
        <v>0.1</v>
      </c>
      <c r="F155" s="502" t="str">
        <f>IF('Cleanup TMS'!CJ155="","",'Cleanup TMS'!CJ155)</f>
        <v>B</v>
      </c>
      <c r="G155" s="502" t="str">
        <f>IF('Cleanup TMS'!CP155="","",'Cleanup TMS'!CP155)</f>
        <v>NOT CONGESTED</v>
      </c>
      <c r="H155" s="503">
        <f>IF('Cleanup TMS'!L155="","",'Cleanup TMS'!L155)</f>
        <v>2</v>
      </c>
      <c r="I155" s="503">
        <f>IF('Cleanup TMS'!M155="","",'Cleanup TMS'!M155)</f>
        <v>2</v>
      </c>
      <c r="J155" s="503" t="str">
        <f>IF('Cleanup TMS'!Y155="","",'Cleanup TMS'!Y155)</f>
        <v>D</v>
      </c>
      <c r="K155">
        <v>7.0000000000000007E-2</v>
      </c>
    </row>
    <row r="156" spans="1:11">
      <c r="A156" s="501">
        <f>'Cleanup TMS'!A156</f>
        <v>4002000</v>
      </c>
      <c r="B156" t="str">
        <f>'Cleanup TMS'!Z156</f>
        <v>Other CMP Network Roadways</v>
      </c>
      <c r="C156" s="502">
        <f>IF('Cleanup TMS'!BE156="","",'Cleanup TMS'!BE156)</f>
        <v>0.26</v>
      </c>
      <c r="D156" s="502" t="str">
        <f>IF('Cleanup TMS'!BF156="","",'Cleanup TMS'!BF156)</f>
        <v>B</v>
      </c>
      <c r="E156" s="502">
        <f>IF('Cleanup TMS'!CH156="","",'Cleanup TMS'!CI156)</f>
        <v>0.32</v>
      </c>
      <c r="F156" s="502" t="str">
        <f>IF('Cleanup TMS'!CJ156="","",'Cleanup TMS'!CJ156)</f>
        <v>B</v>
      </c>
      <c r="G156" s="502" t="str">
        <f>IF('Cleanup TMS'!CP156="","",'Cleanup TMS'!CP156)</f>
        <v>NOT CONGESTED</v>
      </c>
      <c r="H156" s="503">
        <f>IF('Cleanup TMS'!L156="","",'Cleanup TMS'!L156)</f>
        <v>2</v>
      </c>
      <c r="I156" s="503">
        <f>IF('Cleanup TMS'!M156="","",'Cleanup TMS'!M156)</f>
        <v>2</v>
      </c>
      <c r="J156" s="503" t="str">
        <f>IF('Cleanup TMS'!Y156="","",'Cleanup TMS'!Y156)</f>
        <v>D</v>
      </c>
      <c r="K156">
        <v>0.26</v>
      </c>
    </row>
    <row r="157" spans="1:11">
      <c r="A157" s="501">
        <f>'Cleanup TMS'!A157</f>
        <v>4008000</v>
      </c>
      <c r="B157" t="str">
        <f>'Cleanup TMS'!Z157</f>
        <v>Other CMP Network Roadways</v>
      </c>
      <c r="C157" s="502">
        <f>IF('Cleanup TMS'!BE157="","",'Cleanup TMS'!BE157)</f>
        <v>7.0000000000000007E-2</v>
      </c>
      <c r="D157" s="502" t="str">
        <f>IF('Cleanup TMS'!BF157="","",'Cleanup TMS'!BF157)</f>
        <v>C</v>
      </c>
      <c r="E157" s="502">
        <f>IF('Cleanup TMS'!CH157="","",'Cleanup TMS'!CI157)</f>
        <v>0.09</v>
      </c>
      <c r="F157" s="502" t="str">
        <f>IF('Cleanup TMS'!CJ157="","",'Cleanup TMS'!CJ157)</f>
        <v>C</v>
      </c>
      <c r="G157" s="502" t="str">
        <f>IF('Cleanup TMS'!CP157="","",'Cleanup TMS'!CP157)</f>
        <v>NOT CONGESTED</v>
      </c>
      <c r="H157" s="503">
        <f>IF('Cleanup TMS'!L157="","",'Cleanup TMS'!L157)</f>
        <v>2</v>
      </c>
      <c r="I157" s="503">
        <f>IF('Cleanup TMS'!M157="","",'Cleanup TMS'!M157)</f>
        <v>2</v>
      </c>
      <c r="J157" s="503" t="str">
        <f>IF('Cleanup TMS'!Y157="","",'Cleanup TMS'!Y157)</f>
        <v>D</v>
      </c>
      <c r="K157">
        <v>7.0000000000000007E-2</v>
      </c>
    </row>
    <row r="158" spans="1:11">
      <c r="A158" s="501">
        <f>'Cleanup TMS'!A158</f>
        <v>4009000</v>
      </c>
      <c r="B158" t="str">
        <f>'Cleanup TMS'!Z158</f>
        <v>Other CMP Network Roadways</v>
      </c>
      <c r="C158" s="502">
        <f>IF('Cleanup TMS'!BE158="","",'Cleanup TMS'!BE158)</f>
        <v>0.47</v>
      </c>
      <c r="D158" s="502" t="str">
        <f>IF('Cleanup TMS'!BF158="","",'Cleanup TMS'!BF158)</f>
        <v>C</v>
      </c>
      <c r="E158" s="502">
        <f>IF('Cleanup TMS'!CH158="","",'Cleanup TMS'!CI158)</f>
        <v>0.17</v>
      </c>
      <c r="F158" s="502" t="str">
        <f>IF('Cleanup TMS'!CJ158="","",'Cleanup TMS'!CJ158)</f>
        <v>C</v>
      </c>
      <c r="G158" s="502" t="str">
        <f>IF('Cleanup TMS'!CP158="","",'Cleanup TMS'!CP158)</f>
        <v>NOT CONGESTED</v>
      </c>
      <c r="H158" s="503">
        <f>IF('Cleanup TMS'!L158="","",'Cleanup TMS'!L158)</f>
        <v>2</v>
      </c>
      <c r="I158" s="503">
        <f>IF('Cleanup TMS'!M158="","",'Cleanup TMS'!M158)</f>
        <v>2</v>
      </c>
      <c r="J158" s="503" t="str">
        <f>IF('Cleanup TMS'!Y158="","",'Cleanup TMS'!Y158)</f>
        <v>D</v>
      </c>
      <c r="K158">
        <v>0.47</v>
      </c>
    </row>
    <row r="159" spans="1:11">
      <c r="A159" s="501">
        <f>'Cleanup TMS'!A159</f>
        <v>5000000</v>
      </c>
      <c r="B159" t="str">
        <f>'Cleanup TMS'!Z159</f>
        <v>Other CMP Network Roadways</v>
      </c>
      <c r="C159" s="502">
        <f>IF('Cleanup TMS'!BE159="","",'Cleanup TMS'!BE159)</f>
        <v>0.48</v>
      </c>
      <c r="D159" s="502" t="str">
        <f>IF('Cleanup TMS'!BF159="","",'Cleanup TMS'!BF159)</f>
        <v>D</v>
      </c>
      <c r="E159" s="502">
        <f>IF('Cleanup TMS'!CH159="","",'Cleanup TMS'!CI159)</f>
        <v>0.51</v>
      </c>
      <c r="F159" s="502" t="str">
        <f>IF('Cleanup TMS'!CJ159="","",'Cleanup TMS'!CJ159)</f>
        <v>D</v>
      </c>
      <c r="G159" s="502" t="str">
        <f>IF('Cleanup TMS'!CP159="","",'Cleanup TMS'!CP159)</f>
        <v>NOT CONGESTED</v>
      </c>
      <c r="H159" s="503">
        <f>IF('Cleanup TMS'!L159="","",'Cleanup TMS'!L159)</f>
        <v>4</v>
      </c>
      <c r="I159" s="503">
        <f>IF('Cleanup TMS'!M159="","",'Cleanup TMS'!M159)</f>
        <v>4</v>
      </c>
      <c r="J159" s="503" t="str">
        <f>IF('Cleanup TMS'!Y159="","",'Cleanup TMS'!Y159)</f>
        <v>D</v>
      </c>
      <c r="K159">
        <v>0.48</v>
      </c>
    </row>
    <row r="160" spans="1:11">
      <c r="A160" s="501">
        <f>'Cleanup TMS'!A160</f>
        <v>5000110</v>
      </c>
      <c r="B160" t="str">
        <f>'Cleanup TMS'!Z160</f>
        <v>Other CMP Network Roadways</v>
      </c>
      <c r="C160" s="502">
        <f>IF('Cleanup TMS'!BE160="","",'Cleanup TMS'!BE160)</f>
        <v>0.37</v>
      </c>
      <c r="D160" s="502" t="str">
        <f>IF('Cleanup TMS'!BF160="","",'Cleanup TMS'!BF160)</f>
        <v>C</v>
      </c>
      <c r="E160" s="502">
        <f>IF('Cleanup TMS'!CH160="","",'Cleanup TMS'!CI160)</f>
        <v>0.39</v>
      </c>
      <c r="F160" s="502" t="str">
        <f>IF('Cleanup TMS'!CJ160="","",'Cleanup TMS'!CJ160)</f>
        <v>C</v>
      </c>
      <c r="G160" s="502" t="str">
        <f>IF('Cleanup TMS'!CP160="","",'Cleanup TMS'!CP160)</f>
        <v>NOT CONGESTED</v>
      </c>
      <c r="H160" s="503">
        <f>IF('Cleanup TMS'!L160="","",'Cleanup TMS'!L160)</f>
        <v>4</v>
      </c>
      <c r="I160" s="503">
        <f>IF('Cleanup TMS'!M160="","",'Cleanup TMS'!M160)</f>
        <v>4</v>
      </c>
      <c r="J160" s="503" t="str">
        <f>IF('Cleanup TMS'!Y160="","",'Cleanup TMS'!Y160)</f>
        <v>D</v>
      </c>
      <c r="K160">
        <v>0.37</v>
      </c>
    </row>
    <row r="161" spans="1:11">
      <c r="A161" s="501">
        <f>'Cleanup TMS'!A161</f>
        <v>5000300</v>
      </c>
      <c r="B161" t="str">
        <f>'Cleanup TMS'!Z161</f>
        <v>Other CMP Network Roadways</v>
      </c>
      <c r="C161" s="502">
        <f>IF('Cleanup TMS'!BE161="","",'Cleanup TMS'!BE161)</f>
        <v>0.52</v>
      </c>
      <c r="D161" s="502" t="str">
        <f>IF('Cleanup TMS'!BF161="","",'Cleanup TMS'!BF161)</f>
        <v>D</v>
      </c>
      <c r="E161" s="502">
        <f>IF('Cleanup TMS'!CH161="","",'Cleanup TMS'!CI161)</f>
        <v>0.55000000000000004</v>
      </c>
      <c r="F161" s="502" t="str">
        <f>IF('Cleanup TMS'!CJ161="","",'Cleanup TMS'!CJ161)</f>
        <v>D</v>
      </c>
      <c r="G161" s="502" t="str">
        <f>IF('Cleanup TMS'!CP161="","",'Cleanup TMS'!CP161)</f>
        <v>NOT CONGESTED</v>
      </c>
      <c r="H161" s="503">
        <f>IF('Cleanup TMS'!L161="","",'Cleanup TMS'!L161)</f>
        <v>4</v>
      </c>
      <c r="I161" s="503">
        <f>IF('Cleanup TMS'!M161="","",'Cleanup TMS'!M161)</f>
        <v>4</v>
      </c>
      <c r="J161" s="503" t="str">
        <f>IF('Cleanup TMS'!Y161="","",'Cleanup TMS'!Y161)</f>
        <v>D</v>
      </c>
      <c r="K161">
        <v>0.52</v>
      </c>
    </row>
    <row r="162" spans="1:11">
      <c r="A162" s="501">
        <f>'Cleanup TMS'!A162</f>
        <v>5000390</v>
      </c>
      <c r="B162" t="str">
        <f>'Cleanup TMS'!Z162</f>
        <v>Other CMP Network Roadways</v>
      </c>
      <c r="C162" s="502">
        <f>IF('Cleanup TMS'!BE162="","",'Cleanup TMS'!BE162)</f>
        <v>0.56000000000000005</v>
      </c>
      <c r="D162" s="502" t="str">
        <f>IF('Cleanup TMS'!BF162="","",'Cleanup TMS'!BF162)</f>
        <v>D</v>
      </c>
      <c r="E162" s="502">
        <f>IF('Cleanup TMS'!CH162="","",'Cleanup TMS'!CI162)</f>
        <v>0.59</v>
      </c>
      <c r="F162" s="502" t="str">
        <f>IF('Cleanup TMS'!CJ162="","",'Cleanup TMS'!CJ162)</f>
        <v>D</v>
      </c>
      <c r="G162" s="502" t="str">
        <f>IF('Cleanup TMS'!CP162="","",'Cleanup TMS'!CP162)</f>
        <v>NOT CONGESTED</v>
      </c>
      <c r="H162" s="503">
        <f>IF('Cleanup TMS'!L162="","",'Cleanup TMS'!L162)</f>
        <v>4</v>
      </c>
      <c r="I162" s="503">
        <f>IF('Cleanup TMS'!M162="","",'Cleanup TMS'!M162)</f>
        <v>4</v>
      </c>
      <c r="J162" s="503" t="str">
        <f>IF('Cleanup TMS'!Y162="","",'Cleanup TMS'!Y162)</f>
        <v>D</v>
      </c>
      <c r="K162">
        <v>0.56000000000000005</v>
      </c>
    </row>
    <row r="163" spans="1:11">
      <c r="A163" s="501">
        <f>'Cleanup TMS'!A163</f>
        <v>5000420</v>
      </c>
      <c r="B163" t="str">
        <f>'Cleanup TMS'!Z163</f>
        <v>Other CMP Network Roadways</v>
      </c>
      <c r="C163" s="502">
        <f>IF('Cleanup TMS'!BE163="","",'Cleanup TMS'!BE163)</f>
        <v>0</v>
      </c>
      <c r="D163" s="502" t="str">
        <f>IF('Cleanup TMS'!BF163="","",'Cleanup TMS'!BF163)</f>
        <v>D</v>
      </c>
      <c r="E163" s="502">
        <f>IF('Cleanup TMS'!CH163="","",'Cleanup TMS'!CI163)</f>
        <v>0</v>
      </c>
      <c r="F163" s="502" t="str">
        <f>IF('Cleanup TMS'!CJ163="","",'Cleanup TMS'!CJ163)</f>
        <v>E</v>
      </c>
      <c r="G163" s="502" t="str">
        <f>IF('Cleanup TMS'!CP163="","",'Cleanup TMS'!CP163)</f>
        <v>CONGESTED (2020)</v>
      </c>
      <c r="H163" s="503">
        <f>IF('Cleanup TMS'!L163="","",'Cleanup TMS'!L163)</f>
        <v>2</v>
      </c>
      <c r="I163" s="503">
        <f>IF('Cleanup TMS'!M163="","",'Cleanup TMS'!M163)</f>
        <v>2</v>
      </c>
      <c r="J163" s="503" t="str">
        <f>IF('Cleanup TMS'!Y163="","",'Cleanup TMS'!Y163)</f>
        <v>F</v>
      </c>
      <c r="K163">
        <v>0</v>
      </c>
    </row>
    <row r="164" spans="1:11">
      <c r="A164" s="501">
        <f>'Cleanup TMS'!A164</f>
        <v>5000430</v>
      </c>
      <c r="B164" t="str">
        <f>'Cleanup TMS'!Z164</f>
        <v>Other CMP Network Roadways</v>
      </c>
      <c r="C164" s="502">
        <f>IF('Cleanup TMS'!BE164="","",'Cleanup TMS'!BE164)</f>
        <v>0</v>
      </c>
      <c r="D164" s="502" t="str">
        <f>IF('Cleanup TMS'!BF164="","",'Cleanup TMS'!BF164)</f>
        <v>F</v>
      </c>
      <c r="E164" s="502">
        <f>IF('Cleanup TMS'!CH164="","",'Cleanup TMS'!CI164)</f>
        <v>0</v>
      </c>
      <c r="F164" s="502" t="str">
        <f>IF('Cleanup TMS'!CJ164="","",'Cleanup TMS'!CJ164)</f>
        <v>F</v>
      </c>
      <c r="G164" s="502" t="str">
        <f>IF('Cleanup TMS'!CP164="","",'Cleanup TMS'!CP164)</f>
        <v>EXTREMELY (2020)</v>
      </c>
      <c r="H164" s="503">
        <f>IF('Cleanup TMS'!L164="","",'Cleanup TMS'!L164)</f>
        <v>2</v>
      </c>
      <c r="I164" s="503">
        <f>IF('Cleanup TMS'!M164="","",'Cleanup TMS'!M164)</f>
        <v>2</v>
      </c>
      <c r="J164" s="503" t="str">
        <f>IF('Cleanup TMS'!Y164="","",'Cleanup TMS'!Y164)</f>
        <v>F</v>
      </c>
      <c r="K164">
        <v>0</v>
      </c>
    </row>
    <row r="165" spans="1:11">
      <c r="A165" s="501">
        <f>'Cleanup TMS'!A165</f>
        <v>5000500</v>
      </c>
      <c r="B165" t="str">
        <f>'Cleanup TMS'!Z165</f>
        <v>Other CMP Network Roadways</v>
      </c>
      <c r="C165" s="502">
        <f>IF('Cleanup TMS'!BE165="","",'Cleanup TMS'!BE165)</f>
        <v>0.8</v>
      </c>
      <c r="D165" s="502" t="str">
        <f>IF('Cleanup TMS'!BF165="","",'Cleanup TMS'!BF165)</f>
        <v>D</v>
      </c>
      <c r="E165" s="502">
        <f>IF('Cleanup TMS'!CH165="","",'Cleanup TMS'!CI165)</f>
        <v>0.84</v>
      </c>
      <c r="F165" s="502" t="str">
        <f>IF('Cleanup TMS'!CJ165="","",'Cleanup TMS'!CJ165)</f>
        <v>D</v>
      </c>
      <c r="G165" s="502" t="str">
        <f>IF('Cleanup TMS'!CP165="","",'Cleanup TMS'!CP165)</f>
        <v>NOT CONGESTED</v>
      </c>
      <c r="H165" s="503">
        <f>IF('Cleanup TMS'!L165="","",'Cleanup TMS'!L165)</f>
        <v>2</v>
      </c>
      <c r="I165" s="503">
        <f>IF('Cleanup TMS'!M165="","",'Cleanup TMS'!M165)</f>
        <v>2</v>
      </c>
      <c r="J165" s="503" t="str">
        <f>IF('Cleanup TMS'!Y165="","",'Cleanup TMS'!Y165)</f>
        <v>D</v>
      </c>
      <c r="K165">
        <v>0.8</v>
      </c>
    </row>
    <row r="166" spans="1:11">
      <c r="A166" s="501">
        <f>'Cleanup TMS'!A166</f>
        <v>5000700</v>
      </c>
      <c r="B166" t="str">
        <f>'Cleanup TMS'!Z166</f>
        <v>Other CMP Network Roadways</v>
      </c>
      <c r="C166" s="502">
        <f>IF('Cleanup TMS'!BE166="","",'Cleanup TMS'!BE166)</f>
        <v>0.77</v>
      </c>
      <c r="D166" s="502" t="str">
        <f>IF('Cleanup TMS'!BF166="","",'Cleanup TMS'!BF166)</f>
        <v>D</v>
      </c>
      <c r="E166" s="502">
        <f>IF('Cleanup TMS'!CH166="","",'Cleanup TMS'!CI166)</f>
        <v>0.81</v>
      </c>
      <c r="F166" s="502" t="str">
        <f>IF('Cleanup TMS'!CJ166="","",'Cleanup TMS'!CJ166)</f>
        <v>D</v>
      </c>
      <c r="G166" s="502" t="str">
        <f>IF('Cleanup TMS'!CP166="","",'Cleanup TMS'!CP166)</f>
        <v>NOT CONGESTED</v>
      </c>
      <c r="H166" s="503">
        <f>IF('Cleanup TMS'!L166="","",'Cleanup TMS'!L166)</f>
        <v>2</v>
      </c>
      <c r="I166" s="503">
        <f>IF('Cleanup TMS'!M166="","",'Cleanup TMS'!M166)</f>
        <v>2</v>
      </c>
      <c r="J166" s="503" t="str">
        <f>IF('Cleanup TMS'!Y166="","",'Cleanup TMS'!Y166)</f>
        <v>D</v>
      </c>
      <c r="K166">
        <v>0.77</v>
      </c>
    </row>
    <row r="167" spans="1:11">
      <c r="A167" s="501">
        <f>'Cleanup TMS'!A167</f>
        <v>5999990</v>
      </c>
      <c r="B167" t="str">
        <f>'Cleanup TMS'!Z167</f>
        <v>Other CMP Network Roadways</v>
      </c>
      <c r="C167" s="502">
        <f>IF('Cleanup TMS'!BE167="","",'Cleanup TMS'!BE167)</f>
        <v>0.39</v>
      </c>
      <c r="D167" s="502" t="str">
        <f>IF('Cleanup TMS'!BF167="","",'Cleanup TMS'!BF167)</f>
        <v>C</v>
      </c>
      <c r="E167" s="502">
        <f>IF('Cleanup TMS'!CH167="","",'Cleanup TMS'!CI167)</f>
        <v>0.41</v>
      </c>
      <c r="F167" s="502" t="str">
        <f>IF('Cleanup TMS'!CJ167="","",'Cleanup TMS'!CJ167)</f>
        <v>C</v>
      </c>
      <c r="G167" s="502" t="str">
        <f>IF('Cleanup TMS'!CP167="","",'Cleanup TMS'!CP167)</f>
        <v>NOT CONGESTED</v>
      </c>
      <c r="H167" s="503">
        <f>IF('Cleanup TMS'!L167="","",'Cleanup TMS'!L167)</f>
        <v>4</v>
      </c>
      <c r="I167" s="503">
        <f>IF('Cleanup TMS'!M167="","",'Cleanup TMS'!M167)</f>
        <v>4</v>
      </c>
      <c r="J167" s="503" t="str">
        <f>IF('Cleanup TMS'!Y167="","",'Cleanup TMS'!Y167)</f>
        <v>D</v>
      </c>
      <c r="K167">
        <v>0.39</v>
      </c>
    </row>
    <row r="168" spans="1:11">
      <c r="A168" s="501">
        <f>'Cleanup TMS'!A168</f>
        <v>6000001</v>
      </c>
      <c r="B168" t="str">
        <f>'Cleanup TMS'!Z168</f>
        <v>Other CMP Network Roadways</v>
      </c>
      <c r="C168" s="502">
        <f>IF('Cleanup TMS'!BE168="","",'Cleanup TMS'!BE168)</f>
        <v>0.43</v>
      </c>
      <c r="D168" s="502" t="str">
        <f>IF('Cleanup TMS'!BF168="","",'Cleanup TMS'!BF168)</f>
        <v>C</v>
      </c>
      <c r="E168" s="502">
        <f>IF('Cleanup TMS'!CH168="","",'Cleanup TMS'!CI168)</f>
        <v>0.65</v>
      </c>
      <c r="F168" s="502" t="str">
        <f>IF('Cleanup TMS'!CJ168="","",'Cleanup TMS'!CJ168)</f>
        <v>C</v>
      </c>
      <c r="G168" s="502" t="str">
        <f>IF('Cleanup TMS'!CP168="","",'Cleanup TMS'!CP168)</f>
        <v>NOT CONGESTED</v>
      </c>
      <c r="H168" s="503">
        <f>IF('Cleanup TMS'!L168="","",'Cleanup TMS'!L168)</f>
        <v>4</v>
      </c>
      <c r="I168" s="503">
        <f>IF('Cleanup TMS'!M168="","",'Cleanup TMS'!M168)</f>
        <v>4</v>
      </c>
      <c r="J168" s="503" t="str">
        <f>IF('Cleanup TMS'!Y168="","",'Cleanup TMS'!Y168)</f>
        <v>D</v>
      </c>
      <c r="K168">
        <v>0.43</v>
      </c>
    </row>
    <row r="169" spans="1:11">
      <c r="A169" s="501">
        <f>'Cleanup TMS'!A169</f>
        <v>6000002</v>
      </c>
      <c r="B169" t="str">
        <f>'Cleanup TMS'!Z169</f>
        <v>Other CMP Network Roadways</v>
      </c>
      <c r="C169" s="502">
        <f>IF('Cleanup TMS'!BE169="","",'Cleanup TMS'!BE169)</f>
        <v>0.52</v>
      </c>
      <c r="D169" s="502" t="str">
        <f>IF('Cleanup TMS'!BF169="","",'Cleanup TMS'!BF169)</f>
        <v>C</v>
      </c>
      <c r="E169" s="502">
        <f>IF('Cleanup TMS'!CH169="","",'Cleanup TMS'!CI169)</f>
        <v>0.67</v>
      </c>
      <c r="F169" s="502" t="str">
        <f>IF('Cleanup TMS'!CJ169="","",'Cleanup TMS'!CJ169)</f>
        <v>C</v>
      </c>
      <c r="G169" s="502" t="str">
        <f>IF('Cleanup TMS'!CP169="","",'Cleanup TMS'!CP169)</f>
        <v>NOT CONGESTED</v>
      </c>
      <c r="H169" s="503">
        <f>IF('Cleanup TMS'!L169="","",'Cleanup TMS'!L169)</f>
        <v>4</v>
      </c>
      <c r="I169" s="503">
        <f>IF('Cleanup TMS'!M169="","",'Cleanup TMS'!M169)</f>
        <v>4</v>
      </c>
      <c r="J169" s="503" t="str">
        <f>IF('Cleanup TMS'!Y169="","",'Cleanup TMS'!Y169)</f>
        <v>D</v>
      </c>
      <c r="K169">
        <v>0.52</v>
      </c>
    </row>
    <row r="170" spans="1:11">
      <c r="A170" s="501">
        <f>'Cleanup TMS'!A170</f>
        <v>6000003</v>
      </c>
      <c r="B170" t="str">
        <f>'Cleanup TMS'!Z170</f>
        <v>Other CMP Network Roadways</v>
      </c>
      <c r="C170" s="502">
        <f>IF('Cleanup TMS'!BE170="","",'Cleanup TMS'!BE170)</f>
        <v>0.56000000000000005</v>
      </c>
      <c r="D170" s="502" t="str">
        <f>IF('Cleanup TMS'!BF170="","",'Cleanup TMS'!BF170)</f>
        <v>D</v>
      </c>
      <c r="E170" s="502">
        <f>IF('Cleanup TMS'!CH170="","",'Cleanup TMS'!CI170)</f>
        <v>0.69</v>
      </c>
      <c r="F170" s="502" t="str">
        <f>IF('Cleanup TMS'!CJ170="","",'Cleanup TMS'!CJ170)</f>
        <v>D</v>
      </c>
      <c r="G170" s="502" t="str">
        <f>IF('Cleanup TMS'!CP170="","",'Cleanup TMS'!CP170)</f>
        <v>NOT CONGESTED</v>
      </c>
      <c r="H170" s="503">
        <f>IF('Cleanup TMS'!L170="","",'Cleanup TMS'!L170)</f>
        <v>4</v>
      </c>
      <c r="I170" s="503">
        <f>IF('Cleanup TMS'!M170="","",'Cleanup TMS'!M170)</f>
        <v>4</v>
      </c>
      <c r="J170" s="503" t="str">
        <f>IF('Cleanup TMS'!Y170="","",'Cleanup TMS'!Y170)</f>
        <v>D</v>
      </c>
      <c r="K170">
        <v>0.56000000000000005</v>
      </c>
    </row>
    <row r="171" spans="1:11">
      <c r="A171" s="501">
        <f>'Cleanup TMS'!A171</f>
        <v>6000004</v>
      </c>
      <c r="B171" t="str">
        <f>'Cleanup TMS'!Z171</f>
        <v>Other CMP Network Roadways</v>
      </c>
      <c r="C171" s="502">
        <f>IF('Cleanup TMS'!BE171="","",'Cleanup TMS'!BE171)</f>
        <v>0.61</v>
      </c>
      <c r="D171" s="502" t="str">
        <f>IF('Cleanup TMS'!BF171="","",'Cleanup TMS'!BF171)</f>
        <v>D</v>
      </c>
      <c r="E171" s="502">
        <f>IF('Cleanup TMS'!CH171="","",'Cleanup TMS'!CI171)</f>
        <v>0.64</v>
      </c>
      <c r="F171" s="502" t="str">
        <f>IF('Cleanup TMS'!CJ171="","",'Cleanup TMS'!CJ171)</f>
        <v>D</v>
      </c>
      <c r="G171" s="502" t="str">
        <f>IF('Cleanup TMS'!CP171="","",'Cleanup TMS'!CP171)</f>
        <v>NOT CONGESTED</v>
      </c>
      <c r="H171" s="503">
        <f>IF('Cleanup TMS'!L171="","",'Cleanup TMS'!L171)</f>
        <v>4</v>
      </c>
      <c r="I171" s="503">
        <f>IF('Cleanup TMS'!M171="","",'Cleanup TMS'!M171)</f>
        <v>4</v>
      </c>
      <c r="J171" s="503" t="str">
        <f>IF('Cleanup TMS'!Y171="","",'Cleanup TMS'!Y171)</f>
        <v>D</v>
      </c>
      <c r="K171">
        <v>0.61</v>
      </c>
    </row>
    <row r="172" spans="1:11">
      <c r="A172" s="501">
        <f>'Cleanup TMS'!A172</f>
        <v>6000005</v>
      </c>
      <c r="B172" t="str">
        <f>'Cleanup TMS'!Z172</f>
        <v>Other CMP Network Roadways</v>
      </c>
      <c r="C172" s="502">
        <f>IF('Cleanup TMS'!BE172="","",'Cleanup TMS'!BE172)</f>
        <v>0.76</v>
      </c>
      <c r="D172" s="502" t="str">
        <f>IF('Cleanup TMS'!BF172="","",'Cleanup TMS'!BF172)</f>
        <v>D</v>
      </c>
      <c r="E172" s="502">
        <f>IF('Cleanup TMS'!CH172="","",'Cleanup TMS'!CI172)</f>
        <v>0.81</v>
      </c>
      <c r="F172" s="502" t="str">
        <f>IF('Cleanup TMS'!CJ172="","",'Cleanup TMS'!CJ172)</f>
        <v>D</v>
      </c>
      <c r="G172" s="502" t="str">
        <f>IF('Cleanup TMS'!CP172="","",'Cleanup TMS'!CP172)</f>
        <v>NOT CONGESTED</v>
      </c>
      <c r="H172" s="503">
        <f>IF('Cleanup TMS'!L172="","",'Cleanup TMS'!L172)</f>
        <v>4</v>
      </c>
      <c r="I172" s="503">
        <f>IF('Cleanup TMS'!M172="","",'Cleanup TMS'!M172)</f>
        <v>4</v>
      </c>
      <c r="J172" s="503" t="str">
        <f>IF('Cleanup TMS'!Y172="","",'Cleanup TMS'!Y172)</f>
        <v>D</v>
      </c>
      <c r="K172">
        <v>0.76</v>
      </c>
    </row>
    <row r="173" spans="1:11">
      <c r="A173" s="501">
        <f>'Cleanup TMS'!A173</f>
        <v>6000010</v>
      </c>
      <c r="B173" t="str">
        <f>'Cleanup TMS'!Z173</f>
        <v>Other CMP Network Roadways</v>
      </c>
      <c r="C173" s="502">
        <f>IF('Cleanup TMS'!BE173="","",'Cleanup TMS'!BE173)</f>
        <v>0.23</v>
      </c>
      <c r="D173" s="502" t="str">
        <f>IF('Cleanup TMS'!BF173="","",'Cleanup TMS'!BF173)</f>
        <v>C</v>
      </c>
      <c r="E173" s="502">
        <f>IF('Cleanup TMS'!CH173="","",'Cleanup TMS'!CI173)</f>
        <v>0.33</v>
      </c>
      <c r="F173" s="502" t="str">
        <f>IF('Cleanup TMS'!CJ173="","",'Cleanup TMS'!CJ173)</f>
        <v>C</v>
      </c>
      <c r="G173" s="502" t="str">
        <f>IF('Cleanup TMS'!CP173="","",'Cleanup TMS'!CP173)</f>
        <v>NOT CONGESTED</v>
      </c>
      <c r="H173" s="503">
        <f>IF('Cleanup TMS'!L173="","",'Cleanup TMS'!L173)</f>
        <v>4</v>
      </c>
      <c r="I173" s="503">
        <f>IF('Cleanup TMS'!M173="","",'Cleanup TMS'!M173)</f>
        <v>4</v>
      </c>
      <c r="J173" s="503" t="str">
        <f>IF('Cleanup TMS'!Y173="","",'Cleanup TMS'!Y173)</f>
        <v>D</v>
      </c>
      <c r="K173">
        <v>0.23</v>
      </c>
    </row>
    <row r="174" spans="1:11">
      <c r="A174" s="501">
        <f>'Cleanup TMS'!A174</f>
        <v>6000015</v>
      </c>
      <c r="B174" t="str">
        <f>'Cleanup TMS'!Z174</f>
        <v>Other CMP Network Roadways</v>
      </c>
      <c r="C174" s="502">
        <f>IF('Cleanup TMS'!BE174="","",'Cleanup TMS'!BE174)</f>
        <v>0.49</v>
      </c>
      <c r="D174" s="502" t="str">
        <f>IF('Cleanup TMS'!BF174="","",'Cleanup TMS'!BF174)</f>
        <v>D</v>
      </c>
      <c r="E174" s="502">
        <f>IF('Cleanup TMS'!CH174="","",'Cleanup TMS'!CI174)</f>
        <v>0.52</v>
      </c>
      <c r="F174" s="502" t="str">
        <f>IF('Cleanup TMS'!CJ174="","",'Cleanup TMS'!CJ174)</f>
        <v>D</v>
      </c>
      <c r="G174" s="502" t="str">
        <f>IF('Cleanup TMS'!CP174="","",'Cleanup TMS'!CP174)</f>
        <v>NOT CONGESTED</v>
      </c>
      <c r="H174" s="503">
        <f>IF('Cleanup TMS'!L174="","",'Cleanup TMS'!L174)</f>
        <v>4</v>
      </c>
      <c r="I174" s="503">
        <f>IF('Cleanup TMS'!M174="","",'Cleanup TMS'!M174)</f>
        <v>4</v>
      </c>
      <c r="J174" s="503" t="str">
        <f>IF('Cleanup TMS'!Y174="","",'Cleanup TMS'!Y174)</f>
        <v>D</v>
      </c>
      <c r="K174">
        <v>0.49</v>
      </c>
    </row>
    <row r="175" spans="1:11">
      <c r="A175" s="501">
        <f>'Cleanup TMS'!A175</f>
        <v>6000020</v>
      </c>
      <c r="B175" t="str">
        <f>'Cleanup TMS'!Z175</f>
        <v>Other CMP Network Roadways</v>
      </c>
      <c r="C175" s="502" t="str">
        <f>IF('Cleanup TMS'!BE175="","",'Cleanup TMS'!BE175)</f>
        <v/>
      </c>
      <c r="D175" s="502"/>
      <c r="E175" s="502"/>
      <c r="F175" s="502"/>
      <c r="G175" s="502"/>
      <c r="H175" s="503">
        <f>IF('Cleanup TMS'!L175="","",'Cleanup TMS'!L175)</f>
        <v>2</v>
      </c>
      <c r="I175" s="503">
        <f>IF('Cleanup TMS'!M175="","",'Cleanup TMS'!M175)</f>
        <v>2</v>
      </c>
      <c r="J175" s="503" t="str">
        <f>IF('Cleanup TMS'!Y175="","",'Cleanup TMS'!Y175)</f>
        <v>D</v>
      </c>
      <c r="K175" t="s">
        <v>547</v>
      </c>
    </row>
    <row r="176" spans="1:11">
      <c r="A176" s="501">
        <f>'Cleanup TMS'!A176</f>
        <v>6000030</v>
      </c>
      <c r="B176" t="str">
        <f>'Cleanup TMS'!Z176</f>
        <v>Other CMP Network Roadways</v>
      </c>
      <c r="C176" s="502">
        <f>IF('Cleanup TMS'!BE176="","",'Cleanup TMS'!BE176)</f>
        <v>0.79</v>
      </c>
      <c r="D176" s="502" t="str">
        <f>IF('Cleanup TMS'!BF176="","",'Cleanup TMS'!BF176)</f>
        <v>D</v>
      </c>
      <c r="E176" s="502">
        <f>IF('Cleanup TMS'!CH176="","",'Cleanup TMS'!CI176)</f>
        <v>0.83</v>
      </c>
      <c r="F176" s="502" t="str">
        <f>IF('Cleanup TMS'!CJ176="","",'Cleanup TMS'!CJ176)</f>
        <v>D</v>
      </c>
      <c r="G176" s="502" t="str">
        <f>IF('Cleanup TMS'!CP176="","",'Cleanup TMS'!CP176)</f>
        <v>NOT CONGESTED</v>
      </c>
      <c r="H176" s="503">
        <f>IF('Cleanup TMS'!L176="","",'Cleanup TMS'!L176)</f>
        <v>2</v>
      </c>
      <c r="I176" s="503">
        <f>IF('Cleanup TMS'!M176="","",'Cleanup TMS'!M176)</f>
        <v>2</v>
      </c>
      <c r="J176" s="503" t="str">
        <f>IF('Cleanup TMS'!Y176="","",'Cleanup TMS'!Y176)</f>
        <v>D</v>
      </c>
      <c r="K176">
        <v>0.79</v>
      </c>
    </row>
    <row r="177" spans="1:11">
      <c r="A177" s="501">
        <f>'Cleanup TMS'!A177</f>
        <v>6000035</v>
      </c>
      <c r="B177" t="str">
        <f>'Cleanup TMS'!Z177</f>
        <v>Other CMP Network Roadways</v>
      </c>
      <c r="C177" s="502">
        <f>IF('Cleanup TMS'!BE177="","",'Cleanup TMS'!BE177)</f>
        <v>0.65</v>
      </c>
      <c r="D177" s="502" t="str">
        <f>IF('Cleanup TMS'!BF177="","",'Cleanup TMS'!BF177)</f>
        <v>D</v>
      </c>
      <c r="E177" s="502">
        <f>IF('Cleanup TMS'!CH177="","",'Cleanup TMS'!CI177)</f>
        <v>0.68</v>
      </c>
      <c r="F177" s="502" t="str">
        <f>IF('Cleanup TMS'!CJ177="","",'Cleanup TMS'!CJ177)</f>
        <v>D</v>
      </c>
      <c r="G177" s="502" t="str">
        <f>IF('Cleanup TMS'!CP177="","",'Cleanup TMS'!CP177)</f>
        <v>NOT CONGESTED</v>
      </c>
      <c r="H177" s="503">
        <f>IF('Cleanup TMS'!L177="","",'Cleanup TMS'!L177)</f>
        <v>2</v>
      </c>
      <c r="I177" s="503">
        <f>IF('Cleanup TMS'!M177="","",'Cleanup TMS'!M177)</f>
        <v>2</v>
      </c>
      <c r="J177" s="503" t="str">
        <f>IF('Cleanup TMS'!Y177="","",'Cleanup TMS'!Y177)</f>
        <v>D</v>
      </c>
      <c r="K177">
        <v>0.65</v>
      </c>
    </row>
    <row r="178" spans="1:11">
      <c r="A178" s="501">
        <f>'Cleanup TMS'!A178</f>
        <v>6000045</v>
      </c>
      <c r="B178" t="str">
        <f>'Cleanup TMS'!Z178</f>
        <v>Other CMP Network Roadways</v>
      </c>
      <c r="C178" s="502">
        <f>IF('Cleanup TMS'!BE178="","",'Cleanup TMS'!BE178)</f>
        <v>0.39</v>
      </c>
      <c r="D178" s="502" t="str">
        <f>IF('Cleanup TMS'!BF178="","",'Cleanup TMS'!BF178)</f>
        <v>C</v>
      </c>
      <c r="E178" s="502">
        <f>IF('Cleanup TMS'!CH178="","",'Cleanup TMS'!CI178)</f>
        <v>0.52</v>
      </c>
      <c r="F178" s="502" t="str">
        <f>IF('Cleanup TMS'!CJ178="","",'Cleanup TMS'!CJ178)</f>
        <v>D</v>
      </c>
      <c r="G178" s="502" t="str">
        <f>IF('Cleanup TMS'!CP178="","",'Cleanup TMS'!CP178)</f>
        <v>NOT CONGESTED</v>
      </c>
      <c r="H178" s="503">
        <f>IF('Cleanup TMS'!L178="","",'Cleanup TMS'!L178)</f>
        <v>2</v>
      </c>
      <c r="I178" s="503">
        <f>IF('Cleanup TMS'!M178="","",'Cleanup TMS'!M178)</f>
        <v>2</v>
      </c>
      <c r="J178" s="503" t="str">
        <f>IF('Cleanup TMS'!Y178="","",'Cleanup TMS'!Y178)</f>
        <v>D</v>
      </c>
      <c r="K178">
        <v>0.39</v>
      </c>
    </row>
    <row r="179" spans="1:11">
      <c r="A179" s="501">
        <f>'Cleanup TMS'!A179</f>
        <v>6000050</v>
      </c>
      <c r="B179" t="str">
        <f>'Cleanup TMS'!Z179</f>
        <v>Other CMP Network Roadways</v>
      </c>
      <c r="C179" s="502">
        <f>IF('Cleanup TMS'!BE179="","",'Cleanup TMS'!BE179)</f>
        <v>0.36</v>
      </c>
      <c r="D179" s="502" t="str">
        <f>IF('Cleanup TMS'!BF179="","",'Cleanup TMS'!BF179)</f>
        <v>C</v>
      </c>
      <c r="E179" s="502">
        <f>IF('Cleanup TMS'!CH179="","",'Cleanup TMS'!CI179)</f>
        <v>0.4</v>
      </c>
      <c r="F179" s="502" t="str">
        <f>IF('Cleanup TMS'!CJ179="","",'Cleanup TMS'!CJ179)</f>
        <v>C</v>
      </c>
      <c r="G179" s="502" t="str">
        <f>IF('Cleanup TMS'!CP179="","",'Cleanup TMS'!CP179)</f>
        <v>NOT CONGESTED</v>
      </c>
      <c r="H179" s="503">
        <f>IF('Cleanup TMS'!L179="","",'Cleanup TMS'!L179)</f>
        <v>2</v>
      </c>
      <c r="I179" s="503">
        <f>IF('Cleanup TMS'!M179="","",'Cleanup TMS'!M179)</f>
        <v>2</v>
      </c>
      <c r="J179" s="503" t="str">
        <f>IF('Cleanup TMS'!Y179="","",'Cleanup TMS'!Y179)</f>
        <v>D</v>
      </c>
      <c r="K179">
        <v>0.36</v>
      </c>
    </row>
    <row r="180" spans="1:11">
      <c r="A180" s="501">
        <f>'Cleanup TMS'!A180</f>
        <v>6000055</v>
      </c>
      <c r="B180" t="str">
        <f>'Cleanup TMS'!Z180</f>
        <v>Other CMP Network Roadways</v>
      </c>
      <c r="C180" s="502">
        <f>IF('Cleanup TMS'!BE180="","",'Cleanup TMS'!BE180)</f>
        <v>0.32</v>
      </c>
      <c r="D180" s="502" t="str">
        <f>IF('Cleanup TMS'!BF180="","",'Cleanup TMS'!BF180)</f>
        <v>C</v>
      </c>
      <c r="E180" s="502">
        <f>IF('Cleanup TMS'!CH180="","",'Cleanup TMS'!CI180)</f>
        <v>0.33</v>
      </c>
      <c r="F180" s="502" t="str">
        <f>IF('Cleanup TMS'!CJ180="","",'Cleanup TMS'!CJ180)</f>
        <v>C</v>
      </c>
      <c r="G180" s="502" t="str">
        <f>IF('Cleanup TMS'!CP180="","",'Cleanup TMS'!CP180)</f>
        <v>NOT CONGESTED</v>
      </c>
      <c r="H180" s="503">
        <f>IF('Cleanup TMS'!L180="","",'Cleanup TMS'!L180)</f>
        <v>2</v>
      </c>
      <c r="I180" s="503">
        <f>IF('Cleanup TMS'!M180="","",'Cleanup TMS'!M180)</f>
        <v>2</v>
      </c>
      <c r="J180" s="503" t="str">
        <f>IF('Cleanup TMS'!Y180="","",'Cleanup TMS'!Y180)</f>
        <v>D</v>
      </c>
      <c r="K180">
        <v>0.32</v>
      </c>
    </row>
    <row r="181" spans="1:11">
      <c r="A181" s="501">
        <f>'Cleanup TMS'!A181</f>
        <v>6000060</v>
      </c>
      <c r="B181" t="str">
        <f>'Cleanup TMS'!Z181</f>
        <v>Other CMP Network Roadways</v>
      </c>
      <c r="C181" s="502">
        <f>IF('Cleanup TMS'!BE181="","",'Cleanup TMS'!BE181)</f>
        <v>0.35</v>
      </c>
      <c r="D181" s="502" t="str">
        <f>IF('Cleanup TMS'!BF181="","",'Cleanup TMS'!BF181)</f>
        <v>C</v>
      </c>
      <c r="E181" s="502">
        <f>IF('Cleanup TMS'!CH181="","",'Cleanup TMS'!CI181)</f>
        <v>0.37</v>
      </c>
      <c r="F181" s="502" t="str">
        <f>IF('Cleanup TMS'!CJ181="","",'Cleanup TMS'!CJ181)</f>
        <v>C</v>
      </c>
      <c r="G181" s="502" t="str">
        <f>IF('Cleanup TMS'!CP181="","",'Cleanup TMS'!CP181)</f>
        <v>NOT CONGESTED</v>
      </c>
      <c r="H181" s="503">
        <f>IF('Cleanup TMS'!L181="","",'Cleanup TMS'!L181)</f>
        <v>2</v>
      </c>
      <c r="I181" s="503">
        <f>IF('Cleanup TMS'!M181="","",'Cleanup TMS'!M181)</f>
        <v>2</v>
      </c>
      <c r="J181" s="503" t="str">
        <f>IF('Cleanup TMS'!Y181="","",'Cleanup TMS'!Y181)</f>
        <v>D</v>
      </c>
      <c r="K181">
        <v>0.35</v>
      </c>
    </row>
    <row r="182" spans="1:11">
      <c r="A182" s="501">
        <f>'Cleanup TMS'!A182</f>
        <v>6000065</v>
      </c>
      <c r="B182" t="str">
        <f>'Cleanup TMS'!Z182</f>
        <v>Other CMP Network Roadways</v>
      </c>
      <c r="C182" s="502">
        <f>IF('Cleanup TMS'!BE182="","",'Cleanup TMS'!BE182)</f>
        <v>0.49</v>
      </c>
      <c r="D182" s="502" t="str">
        <f>IF('Cleanup TMS'!BF182="","",'Cleanup TMS'!BF182)</f>
        <v>C</v>
      </c>
      <c r="E182" s="502">
        <f>IF('Cleanup TMS'!CH182="","",'Cleanup TMS'!CI182)</f>
        <v>0.53</v>
      </c>
      <c r="F182" s="502" t="str">
        <f>IF('Cleanup TMS'!CJ182="","",'Cleanup TMS'!CJ182)</f>
        <v>D</v>
      </c>
      <c r="G182" s="502" t="str">
        <f>IF('Cleanup TMS'!CP182="","",'Cleanup TMS'!CP182)</f>
        <v>NOT CONGESTED</v>
      </c>
      <c r="H182" s="503">
        <f>IF('Cleanup TMS'!L182="","",'Cleanup TMS'!L182)</f>
        <v>2</v>
      </c>
      <c r="I182" s="503">
        <f>IF('Cleanup TMS'!M182="","",'Cleanup TMS'!M182)</f>
        <v>2</v>
      </c>
      <c r="J182" s="503" t="str">
        <f>IF('Cleanup TMS'!Y182="","",'Cleanup TMS'!Y182)</f>
        <v>D</v>
      </c>
      <c r="K182">
        <v>0.49</v>
      </c>
    </row>
    <row r="183" spans="1:11">
      <c r="A183" s="501">
        <f>'Cleanup TMS'!A183</f>
        <v>6000070</v>
      </c>
      <c r="B183" t="str">
        <f>'Cleanup TMS'!Z183</f>
        <v>Other CMP Network Roadways</v>
      </c>
      <c r="C183" s="502">
        <f>IF('Cleanup TMS'!BE183="","",'Cleanup TMS'!BE183)</f>
        <v>0.41</v>
      </c>
      <c r="D183" s="502" t="str">
        <f>IF('Cleanup TMS'!BF183="","",'Cleanup TMS'!BF183)</f>
        <v>C</v>
      </c>
      <c r="E183" s="502">
        <f>IF('Cleanup TMS'!CH183="","",'Cleanup TMS'!CI183)</f>
        <v>0.46</v>
      </c>
      <c r="F183" s="502" t="str">
        <f>IF('Cleanup TMS'!CJ183="","",'Cleanup TMS'!CJ183)</f>
        <v>C</v>
      </c>
      <c r="G183" s="502" t="str">
        <f>IF('Cleanup TMS'!CP183="","",'Cleanup TMS'!CP183)</f>
        <v>NOT CONGESTED</v>
      </c>
      <c r="H183" s="503">
        <f>IF('Cleanup TMS'!L183="","",'Cleanup TMS'!L183)</f>
        <v>2</v>
      </c>
      <c r="I183" s="503">
        <f>IF('Cleanup TMS'!M183="","",'Cleanup TMS'!M183)</f>
        <v>2</v>
      </c>
      <c r="J183" s="503" t="str">
        <f>IF('Cleanup TMS'!Y183="","",'Cleanup TMS'!Y183)</f>
        <v>D</v>
      </c>
      <c r="K183">
        <v>0.41</v>
      </c>
    </row>
    <row r="184" spans="1:11">
      <c r="A184" s="501">
        <f>'Cleanup TMS'!A184</f>
        <v>6000080</v>
      </c>
      <c r="B184" t="str">
        <f>'Cleanup TMS'!Z184</f>
        <v>Other CMP Network Roadways</v>
      </c>
      <c r="C184" s="502" t="str">
        <f>IF('Cleanup TMS'!BE184="","",'Cleanup TMS'!BE184)</f>
        <v/>
      </c>
      <c r="D184" s="502"/>
      <c r="E184" s="502"/>
      <c r="F184" s="502"/>
      <c r="G184" s="502"/>
      <c r="H184" s="503">
        <f>IF('Cleanup TMS'!L184="","",'Cleanup TMS'!L184)</f>
        <v>2</v>
      </c>
      <c r="I184" s="503">
        <f>IF('Cleanup TMS'!M184="","",'Cleanup TMS'!M184)</f>
        <v>2</v>
      </c>
      <c r="J184" s="503" t="str">
        <f>IF('Cleanup TMS'!Y184="","",'Cleanup TMS'!Y184)</f>
        <v>D</v>
      </c>
      <c r="K184" t="s">
        <v>547</v>
      </c>
    </row>
    <row r="185" spans="1:11">
      <c r="A185" s="501">
        <f>'Cleanup TMS'!A185</f>
        <v>6000085</v>
      </c>
      <c r="B185" t="str">
        <f>'Cleanup TMS'!Z185</f>
        <v>Other CMP Network Roadways</v>
      </c>
      <c r="C185" s="502">
        <f>IF('Cleanup TMS'!BE185="","",'Cleanup TMS'!BE185)</f>
        <v>0.31</v>
      </c>
      <c r="D185" s="502" t="str">
        <f>IF('Cleanup TMS'!BF185="","",'Cleanup TMS'!BF185)</f>
        <v>C</v>
      </c>
      <c r="E185" s="502">
        <f>IF('Cleanup TMS'!CH185="","",'Cleanup TMS'!CI185)</f>
        <v>0.44</v>
      </c>
      <c r="F185" s="502" t="str">
        <f>IF('Cleanup TMS'!CJ185="","",'Cleanup TMS'!CJ185)</f>
        <v>C</v>
      </c>
      <c r="G185" s="502" t="str">
        <f>IF('Cleanup TMS'!CP185="","",'Cleanup TMS'!CP185)</f>
        <v>NOT CONGESTED</v>
      </c>
      <c r="H185" s="503">
        <f>IF('Cleanup TMS'!L185="","",'Cleanup TMS'!L185)</f>
        <v>2</v>
      </c>
      <c r="I185" s="503">
        <f>IF('Cleanup TMS'!M185="","",'Cleanup TMS'!M185)</f>
        <v>2</v>
      </c>
      <c r="J185" s="503" t="str">
        <f>IF('Cleanup TMS'!Y185="","",'Cleanup TMS'!Y185)</f>
        <v>D</v>
      </c>
      <c r="K185">
        <v>0.31</v>
      </c>
    </row>
    <row r="186" spans="1:11">
      <c r="A186" s="501">
        <f>'Cleanup TMS'!A186</f>
        <v>6000090</v>
      </c>
      <c r="B186" t="str">
        <f>'Cleanup TMS'!Z186</f>
        <v>Other CMP Network Roadways</v>
      </c>
      <c r="C186" s="502">
        <f>IF('Cleanup TMS'!BE186="","",'Cleanup TMS'!BE186)</f>
        <v>0.24</v>
      </c>
      <c r="D186" s="502" t="str">
        <f>IF('Cleanup TMS'!BF186="","",'Cleanup TMS'!BF186)</f>
        <v>C</v>
      </c>
      <c r="E186" s="502">
        <f>IF('Cleanup TMS'!CH186="","",'Cleanup TMS'!CI186)</f>
        <v>0.25</v>
      </c>
      <c r="F186" s="502" t="str">
        <f>IF('Cleanup TMS'!CJ186="","",'Cleanup TMS'!CJ186)</f>
        <v>C</v>
      </c>
      <c r="G186" s="502" t="str">
        <f>IF('Cleanup TMS'!CP186="","",'Cleanup TMS'!CP186)</f>
        <v>NOT CONGESTED</v>
      </c>
      <c r="H186" s="503">
        <f>IF('Cleanup TMS'!L186="","",'Cleanup TMS'!L186)</f>
        <v>2</v>
      </c>
      <c r="I186" s="503">
        <f>IF('Cleanup TMS'!M186="","",'Cleanup TMS'!M186)</f>
        <v>2</v>
      </c>
      <c r="J186" s="503" t="str">
        <f>IF('Cleanup TMS'!Y186="","",'Cleanup TMS'!Y186)</f>
        <v>D</v>
      </c>
      <c r="K186">
        <v>0.24</v>
      </c>
    </row>
    <row r="187" spans="1:11">
      <c r="A187" s="501">
        <f>'Cleanup TMS'!A187</f>
        <v>6000095</v>
      </c>
      <c r="B187" t="str">
        <f>'Cleanup TMS'!Z187</f>
        <v>Other CMP Network Roadways</v>
      </c>
      <c r="C187" s="502" t="str">
        <f>IF('Cleanup TMS'!BE187="","",'Cleanup TMS'!BE187)</f>
        <v/>
      </c>
      <c r="D187" s="502"/>
      <c r="E187" s="502"/>
      <c r="F187" s="502"/>
      <c r="G187" s="502"/>
      <c r="H187" s="503">
        <f>IF('Cleanup TMS'!L187="","",'Cleanup TMS'!L187)</f>
        <v>2</v>
      </c>
      <c r="I187" s="503">
        <f>IF('Cleanup TMS'!M187="","",'Cleanup TMS'!M187)</f>
        <v>2</v>
      </c>
      <c r="J187" s="503" t="str">
        <f>IF('Cleanup TMS'!Y187="","",'Cleanup TMS'!Y187)</f>
        <v>D</v>
      </c>
      <c r="K187" t="s">
        <v>547</v>
      </c>
    </row>
    <row r="188" spans="1:11">
      <c r="A188" s="501">
        <f>'Cleanup TMS'!A188</f>
        <v>6000100</v>
      </c>
      <c r="B188" t="str">
        <f>'Cleanup TMS'!Z188</f>
        <v>Other CMP Network Roadways</v>
      </c>
      <c r="C188" s="502">
        <f>IF('Cleanup TMS'!BE188="","",'Cleanup TMS'!BE188)</f>
        <v>0.59</v>
      </c>
      <c r="D188" s="502" t="str">
        <f>IF('Cleanup TMS'!BF188="","",'Cleanup TMS'!BF188)</f>
        <v>D</v>
      </c>
      <c r="E188" s="502">
        <f>IF('Cleanup TMS'!CH188="","",'Cleanup TMS'!CI188)</f>
        <v>0.62</v>
      </c>
      <c r="F188" s="502" t="str">
        <f>IF('Cleanup TMS'!CJ188="","",'Cleanup TMS'!CJ188)</f>
        <v>D</v>
      </c>
      <c r="G188" s="502" t="str">
        <f>IF('Cleanup TMS'!CP188="","",'Cleanup TMS'!CP188)</f>
        <v>NOT CONGESTED</v>
      </c>
      <c r="H188" s="503">
        <f>IF('Cleanup TMS'!L188="","",'Cleanup TMS'!L188)</f>
        <v>2</v>
      </c>
      <c r="I188" s="503">
        <f>IF('Cleanup TMS'!M188="","",'Cleanup TMS'!M188)</f>
        <v>2</v>
      </c>
      <c r="J188" s="503" t="str">
        <f>IF('Cleanup TMS'!Y188="","",'Cleanup TMS'!Y188)</f>
        <v>D</v>
      </c>
      <c r="K188">
        <v>0.59</v>
      </c>
    </row>
    <row r="189" spans="1:11">
      <c r="A189" s="501">
        <f>'Cleanup TMS'!A189</f>
        <v>6000105</v>
      </c>
      <c r="B189" t="str">
        <f>'Cleanup TMS'!Z189</f>
        <v>Other CMP Network Roadways</v>
      </c>
      <c r="C189" s="502">
        <f>IF('Cleanup TMS'!BE189="","",'Cleanup TMS'!BE189)</f>
        <v>0.56000000000000005</v>
      </c>
      <c r="D189" s="502" t="str">
        <f>IF('Cleanup TMS'!BF189="","",'Cleanup TMS'!BF189)</f>
        <v>D</v>
      </c>
      <c r="E189" s="502">
        <f>IF('Cleanup TMS'!CH189="","",'Cleanup TMS'!CI189)</f>
        <v>0.59</v>
      </c>
      <c r="F189" s="502" t="str">
        <f>IF('Cleanup TMS'!CJ189="","",'Cleanup TMS'!CJ189)</f>
        <v>D</v>
      </c>
      <c r="G189" s="502" t="str">
        <f>IF('Cleanup TMS'!CP189="","",'Cleanup TMS'!CP189)</f>
        <v>NOT CONGESTED</v>
      </c>
      <c r="H189" s="503">
        <f>IF('Cleanup TMS'!L189="","",'Cleanup TMS'!L189)</f>
        <v>2</v>
      </c>
      <c r="I189" s="503">
        <f>IF('Cleanup TMS'!M189="","",'Cleanup TMS'!M189)</f>
        <v>2</v>
      </c>
      <c r="J189" s="503" t="str">
        <f>IF('Cleanup TMS'!Y189="","",'Cleanup TMS'!Y189)</f>
        <v>D</v>
      </c>
      <c r="K189">
        <v>0.56000000000000005</v>
      </c>
    </row>
    <row r="190" spans="1:11">
      <c r="A190" s="501">
        <f>'Cleanup TMS'!A190</f>
        <v>6000110</v>
      </c>
      <c r="B190" t="str">
        <f>'Cleanup TMS'!Z190</f>
        <v>Other CMP Network Roadways</v>
      </c>
      <c r="C190" s="502">
        <f>IF('Cleanup TMS'!BE190="","",'Cleanup TMS'!BE190)</f>
        <v>0.52</v>
      </c>
      <c r="D190" s="502" t="str">
        <f>IF('Cleanup TMS'!BF190="","",'Cleanup TMS'!BF190)</f>
        <v>D</v>
      </c>
      <c r="E190" s="502">
        <f>IF('Cleanup TMS'!CH190="","",'Cleanup TMS'!CI190)</f>
        <v>0.55000000000000004</v>
      </c>
      <c r="F190" s="502" t="str">
        <f>IF('Cleanup TMS'!CJ190="","",'Cleanup TMS'!CJ190)</f>
        <v>D</v>
      </c>
      <c r="G190" s="502" t="str">
        <f>IF('Cleanup TMS'!CP190="","",'Cleanup TMS'!CP190)</f>
        <v>NOT CONGESTED</v>
      </c>
      <c r="H190" s="503">
        <f>IF('Cleanup TMS'!L190="","",'Cleanup TMS'!L190)</f>
        <v>2</v>
      </c>
      <c r="I190" s="503">
        <f>IF('Cleanup TMS'!M190="","",'Cleanup TMS'!M190)</f>
        <v>2</v>
      </c>
      <c r="J190" s="503" t="str">
        <f>IF('Cleanup TMS'!Y190="","",'Cleanup TMS'!Y190)</f>
        <v>D</v>
      </c>
      <c r="K190">
        <v>0.52</v>
      </c>
    </row>
    <row r="191" spans="1:11">
      <c r="A191" s="501">
        <f>'Cleanup TMS'!A191</f>
        <v>6000115</v>
      </c>
      <c r="B191" t="str">
        <f>'Cleanup TMS'!Z191</f>
        <v>Other CMP Network Roadways</v>
      </c>
      <c r="C191" s="502">
        <f>IF('Cleanup TMS'!BE191="","",'Cleanup TMS'!BE191)</f>
        <v>0.86</v>
      </c>
      <c r="D191" s="502" t="str">
        <f>IF('Cleanup TMS'!BF191="","",'Cleanup TMS'!BF191)</f>
        <v>D</v>
      </c>
      <c r="E191" s="502">
        <f>IF('Cleanup TMS'!CH191="","",'Cleanup TMS'!CI191)</f>
        <v>0.93</v>
      </c>
      <c r="F191" s="502" t="str">
        <f>IF('Cleanup TMS'!CJ191="","",'Cleanup TMS'!CJ191)</f>
        <v>D</v>
      </c>
      <c r="G191" s="502" t="str">
        <f>IF('Cleanup TMS'!CP191="","",'Cleanup TMS'!CP191)</f>
        <v>APPROACHING CONGESTION</v>
      </c>
      <c r="H191" s="503">
        <f>IF('Cleanup TMS'!L191="","",'Cleanup TMS'!L191)</f>
        <v>2</v>
      </c>
      <c r="I191" s="503">
        <f>IF('Cleanup TMS'!M191="","",'Cleanup TMS'!M191)</f>
        <v>2</v>
      </c>
      <c r="J191" s="503" t="str">
        <f>IF('Cleanup TMS'!Y191="","",'Cleanup TMS'!Y191)</f>
        <v>D</v>
      </c>
      <c r="K191">
        <v>0.86</v>
      </c>
    </row>
    <row r="192" spans="1:11">
      <c r="A192" s="501">
        <f>'Cleanup TMS'!A192</f>
        <v>6000120</v>
      </c>
      <c r="B192" t="str">
        <f>'Cleanup TMS'!Z192</f>
        <v>Other CMP Network Roadways</v>
      </c>
      <c r="C192" s="502">
        <f>IF('Cleanup TMS'!BE192="","",'Cleanup TMS'!BE192)</f>
        <v>0.43</v>
      </c>
      <c r="D192" s="502" t="str">
        <f>IF('Cleanup TMS'!BF192="","",'Cleanup TMS'!BF192)</f>
        <v>C</v>
      </c>
      <c r="E192" s="502">
        <f>IF('Cleanup TMS'!CH192="","",'Cleanup TMS'!CI192)</f>
        <v>0.46</v>
      </c>
      <c r="F192" s="502" t="str">
        <f>IF('Cleanup TMS'!CJ192="","",'Cleanup TMS'!CJ192)</f>
        <v>C</v>
      </c>
      <c r="G192" s="502" t="str">
        <f>IF('Cleanup TMS'!CP192="","",'Cleanup TMS'!CP192)</f>
        <v>NOT CONGESTED</v>
      </c>
      <c r="H192" s="503">
        <f>IF('Cleanup TMS'!L192="","",'Cleanup TMS'!L192)</f>
        <v>2</v>
      </c>
      <c r="I192" s="503">
        <f>IF('Cleanup TMS'!M192="","",'Cleanup TMS'!M192)</f>
        <v>2</v>
      </c>
      <c r="J192" s="503" t="str">
        <f>IF('Cleanup TMS'!Y192="","",'Cleanup TMS'!Y192)</f>
        <v>D</v>
      </c>
      <c r="K192">
        <v>0.43</v>
      </c>
    </row>
    <row r="193" spans="1:11">
      <c r="A193" s="501">
        <f>'Cleanup TMS'!A193</f>
        <v>6000125</v>
      </c>
      <c r="B193" t="str">
        <f>'Cleanup TMS'!Z193</f>
        <v>Other CMP Network Roadways</v>
      </c>
      <c r="C193" s="502">
        <f>IF('Cleanup TMS'!BE193="","",'Cleanup TMS'!BE193)</f>
        <v>0.4</v>
      </c>
      <c r="D193" s="502" t="str">
        <f>IF('Cleanup TMS'!BF193="","",'Cleanup TMS'!BF193)</f>
        <v>C</v>
      </c>
      <c r="E193" s="502">
        <f>IF('Cleanup TMS'!CH193="","",'Cleanup TMS'!CI193)</f>
        <v>0.42</v>
      </c>
      <c r="F193" s="502" t="str">
        <f>IF('Cleanup TMS'!CJ193="","",'Cleanup TMS'!CJ193)</f>
        <v>C</v>
      </c>
      <c r="G193" s="502" t="str">
        <f>IF('Cleanup TMS'!CP193="","",'Cleanup TMS'!CP193)</f>
        <v>NOT CONGESTED</v>
      </c>
      <c r="H193" s="503">
        <f>IF('Cleanup TMS'!L193="","",'Cleanup TMS'!L193)</f>
        <v>2</v>
      </c>
      <c r="I193" s="503">
        <f>IF('Cleanup TMS'!M193="","",'Cleanup TMS'!M193)</f>
        <v>2</v>
      </c>
      <c r="J193" s="503" t="str">
        <f>IF('Cleanup TMS'!Y193="","",'Cleanup TMS'!Y193)</f>
        <v>D</v>
      </c>
      <c r="K193">
        <v>0.4</v>
      </c>
    </row>
    <row r="194" spans="1:11">
      <c r="A194" s="501">
        <f>'Cleanup TMS'!A194</f>
        <v>6000130</v>
      </c>
      <c r="B194" t="str">
        <f>'Cleanup TMS'!Z194</f>
        <v>Other CMP Network Roadways</v>
      </c>
      <c r="C194" s="502">
        <f>IF('Cleanup TMS'!BE194="","",'Cleanup TMS'!BE194)</f>
        <v>0.37</v>
      </c>
      <c r="D194" s="502" t="str">
        <f>IF('Cleanup TMS'!BF194="","",'Cleanup TMS'!BF194)</f>
        <v>C</v>
      </c>
      <c r="E194" s="502">
        <f>IF('Cleanup TMS'!CH194="","",'Cleanup TMS'!CI194)</f>
        <v>0.39</v>
      </c>
      <c r="F194" s="502" t="str">
        <f>IF('Cleanup TMS'!CJ194="","",'Cleanup TMS'!CJ194)</f>
        <v>C</v>
      </c>
      <c r="G194" s="502" t="str">
        <f>IF('Cleanup TMS'!CP194="","",'Cleanup TMS'!CP194)</f>
        <v>NOT CONGESTED</v>
      </c>
      <c r="H194" s="503">
        <f>IF('Cleanup TMS'!L194="","",'Cleanup TMS'!L194)</f>
        <v>4</v>
      </c>
      <c r="I194" s="503">
        <f>IF('Cleanup TMS'!M194="","",'Cleanup TMS'!M194)</f>
        <v>4</v>
      </c>
      <c r="J194" s="503" t="str">
        <f>IF('Cleanup TMS'!Y194="","",'Cleanup TMS'!Y194)</f>
        <v>D</v>
      </c>
      <c r="K194">
        <v>0.37</v>
      </c>
    </row>
    <row r="195" spans="1:11">
      <c r="A195" s="501">
        <f>'Cleanup TMS'!A195</f>
        <v>6000135</v>
      </c>
      <c r="B195" t="str">
        <f>'Cleanup TMS'!Z195</f>
        <v>Other CMP Network Roadways</v>
      </c>
      <c r="C195" s="502">
        <f>IF('Cleanup TMS'!BE195="","",'Cleanup TMS'!BE195)</f>
        <v>0.35</v>
      </c>
      <c r="D195" s="502" t="str">
        <f>IF('Cleanup TMS'!BF195="","",'Cleanup TMS'!BF195)</f>
        <v>C</v>
      </c>
      <c r="E195" s="502">
        <f>IF('Cleanup TMS'!CH195="","",'Cleanup TMS'!CI195)</f>
        <v>0.37</v>
      </c>
      <c r="F195" s="502" t="str">
        <f>IF('Cleanup TMS'!CJ195="","",'Cleanup TMS'!CJ195)</f>
        <v>C</v>
      </c>
      <c r="G195" s="502" t="str">
        <f>IF('Cleanup TMS'!CP195="","",'Cleanup TMS'!CP195)</f>
        <v>NOT CONGESTED</v>
      </c>
      <c r="H195" s="503">
        <f>IF('Cleanup TMS'!L195="","",'Cleanup TMS'!L195)</f>
        <v>4</v>
      </c>
      <c r="I195" s="503">
        <f>IF('Cleanup TMS'!M195="","",'Cleanup TMS'!M195)</f>
        <v>4</v>
      </c>
      <c r="J195" s="503" t="str">
        <f>IF('Cleanup TMS'!Y195="","",'Cleanup TMS'!Y195)</f>
        <v>D</v>
      </c>
      <c r="K195">
        <v>0.35</v>
      </c>
    </row>
    <row r="196" spans="1:11">
      <c r="A196" s="501">
        <f>'Cleanup TMS'!A196</f>
        <v>6000145</v>
      </c>
      <c r="B196" t="str">
        <f>'Cleanup TMS'!Z196</f>
        <v>Other CMP Network Roadways</v>
      </c>
      <c r="C196" s="502">
        <f>IF('Cleanup TMS'!BE196="","",'Cleanup TMS'!BE196)</f>
        <v>0.41</v>
      </c>
      <c r="D196" s="502" t="str">
        <f>IF('Cleanup TMS'!BF196="","",'Cleanup TMS'!BF196)</f>
        <v>C</v>
      </c>
      <c r="E196" s="502">
        <f>IF('Cleanup TMS'!CH196="","",'Cleanup TMS'!CI196)</f>
        <v>0.51</v>
      </c>
      <c r="F196" s="502" t="str">
        <f>IF('Cleanup TMS'!CJ196="","",'Cleanup TMS'!CJ196)</f>
        <v>D</v>
      </c>
      <c r="G196" s="502" t="str">
        <f>IF('Cleanup TMS'!CP196="","",'Cleanup TMS'!CP196)</f>
        <v>NOT CONGESTED</v>
      </c>
      <c r="H196" s="503">
        <f>IF('Cleanup TMS'!L196="","",'Cleanup TMS'!L196)</f>
        <v>4</v>
      </c>
      <c r="I196" s="503">
        <f>IF('Cleanup TMS'!M196="","",'Cleanup TMS'!M196)</f>
        <v>4</v>
      </c>
      <c r="J196" s="503" t="str">
        <f>IF('Cleanup TMS'!Y196="","",'Cleanup TMS'!Y196)</f>
        <v>D</v>
      </c>
      <c r="K196">
        <v>0.41</v>
      </c>
    </row>
    <row r="197" spans="1:11">
      <c r="A197" s="501">
        <f>'Cleanup TMS'!A197</f>
        <v>32230001</v>
      </c>
      <c r="B197" t="str">
        <f>'Cleanup TMS'!Z197</f>
        <v>Other CMP Network Roadways</v>
      </c>
      <c r="C197" s="502">
        <f>IF('Cleanup TMS'!BE197="","",'Cleanup TMS'!BE197)</f>
        <v>0.15</v>
      </c>
      <c r="D197" s="502" t="str">
        <f>IF('Cleanup TMS'!BF197="","",'Cleanup TMS'!BF197)</f>
        <v>B</v>
      </c>
      <c r="E197" s="502">
        <f>IF('Cleanup TMS'!CH197="","",'Cleanup TMS'!CI197)</f>
        <v>0.18</v>
      </c>
      <c r="F197" s="502" t="str">
        <f>IF('Cleanup TMS'!CJ197="","",'Cleanup TMS'!CJ197)</f>
        <v>B</v>
      </c>
      <c r="G197" s="502" t="str">
        <f>IF('Cleanup TMS'!CP197="","",'Cleanup TMS'!CP197)</f>
        <v>NOT CONGESTED</v>
      </c>
      <c r="H197" s="503">
        <f>IF('Cleanup TMS'!L197="","",'Cleanup TMS'!L197)</f>
        <v>2</v>
      </c>
      <c r="I197" s="503">
        <f>IF('Cleanup TMS'!M197="","",'Cleanup TMS'!M197)</f>
        <v>2</v>
      </c>
      <c r="J197" s="503" t="str">
        <f>IF('Cleanup TMS'!Y197="","",'Cleanup TMS'!Y197)</f>
        <v>C</v>
      </c>
      <c r="K197">
        <v>0.15</v>
      </c>
    </row>
    <row r="198" spans="1:11">
      <c r="A198" s="501">
        <f>'Cleanup TMS'!A198</f>
        <v>32531601</v>
      </c>
      <c r="B198" t="str">
        <f>'Cleanup TMS'!Z198</f>
        <v>NHS Non-Interstate</v>
      </c>
      <c r="C198" s="502">
        <f>IF('Cleanup TMS'!BE198="","",'Cleanup TMS'!BE198)</f>
        <v>0.2</v>
      </c>
      <c r="D198" s="502" t="str">
        <f>IF('Cleanup TMS'!BF198="","",'Cleanup TMS'!BF198)</f>
        <v>B</v>
      </c>
      <c r="E198" s="502">
        <f>IF('Cleanup TMS'!CH198="","",'Cleanup TMS'!CI198)</f>
        <v>0.21</v>
      </c>
      <c r="F198" s="502" t="str">
        <f>IF('Cleanup TMS'!CJ198="","",'Cleanup TMS'!CJ198)</f>
        <v>B</v>
      </c>
      <c r="G198" s="502" t="str">
        <f>IF('Cleanup TMS'!CP198="","",'Cleanup TMS'!CP198)</f>
        <v>NOT CONGESTED</v>
      </c>
      <c r="H198" s="503">
        <f>IF('Cleanup TMS'!L198="","",'Cleanup TMS'!L198)</f>
        <v>2</v>
      </c>
      <c r="I198" s="503">
        <f>IF('Cleanup TMS'!M198="","",'Cleanup TMS'!M198)</f>
        <v>2</v>
      </c>
      <c r="J198" s="503" t="str">
        <f>IF('Cleanup TMS'!Y198="","",'Cleanup TMS'!Y198)</f>
        <v>D</v>
      </c>
      <c r="K198">
        <v>0.2</v>
      </c>
    </row>
    <row r="199" spans="1:11">
      <c r="A199" s="501">
        <f>'Cleanup TMS'!A199</f>
        <v>32531602</v>
      </c>
      <c r="B199" t="str">
        <f>'Cleanup TMS'!Z199</f>
        <v>NHS Non-Interstate</v>
      </c>
      <c r="C199" s="502">
        <f>IF('Cleanup TMS'!BE199="","",'Cleanup TMS'!BE199)</f>
        <v>0.3</v>
      </c>
      <c r="D199" s="502" t="str">
        <f>IF('Cleanup TMS'!BF199="","",'Cleanup TMS'!BF199)</f>
        <v>C</v>
      </c>
      <c r="E199" s="502">
        <f>IF('Cleanup TMS'!CH199="","",'Cleanup TMS'!CI199)</f>
        <v>0.31</v>
      </c>
      <c r="F199" s="502" t="str">
        <f>IF('Cleanup TMS'!CJ199="","",'Cleanup TMS'!CJ199)</f>
        <v>C</v>
      </c>
      <c r="G199" s="502" t="str">
        <f>IF('Cleanup TMS'!CP199="","",'Cleanup TMS'!CP199)</f>
        <v>NOT CONGESTED</v>
      </c>
      <c r="H199" s="503">
        <f>IF('Cleanup TMS'!L199="","",'Cleanup TMS'!L199)</f>
        <v>2</v>
      </c>
      <c r="I199" s="503">
        <f>IF('Cleanup TMS'!M199="","",'Cleanup TMS'!M199)</f>
        <v>2</v>
      </c>
      <c r="J199" s="503" t="str">
        <f>IF('Cleanup TMS'!Y199="","",'Cleanup TMS'!Y199)</f>
        <v>D</v>
      </c>
      <c r="K199">
        <v>0.3</v>
      </c>
    </row>
    <row r="200" spans="1:11">
      <c r="A200" s="501">
        <f>'Cleanup TMS'!A200</f>
        <v>32532601</v>
      </c>
      <c r="B200" t="str">
        <f>'Cleanup TMS'!Z200</f>
        <v>NHS Non-Interstate</v>
      </c>
      <c r="C200" s="502">
        <f>IF('Cleanup TMS'!BE200="","",'Cleanup TMS'!BE200)</f>
        <v>0.62</v>
      </c>
      <c r="D200" s="502" t="str">
        <f>IF('Cleanup TMS'!BF200="","",'Cleanup TMS'!BF200)</f>
        <v>C</v>
      </c>
      <c r="E200" s="502">
        <f>IF('Cleanup TMS'!CH200="","",'Cleanup TMS'!CI200)</f>
        <v>0.89</v>
      </c>
      <c r="F200" s="502" t="str">
        <f>IF('Cleanup TMS'!CJ200="","",'Cleanup TMS'!CJ200)</f>
        <v>C</v>
      </c>
      <c r="G200" s="502" t="str">
        <f>IF('Cleanup TMS'!CP200="","",'Cleanup TMS'!CP200)</f>
        <v>NOT CONGESTED</v>
      </c>
      <c r="H200" s="503">
        <f>IF('Cleanup TMS'!L200="","",'Cleanup TMS'!L200)</f>
        <v>4</v>
      </c>
      <c r="I200" s="503">
        <f>IF('Cleanup TMS'!M200="","",'Cleanup TMS'!M200)</f>
        <v>4</v>
      </c>
      <c r="J200" s="503" t="str">
        <f>IF('Cleanup TMS'!Y200="","",'Cleanup TMS'!Y200)</f>
        <v>D</v>
      </c>
      <c r="K200">
        <v>0.62</v>
      </c>
    </row>
    <row r="201" spans="1:11">
      <c r="A201" s="501">
        <f>'Cleanup TMS'!A201</f>
        <v>32533001</v>
      </c>
      <c r="B201" t="str">
        <f>'Cleanup TMS'!Z201</f>
        <v>NHS Non-Interstate</v>
      </c>
      <c r="C201" s="502">
        <f>IF('Cleanup TMS'!BE201="","",'Cleanup TMS'!BE201)</f>
        <v>0.62</v>
      </c>
      <c r="D201" s="502" t="str">
        <f>IF('Cleanup TMS'!BF201="","",'Cleanup TMS'!BF201)</f>
        <v>C</v>
      </c>
      <c r="E201" s="502">
        <f>IF('Cleanup TMS'!CH201="","",'Cleanup TMS'!CI201)</f>
        <v>0.71</v>
      </c>
      <c r="F201" s="502" t="str">
        <f>IF('Cleanup TMS'!CJ201="","",'Cleanup TMS'!CJ201)</f>
        <v>C</v>
      </c>
      <c r="G201" s="502" t="str">
        <f>IF('Cleanup TMS'!CP201="","",'Cleanup TMS'!CP201)</f>
        <v>NOT CONGESTED</v>
      </c>
      <c r="H201" s="503">
        <f>IF('Cleanup TMS'!L201="","",'Cleanup TMS'!L201)</f>
        <v>4</v>
      </c>
      <c r="I201" s="503">
        <f>IF('Cleanup TMS'!M201="","",'Cleanup TMS'!M201)</f>
        <v>4</v>
      </c>
      <c r="J201" s="503" t="str">
        <f>IF('Cleanup TMS'!Y201="","",'Cleanup TMS'!Y201)</f>
        <v>D</v>
      </c>
      <c r="K201">
        <v>0.62</v>
      </c>
    </row>
    <row r="202" spans="1:11">
      <c r="A202" s="501">
        <f>'Cleanup TMS'!A202</f>
        <v>32533101</v>
      </c>
      <c r="B202" t="str">
        <f>'Cleanup TMS'!Z202</f>
        <v>NHS Non-Interstate</v>
      </c>
      <c r="C202" s="502">
        <f>IF('Cleanup TMS'!BE202="","",'Cleanup TMS'!BE202)</f>
        <v>0.59</v>
      </c>
      <c r="D202" s="502" t="str">
        <f>IF('Cleanup TMS'!BF202="","",'Cleanup TMS'!BF202)</f>
        <v>C</v>
      </c>
      <c r="E202" s="502">
        <f>IF('Cleanup TMS'!CH202="","",'Cleanup TMS'!CI202)</f>
        <v>0.62</v>
      </c>
      <c r="F202" s="502" t="str">
        <f>IF('Cleanup TMS'!CJ202="","",'Cleanup TMS'!CJ202)</f>
        <v>C</v>
      </c>
      <c r="G202" s="502" t="str">
        <f>IF('Cleanup TMS'!CP202="","",'Cleanup TMS'!CP202)</f>
        <v>NOT CONGESTED</v>
      </c>
      <c r="H202" s="503">
        <f>IF('Cleanup TMS'!L202="","",'Cleanup TMS'!L202)</f>
        <v>4</v>
      </c>
      <c r="I202" s="503">
        <f>IF('Cleanup TMS'!M202="","",'Cleanup TMS'!M202)</f>
        <v>4</v>
      </c>
      <c r="J202" s="503" t="str">
        <f>IF('Cleanup TMS'!Y202="","",'Cleanup TMS'!Y202)</f>
        <v>D</v>
      </c>
      <c r="K202">
        <v>0.59</v>
      </c>
    </row>
    <row r="203" spans="1:11">
      <c r="A203" s="501">
        <f>'Cleanup TMS'!A203</f>
        <v>32533102</v>
      </c>
      <c r="B203" t="str">
        <f>'Cleanup TMS'!Z203</f>
        <v>NHS Non-Interstate</v>
      </c>
      <c r="C203" s="502">
        <f>IF('Cleanup TMS'!BE203="","",'Cleanup TMS'!BE203)</f>
        <v>0.59</v>
      </c>
      <c r="D203" s="502" t="str">
        <f>IF('Cleanup TMS'!BF203="","",'Cleanup TMS'!BF203)</f>
        <v>C</v>
      </c>
      <c r="E203" s="502">
        <f>IF('Cleanup TMS'!CH203="","",'Cleanup TMS'!CI203)</f>
        <v>0.62</v>
      </c>
      <c r="F203" s="502" t="str">
        <f>IF('Cleanup TMS'!CJ203="","",'Cleanup TMS'!CJ203)</f>
        <v>C</v>
      </c>
      <c r="G203" s="502" t="str">
        <f>IF('Cleanup TMS'!CP203="","",'Cleanup TMS'!CP203)</f>
        <v>NOT CONGESTED</v>
      </c>
      <c r="H203" s="503">
        <f>IF('Cleanup TMS'!L203="","",'Cleanup TMS'!L203)</f>
        <v>4</v>
      </c>
      <c r="I203" s="503">
        <f>IF('Cleanup TMS'!M203="","",'Cleanup TMS'!M203)</f>
        <v>4</v>
      </c>
      <c r="J203" s="503" t="str">
        <f>IF('Cleanup TMS'!Y203="","",'Cleanup TMS'!Y203)</f>
        <v>D</v>
      </c>
      <c r="K203">
        <v>0.59</v>
      </c>
    </row>
    <row r="204" spans="1:11">
      <c r="A204" s="501">
        <f>'Cleanup TMS'!A204</f>
        <v>33000001</v>
      </c>
      <c r="B204" t="str">
        <f>'Cleanup TMS'!Z204</f>
        <v>Other CMP Network Roadways</v>
      </c>
      <c r="C204" s="502">
        <f>IF('Cleanup TMS'!BE204="","",'Cleanup TMS'!BE204)</f>
        <v>0.65</v>
      </c>
      <c r="D204" s="502" t="str">
        <f>IF('Cleanup TMS'!BF204="","",'Cleanup TMS'!BF204)</f>
        <v>D</v>
      </c>
      <c r="E204" s="502">
        <f>IF('Cleanup TMS'!CH204="","",'Cleanup TMS'!CI204)</f>
        <v>0.68</v>
      </c>
      <c r="F204" s="502" t="str">
        <f>IF('Cleanup TMS'!CJ204="","",'Cleanup TMS'!CJ204)</f>
        <v>D</v>
      </c>
      <c r="G204" s="502" t="str">
        <f>IF('Cleanup TMS'!CP204="","",'Cleanup TMS'!CP204)</f>
        <v>NOT CONGESTED</v>
      </c>
      <c r="H204" s="503">
        <f>IF('Cleanup TMS'!L204="","",'Cleanup TMS'!L204)</f>
        <v>4</v>
      </c>
      <c r="I204" s="503">
        <f>IF('Cleanup TMS'!M204="","",'Cleanup TMS'!M204)</f>
        <v>4</v>
      </c>
      <c r="J204" s="503" t="str">
        <f>IF('Cleanup TMS'!Y204="","",'Cleanup TMS'!Y204)</f>
        <v>D</v>
      </c>
      <c r="K204">
        <v>0.65</v>
      </c>
    </row>
    <row r="205" spans="1:11">
      <c r="A205" s="501">
        <f>'Cleanup TMS'!A205</f>
        <v>33000002</v>
      </c>
      <c r="B205" t="str">
        <f>'Cleanup TMS'!Z205</f>
        <v>Other CMP Network Roadways</v>
      </c>
      <c r="C205" s="502">
        <f>IF('Cleanup TMS'!BE205="","",'Cleanup TMS'!BE205)</f>
        <v>0.62</v>
      </c>
      <c r="D205" s="502" t="str">
        <f>IF('Cleanup TMS'!BF205="","",'Cleanup TMS'!BF205)</f>
        <v>D</v>
      </c>
      <c r="E205" s="502">
        <f>IF('Cleanup TMS'!CH205="","",'Cleanup TMS'!CI205)</f>
        <v>0.67</v>
      </c>
      <c r="F205" s="502" t="str">
        <f>IF('Cleanup TMS'!CJ205="","",'Cleanup TMS'!CJ205)</f>
        <v>D</v>
      </c>
      <c r="G205" s="502" t="str">
        <f>IF('Cleanup TMS'!CP205="","",'Cleanup TMS'!CP205)</f>
        <v>NOT CONGESTED</v>
      </c>
      <c r="H205" s="503">
        <f>IF('Cleanup TMS'!L205="","",'Cleanup TMS'!L205)</f>
        <v>4</v>
      </c>
      <c r="I205" s="503">
        <f>IF('Cleanup TMS'!M205="","",'Cleanup TMS'!M205)</f>
        <v>4</v>
      </c>
      <c r="J205" s="503" t="str">
        <f>IF('Cleanup TMS'!Y205="","",'Cleanup TMS'!Y205)</f>
        <v>D</v>
      </c>
      <c r="K205">
        <v>0.62</v>
      </c>
    </row>
    <row r="206" spans="1:11">
      <c r="A206" s="501">
        <f>'Cleanup TMS'!A206</f>
        <v>33000003</v>
      </c>
      <c r="B206" t="str">
        <f>'Cleanup TMS'!Z206</f>
        <v>Other CMP Network Roadways</v>
      </c>
      <c r="C206" s="502">
        <f>IF('Cleanup TMS'!BE206="","",'Cleanup TMS'!BE206)</f>
        <v>0.5</v>
      </c>
      <c r="D206" s="502" t="str">
        <f>IF('Cleanup TMS'!BF206="","",'Cleanup TMS'!BF206)</f>
        <v>D</v>
      </c>
      <c r="E206" s="502">
        <f>IF('Cleanup TMS'!CH206="","",'Cleanup TMS'!CI206)</f>
        <v>0.52</v>
      </c>
      <c r="F206" s="502" t="str">
        <f>IF('Cleanup TMS'!CJ206="","",'Cleanup TMS'!CJ206)</f>
        <v>D</v>
      </c>
      <c r="G206" s="502" t="str">
        <f>IF('Cleanup TMS'!CP206="","",'Cleanup TMS'!CP206)</f>
        <v>NOT CONGESTED</v>
      </c>
      <c r="H206" s="503">
        <f>IF('Cleanup TMS'!L206="","",'Cleanup TMS'!L206)</f>
        <v>4</v>
      </c>
      <c r="I206" s="503">
        <f>IF('Cleanup TMS'!M206="","",'Cleanup TMS'!M206)</f>
        <v>4</v>
      </c>
      <c r="J206" s="503" t="str">
        <f>IF('Cleanup TMS'!Y206="","",'Cleanup TMS'!Y206)</f>
        <v>D</v>
      </c>
      <c r="K206">
        <v>0.5</v>
      </c>
    </row>
    <row r="207" spans="1:11">
      <c r="A207" s="501">
        <f>'Cleanup TMS'!A207</f>
        <v>35270001</v>
      </c>
      <c r="B207" t="str">
        <f>'Cleanup TMS'!Z207</f>
        <v>Other CMP Network Roadways</v>
      </c>
      <c r="C207" s="502">
        <f>IF('Cleanup TMS'!BE207="","",'Cleanup TMS'!BE207)</f>
        <v>0.35</v>
      </c>
      <c r="D207" s="502" t="str">
        <f>IF('Cleanup TMS'!BF207="","",'Cleanup TMS'!BF207)</f>
        <v>B</v>
      </c>
      <c r="E207" s="502"/>
      <c r="F207" s="502" t="str">
        <f>IF('Cleanup TMS'!CJ207="","",'Cleanup TMS'!CJ207)</f>
        <v/>
      </c>
      <c r="G207" s="502" t="str">
        <f>IF('Cleanup TMS'!CP207="","",'Cleanup TMS'!CP207)</f>
        <v>NOT CONGESTED</v>
      </c>
      <c r="H207" s="503">
        <f>IF('Cleanup TMS'!L207="","",'Cleanup TMS'!L207)</f>
        <v>2</v>
      </c>
      <c r="I207" s="503">
        <f>IF('Cleanup TMS'!M207="","",'Cleanup TMS'!M207)</f>
        <v>2</v>
      </c>
      <c r="J207" s="503" t="str">
        <f>IF('Cleanup TMS'!Y207="","",'Cleanup TMS'!Y207)</f>
        <v>D</v>
      </c>
      <c r="K207">
        <v>0.35</v>
      </c>
    </row>
    <row r="208" spans="1:11">
      <c r="A208" s="501">
        <f>'Cleanup TMS'!A208</f>
        <v>35270002</v>
      </c>
      <c r="B208" t="str">
        <f>'Cleanup TMS'!Z208</f>
        <v>Other CMP Network Roadways</v>
      </c>
      <c r="C208" s="502">
        <f>IF('Cleanup TMS'!BE208="","",'Cleanup TMS'!BE208)</f>
        <v>0.54</v>
      </c>
      <c r="D208" s="502" t="str">
        <f>IF('Cleanup TMS'!BF208="","",'Cleanup TMS'!BF208)</f>
        <v>C</v>
      </c>
      <c r="E208" s="502"/>
      <c r="F208" s="502" t="str">
        <f>IF('Cleanup TMS'!CJ208="","",'Cleanup TMS'!CJ208)</f>
        <v/>
      </c>
      <c r="G208" s="502" t="str">
        <f>IF('Cleanup TMS'!CP208="","",'Cleanup TMS'!CP208)</f>
        <v>NOT CONGESTED</v>
      </c>
      <c r="H208" s="503">
        <f>IF('Cleanup TMS'!L208="","",'Cleanup TMS'!L208)</f>
        <v>2</v>
      </c>
      <c r="I208" s="503">
        <f>IF('Cleanup TMS'!M208="","",'Cleanup TMS'!M208)</f>
        <v>0</v>
      </c>
      <c r="J208" s="503" t="str">
        <f>IF('Cleanup TMS'!Y208="","",'Cleanup TMS'!Y208)</f>
        <v>D</v>
      </c>
      <c r="K208">
        <v>0.54</v>
      </c>
    </row>
    <row r="209" spans="1:11">
      <c r="A209" s="501">
        <f>'Cleanup TMS'!A209</f>
        <v>35270003</v>
      </c>
      <c r="B209" t="str">
        <f>'Cleanup TMS'!Z209</f>
        <v>Other CMP Network Roadways</v>
      </c>
      <c r="C209" s="502">
        <f>IF('Cleanup TMS'!BE209="","",'Cleanup TMS'!BE209)</f>
        <v>0.57999999999999996</v>
      </c>
      <c r="D209" s="502" t="str">
        <f>IF('Cleanup TMS'!BF209="","",'Cleanup TMS'!BF209)</f>
        <v>C</v>
      </c>
      <c r="E209" s="502"/>
      <c r="F209" s="502" t="str">
        <f>IF('Cleanup TMS'!CJ209="","",'Cleanup TMS'!CJ209)</f>
        <v/>
      </c>
      <c r="G209" s="502" t="str">
        <f>IF('Cleanup TMS'!CP209="","",'Cleanup TMS'!CP209)</f>
        <v>NOT CONGESTED</v>
      </c>
      <c r="H209" s="503">
        <f>IF('Cleanup TMS'!L209="","",'Cleanup TMS'!L209)</f>
        <v>2</v>
      </c>
      <c r="I209" s="503">
        <f>IF('Cleanup TMS'!M209="","",'Cleanup TMS'!M209)</f>
        <v>0</v>
      </c>
      <c r="J209" s="503" t="str">
        <f>IF('Cleanup TMS'!Y209="","",'Cleanup TMS'!Y209)</f>
        <v>D</v>
      </c>
      <c r="K209">
        <v>0.57999999999999996</v>
      </c>
    </row>
    <row r="210" spans="1:11">
      <c r="A210" s="501">
        <f>'Cleanup TMS'!A210</f>
        <v>35281102</v>
      </c>
      <c r="B210" t="str">
        <f>'Cleanup TMS'!Z210</f>
        <v>Other CMP Network Roadways</v>
      </c>
      <c r="C210" s="502">
        <f>IF('Cleanup TMS'!BE210="","",'Cleanup TMS'!BE210)</f>
        <v>0.09</v>
      </c>
      <c r="D210" s="502" t="str">
        <f>IF('Cleanup TMS'!BF210="","",'Cleanup TMS'!BF210)</f>
        <v>B</v>
      </c>
      <c r="E210" s="502">
        <f>IF('Cleanup TMS'!CH210="","",'Cleanup TMS'!CI210)</f>
        <v>0.12</v>
      </c>
      <c r="F210" s="502" t="str">
        <f>IF('Cleanup TMS'!CJ210="","",'Cleanup TMS'!CJ210)</f>
        <v>B</v>
      </c>
      <c r="G210" s="502" t="str">
        <f>IF('Cleanup TMS'!CP210="","",'Cleanup TMS'!CP210)</f>
        <v>NOT CONGESTED</v>
      </c>
      <c r="H210" s="503">
        <f>IF('Cleanup TMS'!L210="","",'Cleanup TMS'!L210)</f>
        <v>2</v>
      </c>
      <c r="I210" s="503">
        <f>IF('Cleanup TMS'!M210="","",'Cleanup TMS'!M210)</f>
        <v>2</v>
      </c>
      <c r="J210" s="503" t="str">
        <f>IF('Cleanup TMS'!Y210="","",'Cleanup TMS'!Y210)</f>
        <v>D</v>
      </c>
      <c r="K210">
        <v>0.09</v>
      </c>
    </row>
    <row r="211" spans="1:11">
      <c r="A211" s="501">
        <f>'Cleanup TMS'!A211</f>
        <v>35281103</v>
      </c>
      <c r="B211" t="str">
        <f>'Cleanup TMS'!Z211</f>
        <v>Other CMP Network Roadways</v>
      </c>
      <c r="C211" s="502">
        <f>IF('Cleanup TMS'!BE211="","",'Cleanup TMS'!BE211)</f>
        <v>0.6</v>
      </c>
      <c r="D211" s="502" t="str">
        <f>IF('Cleanup TMS'!BF211="","",'Cleanup TMS'!BF211)</f>
        <v>C</v>
      </c>
      <c r="E211" s="502">
        <f>IF('Cleanup TMS'!CH211="","",'Cleanup TMS'!CI211)</f>
        <v>0.89</v>
      </c>
      <c r="F211" s="502" t="str">
        <f>IF('Cleanup TMS'!CJ211="","",'Cleanup TMS'!CJ211)</f>
        <v>D</v>
      </c>
      <c r="G211" s="502" t="str">
        <f>IF('Cleanup TMS'!CP211="","",'Cleanup TMS'!CP211)</f>
        <v>NOT CONGESTED</v>
      </c>
      <c r="H211" s="503">
        <f>IF('Cleanup TMS'!L211="","",'Cleanup TMS'!L211)</f>
        <v>2</v>
      </c>
      <c r="I211" s="503">
        <f>IF('Cleanup TMS'!M211="","",'Cleanup TMS'!M211)</f>
        <v>2</v>
      </c>
      <c r="J211" s="503" t="str">
        <f>IF('Cleanup TMS'!Y211="","",'Cleanup TMS'!Y211)</f>
        <v>D</v>
      </c>
      <c r="K211">
        <v>0.6</v>
      </c>
    </row>
    <row r="212" spans="1:11">
      <c r="A212" s="501">
        <f>'Cleanup TMS'!A212</f>
        <v>35281301</v>
      </c>
      <c r="B212" t="str">
        <f>'Cleanup TMS'!Z212</f>
        <v>Other CMP Network Roadways</v>
      </c>
      <c r="C212" s="502">
        <f>IF('Cleanup TMS'!BE212="","",'Cleanup TMS'!BE212)</f>
        <v>0.24</v>
      </c>
      <c r="D212" s="502" t="str">
        <f>IF('Cleanup TMS'!BF212="","",'Cleanup TMS'!BF212)</f>
        <v>C</v>
      </c>
      <c r="E212" s="502">
        <f>IF('Cleanup TMS'!CH212="","",'Cleanup TMS'!CI212)</f>
        <v>0.25</v>
      </c>
      <c r="F212" s="502" t="str">
        <f>IF('Cleanup TMS'!CJ212="","",'Cleanup TMS'!CJ212)</f>
        <v>C</v>
      </c>
      <c r="G212" s="502" t="str">
        <f>IF('Cleanup TMS'!CP212="","",'Cleanup TMS'!CP212)</f>
        <v>NOT CONGESTED</v>
      </c>
      <c r="H212" s="503">
        <f>IF('Cleanup TMS'!L212="","",'Cleanup TMS'!L212)</f>
        <v>4</v>
      </c>
      <c r="I212" s="503">
        <f>IF('Cleanup TMS'!M212="","",'Cleanup TMS'!M212)</f>
        <v>4</v>
      </c>
      <c r="J212" s="503" t="str">
        <f>IF('Cleanup TMS'!Y212="","",'Cleanup TMS'!Y212)</f>
        <v>D</v>
      </c>
      <c r="K212">
        <v>0.24</v>
      </c>
    </row>
    <row r="213" spans="1:11">
      <c r="A213" s="501">
        <f>'Cleanup TMS'!A213</f>
        <v>35281302</v>
      </c>
      <c r="B213" t="str">
        <f>'Cleanup TMS'!Z213</f>
        <v>Other CMP Network Roadways</v>
      </c>
      <c r="C213" s="502">
        <f>IF('Cleanup TMS'!BE213="","",'Cleanup TMS'!BE213)</f>
        <v>0.15</v>
      </c>
      <c r="D213" s="502" t="str">
        <f>IF('Cleanup TMS'!BF213="","",'Cleanup TMS'!BF213)</f>
        <v>B</v>
      </c>
      <c r="E213" s="502">
        <f>IF('Cleanup TMS'!CH213="","",'Cleanup TMS'!CI213)</f>
        <v>0.23</v>
      </c>
      <c r="F213" s="502" t="str">
        <f>IF('Cleanup TMS'!CJ213="","",'Cleanup TMS'!CJ213)</f>
        <v>B</v>
      </c>
      <c r="G213" s="502" t="str">
        <f>IF('Cleanup TMS'!CP213="","",'Cleanup TMS'!CP213)</f>
        <v>NOT CONGESTED</v>
      </c>
      <c r="H213" s="503">
        <f>IF('Cleanup TMS'!L213="","",'Cleanup TMS'!L213)</f>
        <v>2</v>
      </c>
      <c r="I213" s="503">
        <f>IF('Cleanup TMS'!M213="","",'Cleanup TMS'!M213)</f>
        <v>2</v>
      </c>
      <c r="J213" s="503" t="str">
        <f>IF('Cleanup TMS'!Y213="","",'Cleanup TMS'!Y213)</f>
        <v>D</v>
      </c>
      <c r="K213">
        <v>0.15</v>
      </c>
    </row>
    <row r="214" spans="1:11">
      <c r="A214" s="501">
        <f>'Cleanup TMS'!A214</f>
        <v>35310001</v>
      </c>
      <c r="B214" t="str">
        <f>'Cleanup TMS'!Z214</f>
        <v>Other CMP Network Roadways</v>
      </c>
      <c r="C214" s="502">
        <f>IF('Cleanup TMS'!BE214="","",'Cleanup TMS'!BE214)</f>
        <v>0.21</v>
      </c>
      <c r="D214" s="502" t="str">
        <f>IF('Cleanup TMS'!BF214="","",'Cleanup TMS'!BF214)</f>
        <v>C</v>
      </c>
      <c r="E214" s="502">
        <f>IF('Cleanup TMS'!CH214="","",'Cleanup TMS'!CI214)</f>
        <v>0.22</v>
      </c>
      <c r="F214" s="502" t="str">
        <f>IF('Cleanup TMS'!CJ214="","",'Cleanup TMS'!CJ214)</f>
        <v>C</v>
      </c>
      <c r="G214" s="502" t="str">
        <f>IF('Cleanup TMS'!CP214="","",'Cleanup TMS'!CP214)</f>
        <v>NOT CONGESTED</v>
      </c>
      <c r="H214" s="503">
        <f>IF('Cleanup TMS'!L214="","",'Cleanup TMS'!L214)</f>
        <v>4</v>
      </c>
      <c r="I214" s="503">
        <f>IF('Cleanup TMS'!M214="","",'Cleanup TMS'!M214)</f>
        <v>4</v>
      </c>
      <c r="J214" s="503" t="str">
        <f>IF('Cleanup TMS'!Y214="","",'Cleanup TMS'!Y214)</f>
        <v>D</v>
      </c>
      <c r="K214">
        <v>0.21</v>
      </c>
    </row>
    <row r="215" spans="1:11">
      <c r="A215" s="501">
        <f>'Cleanup TMS'!A215</f>
        <v>35310002</v>
      </c>
      <c r="B215" t="str">
        <f>'Cleanup TMS'!Z215</f>
        <v>Other CMP Network Roadways</v>
      </c>
      <c r="C215" s="502">
        <f>IF('Cleanup TMS'!BE215="","",'Cleanup TMS'!BE215)</f>
        <v>0.15</v>
      </c>
      <c r="D215" s="502" t="str">
        <f>IF('Cleanup TMS'!BF215="","",'Cleanup TMS'!BF215)</f>
        <v>C</v>
      </c>
      <c r="E215" s="502">
        <f>IF('Cleanup TMS'!CH215="","",'Cleanup TMS'!CI215)</f>
        <v>0.16</v>
      </c>
      <c r="F215" s="502" t="str">
        <f>IF('Cleanup TMS'!CJ215="","",'Cleanup TMS'!CJ215)</f>
        <v>C</v>
      </c>
      <c r="G215" s="502" t="str">
        <f>IF('Cleanup TMS'!CP215="","",'Cleanup TMS'!CP215)</f>
        <v>NOT CONGESTED</v>
      </c>
      <c r="H215" s="503">
        <f>IF('Cleanup TMS'!L215="","",'Cleanup TMS'!L215)</f>
        <v>4</v>
      </c>
      <c r="I215" s="503">
        <f>IF('Cleanup TMS'!M215="","",'Cleanup TMS'!M215)</f>
        <v>4</v>
      </c>
      <c r="J215" s="503" t="str">
        <f>IF('Cleanup TMS'!Y215="","",'Cleanup TMS'!Y215)</f>
        <v>D</v>
      </c>
      <c r="K215">
        <v>0.15</v>
      </c>
    </row>
    <row r="216" spans="1:11">
      <c r="A216" s="501">
        <f>'Cleanup TMS'!A216</f>
        <v>35310003</v>
      </c>
      <c r="B216" t="str">
        <f>'Cleanup TMS'!Z216</f>
        <v>Other CMP Network Roadways</v>
      </c>
      <c r="C216" s="502">
        <f>IF('Cleanup TMS'!BE216="","",'Cleanup TMS'!BE216)</f>
        <v>0.26</v>
      </c>
      <c r="D216" s="502" t="str">
        <f>IF('Cleanup TMS'!BF216="","",'Cleanup TMS'!BF216)</f>
        <v>B</v>
      </c>
      <c r="E216" s="502">
        <f>IF('Cleanup TMS'!CH216="","",'Cleanup TMS'!CI216)</f>
        <v>0.28999999999999998</v>
      </c>
      <c r="F216" s="502" t="str">
        <f>IF('Cleanup TMS'!CJ216="","",'Cleanup TMS'!CJ216)</f>
        <v>B</v>
      </c>
      <c r="G216" s="502" t="str">
        <f>IF('Cleanup TMS'!CP216="","",'Cleanup TMS'!CP216)</f>
        <v>NOT CONGESTED</v>
      </c>
      <c r="H216" s="503">
        <f>IF('Cleanup TMS'!L216="","",'Cleanup TMS'!L216)</f>
        <v>2</v>
      </c>
      <c r="I216" s="503">
        <f>IF('Cleanup TMS'!M216="","",'Cleanup TMS'!M216)</f>
        <v>2</v>
      </c>
      <c r="J216" s="503" t="str">
        <f>IF('Cleanup TMS'!Y216="","",'Cleanup TMS'!Y216)</f>
        <v>D</v>
      </c>
      <c r="K216">
        <v>0.26</v>
      </c>
    </row>
    <row r="217" spans="1:11">
      <c r="A217" s="501">
        <f>'Cleanup TMS'!A217</f>
        <v>35310004</v>
      </c>
      <c r="B217" t="str">
        <f>'Cleanup TMS'!Z217</f>
        <v>Other CMP Network Roadways</v>
      </c>
      <c r="C217" s="502">
        <f>IF('Cleanup TMS'!BE217="","",'Cleanup TMS'!BE217)</f>
        <v>0.26</v>
      </c>
      <c r="D217" s="502" t="str">
        <f>IF('Cleanup TMS'!BF217="","",'Cleanup TMS'!BF217)</f>
        <v>B</v>
      </c>
      <c r="E217" s="502">
        <f>IF('Cleanup TMS'!CH217="","",'Cleanup TMS'!CI217)</f>
        <v>0.28999999999999998</v>
      </c>
      <c r="F217" s="502" t="str">
        <f>IF('Cleanup TMS'!CJ217="","",'Cleanup TMS'!CJ217)</f>
        <v>B</v>
      </c>
      <c r="G217" s="502" t="str">
        <f>IF('Cleanup TMS'!CP217="","",'Cleanup TMS'!CP217)</f>
        <v>NOT CONGESTED</v>
      </c>
      <c r="H217" s="503">
        <f>IF('Cleanup TMS'!L217="","",'Cleanup TMS'!L217)</f>
        <v>2</v>
      </c>
      <c r="I217" s="503">
        <f>IF('Cleanup TMS'!M217="","",'Cleanup TMS'!M217)</f>
        <v>2</v>
      </c>
      <c r="J217" s="503" t="str">
        <f>IF('Cleanup TMS'!Y217="","",'Cleanup TMS'!Y217)</f>
        <v>D</v>
      </c>
      <c r="K217">
        <v>0.26</v>
      </c>
    </row>
    <row r="218" spans="1:11">
      <c r="A218" s="501">
        <f>'Cleanup TMS'!A218</f>
        <v>35320001</v>
      </c>
      <c r="B218" t="str">
        <f>'Cleanup TMS'!Z218</f>
        <v>Other CMP Network Roadways</v>
      </c>
      <c r="C218" s="502">
        <f>IF('Cleanup TMS'!BE218="","",'Cleanup TMS'!BE218)</f>
        <v>7.0000000000000007E-2</v>
      </c>
      <c r="D218" s="502" t="str">
        <f>IF('Cleanup TMS'!BF218="","",'Cleanup TMS'!BF218)</f>
        <v>B</v>
      </c>
      <c r="E218" s="502">
        <f>IF('Cleanup TMS'!CH218="","",'Cleanup TMS'!CI218)</f>
        <v>0.08</v>
      </c>
      <c r="F218" s="502" t="str">
        <f>IF('Cleanup TMS'!CJ218="","",'Cleanup TMS'!CJ218)</f>
        <v>B</v>
      </c>
      <c r="G218" s="502" t="str">
        <f>IF('Cleanup TMS'!CP218="","",'Cleanup TMS'!CP218)</f>
        <v>NOT CONGESTED</v>
      </c>
      <c r="H218" s="503">
        <f>IF('Cleanup TMS'!L218="","",'Cleanup TMS'!L218)</f>
        <v>2</v>
      </c>
      <c r="I218" s="503">
        <f>IF('Cleanup TMS'!M218="","",'Cleanup TMS'!M218)</f>
        <v>2</v>
      </c>
      <c r="J218" s="503" t="str">
        <f>IF('Cleanup TMS'!Y218="","",'Cleanup TMS'!Y218)</f>
        <v>C</v>
      </c>
      <c r="K218">
        <v>7.0000000000000007E-2</v>
      </c>
    </row>
    <row r="219" spans="1:11">
      <c r="A219" s="501">
        <f>'Cleanup TMS'!A219</f>
        <v>35331101</v>
      </c>
      <c r="B219" t="str">
        <f>'Cleanup TMS'!Z219</f>
        <v>Other CMP Network Roadways</v>
      </c>
      <c r="C219" s="502">
        <f>IF('Cleanup TMS'!BE219="","",'Cleanup TMS'!BE219)</f>
        <v>0.67</v>
      </c>
      <c r="D219" s="502" t="str">
        <f>IF('Cleanup TMS'!BF219="","",'Cleanup TMS'!BF219)</f>
        <v>C</v>
      </c>
      <c r="E219" s="502">
        <f>IF('Cleanup TMS'!CH219="","",'Cleanup TMS'!CI219)</f>
        <v>0.84</v>
      </c>
      <c r="F219" s="502" t="str">
        <f>IF('Cleanup TMS'!CJ219="","",'Cleanup TMS'!CJ219)</f>
        <v>C</v>
      </c>
      <c r="G219" s="502" t="str">
        <f>IF('Cleanup TMS'!CP219="","",'Cleanup TMS'!CP219)</f>
        <v>NOT CONGESTED</v>
      </c>
      <c r="H219" s="503">
        <f>IF('Cleanup TMS'!L219="","",'Cleanup TMS'!L219)</f>
        <v>4</v>
      </c>
      <c r="I219" s="503">
        <f>IF('Cleanup TMS'!M219="","",'Cleanup TMS'!M219)</f>
        <v>4</v>
      </c>
      <c r="J219" s="503" t="str">
        <f>IF('Cleanup TMS'!Y219="","",'Cleanup TMS'!Y219)</f>
        <v>D</v>
      </c>
      <c r="K219">
        <v>0.67</v>
      </c>
    </row>
    <row r="220" spans="1:11">
      <c r="A220" s="501">
        <f>'Cleanup TMS'!A220</f>
        <v>35331102</v>
      </c>
      <c r="B220" t="str">
        <f>'Cleanup TMS'!Z220</f>
        <v>Other CMP Network Roadways</v>
      </c>
      <c r="C220" s="502">
        <f>IF('Cleanup TMS'!BE220="","",'Cleanup TMS'!BE220)</f>
        <v>0.69</v>
      </c>
      <c r="D220" s="502" t="str">
        <f>IF('Cleanup TMS'!BF220="","",'Cleanup TMS'!BF220)</f>
        <v>C</v>
      </c>
      <c r="E220" s="502">
        <f>IF('Cleanup TMS'!CH220="","",'Cleanup TMS'!CI220)</f>
        <v>0.83</v>
      </c>
      <c r="F220" s="502" t="str">
        <f>IF('Cleanup TMS'!CJ220="","",'Cleanup TMS'!CJ220)</f>
        <v>C</v>
      </c>
      <c r="G220" s="502" t="str">
        <f>IF('Cleanup TMS'!CP220="","",'Cleanup TMS'!CP220)</f>
        <v>NOT CONGESTED</v>
      </c>
      <c r="H220" s="503">
        <f>IF('Cleanup TMS'!L220="","",'Cleanup TMS'!L220)</f>
        <v>4</v>
      </c>
      <c r="I220" s="503">
        <f>IF('Cleanup TMS'!M220="","",'Cleanup TMS'!M220)</f>
        <v>4</v>
      </c>
      <c r="J220" s="503" t="str">
        <f>IF('Cleanup TMS'!Y220="","",'Cleanup TMS'!Y220)</f>
        <v>D</v>
      </c>
      <c r="K220">
        <v>0.69</v>
      </c>
    </row>
    <row r="221" spans="1:11">
      <c r="A221" s="501">
        <f>'Cleanup TMS'!A221</f>
        <v>35331103</v>
      </c>
      <c r="B221" t="str">
        <f>'Cleanup TMS'!Z221</f>
        <v>Other CMP Network Roadways</v>
      </c>
      <c r="C221" s="502">
        <f>IF('Cleanup TMS'!BE221="","",'Cleanup TMS'!BE221)</f>
        <v>0.46</v>
      </c>
      <c r="D221" s="502" t="str">
        <f>IF('Cleanup TMS'!BF221="","",'Cleanup TMS'!BF221)</f>
        <v>C</v>
      </c>
      <c r="E221" s="502">
        <f>IF('Cleanup TMS'!CH221="","",'Cleanup TMS'!CI221)</f>
        <v>0.49</v>
      </c>
      <c r="F221" s="502" t="str">
        <f>IF('Cleanup TMS'!CJ221="","",'Cleanup TMS'!CJ221)</f>
        <v>C</v>
      </c>
      <c r="G221" s="502" t="str">
        <f>IF('Cleanup TMS'!CP221="","",'Cleanup TMS'!CP221)</f>
        <v>NOT CONGESTED</v>
      </c>
      <c r="H221" s="503">
        <f>IF('Cleanup TMS'!L221="","",'Cleanup TMS'!L221)</f>
        <v>4</v>
      </c>
      <c r="I221" s="503">
        <f>IF('Cleanup TMS'!M221="","",'Cleanup TMS'!M221)</f>
        <v>4</v>
      </c>
      <c r="J221" s="503" t="str">
        <f>IF('Cleanup TMS'!Y221="","",'Cleanup TMS'!Y221)</f>
        <v>D</v>
      </c>
      <c r="K221">
        <v>0.46</v>
      </c>
    </row>
    <row r="222" spans="1:11">
      <c r="A222" s="501">
        <f>'Cleanup TMS'!A222</f>
        <v>35331104</v>
      </c>
      <c r="B222" t="str">
        <f>'Cleanup TMS'!Z222</f>
        <v>Other CMP Network Roadways</v>
      </c>
      <c r="C222" s="502">
        <f>IF('Cleanup TMS'!BE222="","",'Cleanup TMS'!BE222)</f>
        <v>0.46</v>
      </c>
      <c r="D222" s="502" t="str">
        <f>IF('Cleanup TMS'!BF222="","",'Cleanup TMS'!BF222)</f>
        <v>C</v>
      </c>
      <c r="E222" s="502">
        <f>IF('Cleanup TMS'!CH222="","",'Cleanup TMS'!CI222)</f>
        <v>0.49</v>
      </c>
      <c r="F222" s="502" t="str">
        <f>IF('Cleanup TMS'!CJ222="","",'Cleanup TMS'!CJ222)</f>
        <v>C</v>
      </c>
      <c r="G222" s="502" t="str">
        <f>IF('Cleanup TMS'!CP222="","",'Cleanup TMS'!CP222)</f>
        <v>NOT CONGESTED</v>
      </c>
      <c r="H222" s="503">
        <f>IF('Cleanup TMS'!L222="","",'Cleanup TMS'!L222)</f>
        <v>4</v>
      </c>
      <c r="I222" s="503">
        <f>IF('Cleanup TMS'!M222="","",'Cleanup TMS'!M222)</f>
        <v>4</v>
      </c>
      <c r="J222" s="503" t="str">
        <f>IF('Cleanup TMS'!Y222="","",'Cleanup TMS'!Y222)</f>
        <v>D</v>
      </c>
      <c r="K222">
        <v>0.46</v>
      </c>
    </row>
    <row r="223" spans="1:11">
      <c r="A223" s="501">
        <f>'Cleanup TMS'!A223</f>
        <v>35331105</v>
      </c>
      <c r="B223" t="str">
        <f>'Cleanup TMS'!Z223</f>
        <v>Other CMP Network Roadways</v>
      </c>
      <c r="C223" s="502">
        <f>IF('Cleanup TMS'!BE223="","",'Cleanup TMS'!BE223)</f>
        <v>0.54</v>
      </c>
      <c r="D223" s="502" t="str">
        <f>IF('Cleanup TMS'!BF223="","",'Cleanup TMS'!BF223)</f>
        <v>C</v>
      </c>
      <c r="E223" s="502">
        <f>IF('Cleanup TMS'!CH223="","",'Cleanup TMS'!CI223)</f>
        <v>0.56999999999999995</v>
      </c>
      <c r="F223" s="502" t="str">
        <f>IF('Cleanup TMS'!CJ223="","",'Cleanup TMS'!CJ223)</f>
        <v>C</v>
      </c>
      <c r="G223" s="502" t="str">
        <f>IF('Cleanup TMS'!CP223="","",'Cleanup TMS'!CP223)</f>
        <v>NOT CONGESTED</v>
      </c>
      <c r="H223" s="503">
        <f>IF('Cleanup TMS'!L223="","",'Cleanup TMS'!L223)</f>
        <v>4</v>
      </c>
      <c r="I223" s="503">
        <f>IF('Cleanup TMS'!M223="","",'Cleanup TMS'!M223)</f>
        <v>4</v>
      </c>
      <c r="J223" s="503" t="str">
        <f>IF('Cleanup TMS'!Y223="","",'Cleanup TMS'!Y223)</f>
        <v>D</v>
      </c>
      <c r="K223">
        <v>0.54</v>
      </c>
    </row>
    <row r="224" spans="1:11">
      <c r="A224" s="501">
        <f>'Cleanup TMS'!A224</f>
        <v>35371401</v>
      </c>
      <c r="B224" t="str">
        <f>'Cleanup TMS'!Z224</f>
        <v>Other CMP Network Roadways</v>
      </c>
      <c r="C224" s="502">
        <f>IF('Cleanup TMS'!BE224="","",'Cleanup TMS'!BE224)</f>
        <v>0.56000000000000005</v>
      </c>
      <c r="D224" s="502" t="str">
        <f>IF('Cleanup TMS'!BF224="","",'Cleanup TMS'!BF224)</f>
        <v>C</v>
      </c>
      <c r="E224" s="502">
        <f>IF('Cleanup TMS'!CH224="","",'Cleanup TMS'!CI224)</f>
        <v>0.57999999999999996</v>
      </c>
      <c r="F224" s="502" t="str">
        <f>IF('Cleanup TMS'!CJ224="","",'Cleanup TMS'!CJ224)</f>
        <v>C</v>
      </c>
      <c r="G224" s="502" t="str">
        <f>IF('Cleanup TMS'!CP224="","",'Cleanup TMS'!CP224)</f>
        <v>NOT CONGESTED</v>
      </c>
      <c r="H224" s="503">
        <f>IF('Cleanup TMS'!L224="","",'Cleanup TMS'!L224)</f>
        <v>4</v>
      </c>
      <c r="I224" s="503">
        <f>IF('Cleanup TMS'!M224="","",'Cleanup TMS'!M224)</f>
        <v>4</v>
      </c>
      <c r="J224" s="503" t="str">
        <f>IF('Cleanup TMS'!Y224="","",'Cleanup TMS'!Y224)</f>
        <v>D</v>
      </c>
      <c r="K224">
        <v>0.56000000000000005</v>
      </c>
    </row>
    <row r="225" spans="1:11">
      <c r="A225" s="501">
        <f>'Cleanup TMS'!A225</f>
        <v>35380001</v>
      </c>
      <c r="B225" t="str">
        <f>'Cleanup TMS'!Z225</f>
        <v>Other CMP Network Roadways</v>
      </c>
      <c r="C225" s="502">
        <f>IF('Cleanup TMS'!BE225="","",'Cleanup TMS'!BE225)</f>
        <v>0.16</v>
      </c>
      <c r="D225" s="502" t="str">
        <f>IF('Cleanup TMS'!BF225="","",'Cleanup TMS'!BF225)</f>
        <v>B</v>
      </c>
      <c r="E225" s="502">
        <f>IF('Cleanup TMS'!CH225="","",'Cleanup TMS'!CI225)</f>
        <v>0.17</v>
      </c>
      <c r="F225" s="502" t="str">
        <f>IF('Cleanup TMS'!CJ225="","",'Cleanup TMS'!CJ225)</f>
        <v>B</v>
      </c>
      <c r="G225" s="502" t="str">
        <f>IF('Cleanup TMS'!CP225="","",'Cleanup TMS'!CP225)</f>
        <v>NOT CONGESTED</v>
      </c>
      <c r="H225" s="503">
        <f>IF('Cleanup TMS'!L225="","",'Cleanup TMS'!L225)</f>
        <v>2</v>
      </c>
      <c r="I225" s="503">
        <f>IF('Cleanup TMS'!M225="","",'Cleanup TMS'!M225)</f>
        <v>2</v>
      </c>
      <c r="J225" s="503" t="str">
        <f>IF('Cleanup TMS'!Y225="","",'Cleanup TMS'!Y225)</f>
        <v>C</v>
      </c>
      <c r="K225">
        <v>0.16</v>
      </c>
    </row>
    <row r="226" spans="1:11">
      <c r="A226" s="501">
        <f>'Cleanup TMS'!A226</f>
        <v>35411002</v>
      </c>
      <c r="B226" t="str">
        <f>'Cleanup TMS'!Z226</f>
        <v>Other CMP Network Roadways</v>
      </c>
      <c r="C226" s="502">
        <f>IF('Cleanup TMS'!BE226="","",'Cleanup TMS'!BE226)</f>
        <v>0</v>
      </c>
      <c r="D226" s="502" t="str">
        <f>IF('Cleanup TMS'!BF226="","",'Cleanup TMS'!BF226)</f>
        <v>B</v>
      </c>
      <c r="E226" s="502">
        <f>IF('Cleanup TMS'!CH226="","",'Cleanup TMS'!CI226)</f>
        <v>0</v>
      </c>
      <c r="F226" s="502" t="str">
        <f>IF('Cleanup TMS'!CJ226="","",'Cleanup TMS'!CJ226)</f>
        <v>C</v>
      </c>
      <c r="G226" s="502" t="str">
        <f>IF('Cleanup TMS'!CP226="","",'Cleanup TMS'!CP226)</f>
        <v>CONGESTED (2020)</v>
      </c>
      <c r="H226" s="503">
        <f>IF('Cleanup TMS'!L226="","",'Cleanup TMS'!L226)</f>
        <v>2</v>
      </c>
      <c r="I226" s="503">
        <f>IF('Cleanup TMS'!M226="","",'Cleanup TMS'!M226)</f>
        <v>2</v>
      </c>
      <c r="J226" s="503" t="str">
        <f>IF('Cleanup TMS'!Y226="","",'Cleanup TMS'!Y226)</f>
        <v>F</v>
      </c>
      <c r="K226">
        <v>0</v>
      </c>
    </row>
    <row r="227" spans="1:11">
      <c r="A227" s="501">
        <f>'Cleanup TMS'!A227</f>
        <v>35411003</v>
      </c>
      <c r="B227" t="str">
        <f>'Cleanup TMS'!Z227</f>
        <v>Other CMP Network Roadways</v>
      </c>
      <c r="C227" s="502">
        <f>IF('Cleanup TMS'!BE227="","",'Cleanup TMS'!BE227)</f>
        <v>0</v>
      </c>
      <c r="D227" s="502" t="str">
        <f>IF('Cleanup TMS'!BF227="","",'Cleanup TMS'!BF227)</f>
        <v>C</v>
      </c>
      <c r="E227" s="502">
        <f>IF('Cleanup TMS'!CH227="","",'Cleanup TMS'!CI227)</f>
        <v>0</v>
      </c>
      <c r="F227" s="502" t="str">
        <f>IF('Cleanup TMS'!CJ227="","",'Cleanup TMS'!CJ227)</f>
        <v>D</v>
      </c>
      <c r="G227" s="502" t="str">
        <f>IF('Cleanup TMS'!CP227="","",'Cleanup TMS'!CP227)</f>
        <v>CONGESTED (2020)</v>
      </c>
      <c r="H227" s="503">
        <f>IF('Cleanup TMS'!L227="","",'Cleanup TMS'!L227)</f>
        <v>2</v>
      </c>
      <c r="I227" s="503">
        <f>IF('Cleanup TMS'!M227="","",'Cleanup TMS'!M227)</f>
        <v>2</v>
      </c>
      <c r="J227" s="503" t="str">
        <f>IF('Cleanup TMS'!Y227="","",'Cleanup TMS'!Y227)</f>
        <v>F</v>
      </c>
      <c r="K227">
        <v>0</v>
      </c>
    </row>
    <row r="228" spans="1:11">
      <c r="A228" s="501">
        <f>'Cleanup TMS'!A228</f>
        <v>35411101</v>
      </c>
      <c r="B228" t="str">
        <f>'Cleanup TMS'!Z228</f>
        <v>Other CMP Network Roadways</v>
      </c>
      <c r="C228" s="502">
        <f>IF('Cleanup TMS'!BE228="","",'Cleanup TMS'!BE228)</f>
        <v>0</v>
      </c>
      <c r="D228" s="502" t="str">
        <f>IF('Cleanup TMS'!BF228="","",'Cleanup TMS'!BF228)</f>
        <v>F</v>
      </c>
      <c r="E228" s="502">
        <f>IF('Cleanup TMS'!CH228="","",'Cleanup TMS'!CI228)</f>
        <v>0</v>
      </c>
      <c r="F228" s="502" t="str">
        <f>IF('Cleanup TMS'!CJ228="","",'Cleanup TMS'!CJ228)</f>
        <v>F</v>
      </c>
      <c r="G228" s="502" t="str">
        <f>IF('Cleanup TMS'!CP228="","",'Cleanup TMS'!CP228)</f>
        <v>CONGESTED (2020)</v>
      </c>
      <c r="H228" s="503">
        <f>IF('Cleanup TMS'!L228="","",'Cleanup TMS'!L228)</f>
        <v>2</v>
      </c>
      <c r="I228" s="503">
        <f>IF('Cleanup TMS'!M228="","",'Cleanup TMS'!M228)</f>
        <v>2</v>
      </c>
      <c r="J228" s="503" t="str">
        <f>IF('Cleanup TMS'!Y228="","",'Cleanup TMS'!Y228)</f>
        <v>F</v>
      </c>
      <c r="K228">
        <v>0</v>
      </c>
    </row>
    <row r="229" spans="1:11">
      <c r="A229" s="501">
        <f>'Cleanup TMS'!A229</f>
        <v>35431101</v>
      </c>
      <c r="B229" t="str">
        <f>'Cleanup TMS'!Z229</f>
        <v>Other CMP Network Roadways</v>
      </c>
      <c r="C229" s="502">
        <f>IF('Cleanup TMS'!BE229="","",'Cleanup TMS'!BE229)</f>
        <v>0.52</v>
      </c>
      <c r="D229" s="502" t="str">
        <f>IF('Cleanup TMS'!BF229="","",'Cleanup TMS'!BF229)</f>
        <v>D</v>
      </c>
      <c r="E229" s="502">
        <f>IF('Cleanup TMS'!CH229="","",'Cleanup TMS'!CI229)</f>
        <v>0.66</v>
      </c>
      <c r="F229" s="502" t="str">
        <f>IF('Cleanup TMS'!CJ229="","",'Cleanup TMS'!CJ229)</f>
        <v>D</v>
      </c>
      <c r="G229" s="502" t="str">
        <f>IF('Cleanup TMS'!CP229="","",'Cleanup TMS'!CP229)</f>
        <v>NOT CONGESTED</v>
      </c>
      <c r="H229" s="503">
        <f>IF('Cleanup TMS'!L229="","",'Cleanup TMS'!L229)</f>
        <v>2</v>
      </c>
      <c r="I229" s="503">
        <f>IF('Cleanup TMS'!M229="","",'Cleanup TMS'!M229)</f>
        <v>2</v>
      </c>
      <c r="J229" s="503" t="str">
        <f>IF('Cleanup TMS'!Y229="","",'Cleanup TMS'!Y229)</f>
        <v>D</v>
      </c>
      <c r="K229">
        <v>0.52</v>
      </c>
    </row>
    <row r="230" spans="1:11">
      <c r="A230" s="501">
        <f>'Cleanup TMS'!A230</f>
        <v>35431102</v>
      </c>
      <c r="B230" t="str">
        <f>'Cleanup TMS'!Z230</f>
        <v>Other CMP Network Roadways</v>
      </c>
      <c r="C230" s="502">
        <f>IF('Cleanup TMS'!BE230="","",'Cleanup TMS'!BE230)</f>
        <v>0.54</v>
      </c>
      <c r="D230" s="502" t="str">
        <f>IF('Cleanup TMS'!BF230="","",'Cleanup TMS'!BF230)</f>
        <v>D</v>
      </c>
      <c r="E230" s="502">
        <f>IF('Cleanup TMS'!CH230="","",'Cleanup TMS'!CI230)</f>
        <v>0.62</v>
      </c>
      <c r="F230" s="502" t="str">
        <f>IF('Cleanup TMS'!CJ230="","",'Cleanup TMS'!CJ230)</f>
        <v>D</v>
      </c>
      <c r="G230" s="502" t="str">
        <f>IF('Cleanup TMS'!CP230="","",'Cleanup TMS'!CP230)</f>
        <v>NOT CONGESTED</v>
      </c>
      <c r="H230" s="503">
        <f>IF('Cleanup TMS'!L230="","",'Cleanup TMS'!L230)</f>
        <v>2</v>
      </c>
      <c r="I230" s="503">
        <f>IF('Cleanup TMS'!M230="","",'Cleanup TMS'!M230)</f>
        <v>2</v>
      </c>
      <c r="J230" s="503" t="str">
        <f>IF('Cleanup TMS'!Y230="","",'Cleanup TMS'!Y230)</f>
        <v>D</v>
      </c>
      <c r="K230">
        <v>0.54</v>
      </c>
    </row>
    <row r="231" spans="1:11">
      <c r="A231" s="501">
        <f>'Cleanup TMS'!A231</f>
        <v>35480001</v>
      </c>
      <c r="B231" t="str">
        <f>'Cleanup TMS'!Z231</f>
        <v>NHS Non-Interstate</v>
      </c>
      <c r="C231" s="502">
        <f>IF('Cleanup TMS'!BE231="","",'Cleanup TMS'!BE231)</f>
        <v>0.38</v>
      </c>
      <c r="D231" s="502" t="str">
        <f>IF('Cleanup TMS'!BF231="","",'Cleanup TMS'!BF231)</f>
        <v>B</v>
      </c>
      <c r="E231" s="502">
        <f>IF('Cleanup TMS'!CH231="","",'Cleanup TMS'!CI231)</f>
        <v>0.46</v>
      </c>
      <c r="F231" s="502" t="str">
        <f>IF('Cleanup TMS'!CJ231="","",'Cleanup TMS'!CJ231)</f>
        <v>B</v>
      </c>
      <c r="G231" s="502" t="str">
        <f>IF('Cleanup TMS'!CP231="","",'Cleanup TMS'!CP231)</f>
        <v>NOT CONGESTED</v>
      </c>
      <c r="H231" s="503">
        <f>IF('Cleanup TMS'!L231="","",'Cleanup TMS'!L231)</f>
        <v>2</v>
      </c>
      <c r="I231" s="503">
        <f>IF('Cleanup TMS'!M231="","",'Cleanup TMS'!M231)</f>
        <v>2</v>
      </c>
      <c r="J231" s="503" t="str">
        <f>IF('Cleanup TMS'!Y231="","",'Cleanup TMS'!Y231)</f>
        <v>C</v>
      </c>
      <c r="K231">
        <v>0.38</v>
      </c>
    </row>
    <row r="232" spans="1:11">
      <c r="A232" s="501">
        <f>'Cleanup TMS'!A232</f>
        <v>35501001</v>
      </c>
      <c r="B232" t="str">
        <f>'Cleanup TMS'!Z232</f>
        <v>Other CMP Network Roadways</v>
      </c>
      <c r="C232" s="502">
        <f>IF('Cleanup TMS'!BE232="","",'Cleanup TMS'!BE232)</f>
        <v>0.41</v>
      </c>
      <c r="D232" s="502" t="str">
        <f>IF('Cleanup TMS'!BF232="","",'Cleanup TMS'!BF232)</f>
        <v>B</v>
      </c>
      <c r="E232" s="502">
        <f>IF('Cleanup TMS'!CH232="","",'Cleanup TMS'!CI232)</f>
        <v>0.43</v>
      </c>
      <c r="F232" s="502" t="str">
        <f>IF('Cleanup TMS'!CJ232="","",'Cleanup TMS'!CJ232)</f>
        <v>B</v>
      </c>
      <c r="G232" s="502" t="str">
        <f>IF('Cleanup TMS'!CP232="","",'Cleanup TMS'!CP232)</f>
        <v>NOT CONGESTED</v>
      </c>
      <c r="H232" s="503">
        <f>IF('Cleanup TMS'!L232="","",'Cleanup TMS'!L232)</f>
        <v>2</v>
      </c>
      <c r="I232" s="503">
        <f>IF('Cleanup TMS'!M232="","",'Cleanup TMS'!M232)</f>
        <v>2</v>
      </c>
      <c r="J232" s="503" t="str">
        <f>IF('Cleanup TMS'!Y232="","",'Cleanup TMS'!Y232)</f>
        <v>D</v>
      </c>
      <c r="K232">
        <v>0.41</v>
      </c>
    </row>
    <row r="233" spans="1:11">
      <c r="A233" s="501">
        <f>'Cleanup TMS'!A233</f>
        <v>35511201</v>
      </c>
      <c r="B233" t="str">
        <f>'Cleanup TMS'!Z233</f>
        <v>NHS Non-Interstate</v>
      </c>
      <c r="C233" s="502">
        <f>IF('Cleanup TMS'!BE233="","",'Cleanup TMS'!BE233)</f>
        <v>0.45</v>
      </c>
      <c r="D233" s="502" t="str">
        <f>IF('Cleanup TMS'!BF233="","",'Cleanup TMS'!BF233)</f>
        <v>C</v>
      </c>
      <c r="E233" s="502">
        <f>IF('Cleanup TMS'!CH233="","",'Cleanup TMS'!CI233)</f>
        <v>0.47</v>
      </c>
      <c r="F233" s="502" t="str">
        <f>IF('Cleanup TMS'!CJ233="","",'Cleanup TMS'!CJ233)</f>
        <v>C</v>
      </c>
      <c r="G233" s="502" t="str">
        <f>IF('Cleanup TMS'!CP233="","",'Cleanup TMS'!CP233)</f>
        <v>NOT CONGESTED</v>
      </c>
      <c r="H233" s="503">
        <f>IF('Cleanup TMS'!L233="","",'Cleanup TMS'!L233)</f>
        <v>4</v>
      </c>
      <c r="I233" s="503">
        <f>IF('Cleanup TMS'!M233="","",'Cleanup TMS'!M233)</f>
        <v>4</v>
      </c>
      <c r="J233" s="503" t="str">
        <f>IF('Cleanup TMS'!Y233="","",'Cleanup TMS'!Y233)</f>
        <v>D</v>
      </c>
      <c r="K233">
        <v>0.45</v>
      </c>
    </row>
    <row r="234" spans="1:11">
      <c r="A234" s="501">
        <f>'Cleanup TMS'!A234</f>
        <v>35511202</v>
      </c>
      <c r="B234" t="str">
        <f>'Cleanup TMS'!Z234</f>
        <v>NHS Non-Interstate</v>
      </c>
      <c r="C234" s="502">
        <f>IF('Cleanup TMS'!BE234="","",'Cleanup TMS'!BE234)</f>
        <v>0.49</v>
      </c>
      <c r="D234" s="502" t="str">
        <f>IF('Cleanup TMS'!BF234="","",'Cleanup TMS'!BF234)</f>
        <v>C</v>
      </c>
      <c r="E234" s="502">
        <f>IF('Cleanup TMS'!CH234="","",'Cleanup TMS'!CI234)</f>
        <v>0.53</v>
      </c>
      <c r="F234" s="502" t="str">
        <f>IF('Cleanup TMS'!CJ234="","",'Cleanup TMS'!CJ234)</f>
        <v>C</v>
      </c>
      <c r="G234" s="502" t="str">
        <f>IF('Cleanup TMS'!CP234="","",'Cleanup TMS'!CP234)</f>
        <v>NOT CONGESTED</v>
      </c>
      <c r="H234" s="503">
        <f>IF('Cleanup TMS'!L234="","",'Cleanup TMS'!L234)</f>
        <v>4</v>
      </c>
      <c r="I234" s="503">
        <f>IF('Cleanup TMS'!M234="","",'Cleanup TMS'!M234)</f>
        <v>4</v>
      </c>
      <c r="J234" s="503" t="str">
        <f>IF('Cleanup TMS'!Y234="","",'Cleanup TMS'!Y234)</f>
        <v>D</v>
      </c>
      <c r="K234">
        <v>0.49</v>
      </c>
    </row>
    <row r="235" spans="1:11">
      <c r="A235" s="501">
        <f>'Cleanup TMS'!A235</f>
        <v>35541001</v>
      </c>
      <c r="B235" t="str">
        <f>'Cleanup TMS'!Z235</f>
        <v>Other CMP Network Roadways</v>
      </c>
      <c r="C235" s="502">
        <f>IF('Cleanup TMS'!BE235="","",'Cleanup TMS'!BE235)</f>
        <v>0.34</v>
      </c>
      <c r="D235" s="502" t="str">
        <f>IF('Cleanup TMS'!BF235="","",'Cleanup TMS'!BF235)</f>
        <v>C</v>
      </c>
      <c r="E235" s="502">
        <f>IF('Cleanup TMS'!CH235="","",'Cleanup TMS'!CI235)</f>
        <v>0.46</v>
      </c>
      <c r="F235" s="502" t="str">
        <f>IF('Cleanup TMS'!CJ235="","",'Cleanup TMS'!CJ235)</f>
        <v>C</v>
      </c>
      <c r="G235" s="502" t="str">
        <f>IF('Cleanup TMS'!CP235="","",'Cleanup TMS'!CP235)</f>
        <v>NOT CONGESTED</v>
      </c>
      <c r="H235" s="503">
        <f>IF('Cleanup TMS'!L235="","",'Cleanup TMS'!L235)</f>
        <v>4</v>
      </c>
      <c r="I235" s="503">
        <f>IF('Cleanup TMS'!M235="","",'Cleanup TMS'!M235)</f>
        <v>4</v>
      </c>
      <c r="J235" s="503" t="str">
        <f>IF('Cleanup TMS'!Y235="","",'Cleanup TMS'!Y235)</f>
        <v>D</v>
      </c>
      <c r="K235">
        <v>0.34</v>
      </c>
    </row>
    <row r="236" spans="1:11">
      <c r="A236" s="501">
        <f>'Cleanup TMS'!A236</f>
        <v>35541002</v>
      </c>
      <c r="B236" t="str">
        <f>'Cleanup TMS'!Z236</f>
        <v>NHS Non-Interstate</v>
      </c>
      <c r="C236" s="502">
        <f>IF('Cleanup TMS'!BE236="","",'Cleanup TMS'!BE236)</f>
        <v>0.42</v>
      </c>
      <c r="D236" s="502" t="str">
        <f>IF('Cleanup TMS'!BF236="","",'Cleanup TMS'!BF236)</f>
        <v>C</v>
      </c>
      <c r="E236" s="502">
        <f>IF('Cleanup TMS'!CH236="","",'Cleanup TMS'!CI236)</f>
        <v>0.5</v>
      </c>
      <c r="F236" s="502" t="str">
        <f>IF('Cleanup TMS'!CJ236="","",'Cleanup TMS'!CJ236)</f>
        <v>C</v>
      </c>
      <c r="G236" s="502" t="str">
        <f>IF('Cleanup TMS'!CP236="","",'Cleanup TMS'!CP236)</f>
        <v>NOT CONGESTED</v>
      </c>
      <c r="H236" s="503">
        <f>IF('Cleanup TMS'!L236="","",'Cleanup TMS'!L236)</f>
        <v>4</v>
      </c>
      <c r="I236" s="503">
        <f>IF('Cleanup TMS'!M236="","",'Cleanup TMS'!M236)</f>
        <v>4</v>
      </c>
      <c r="J236" s="503" t="str">
        <f>IF('Cleanup TMS'!Y236="","",'Cleanup TMS'!Y236)</f>
        <v>D</v>
      </c>
      <c r="K236">
        <v>0.42</v>
      </c>
    </row>
    <row r="237" spans="1:11">
      <c r="A237" s="501">
        <f>'Cleanup TMS'!A237</f>
        <v>35581601</v>
      </c>
      <c r="B237" t="str">
        <f>'Cleanup TMS'!Z237</f>
        <v>NHS Non-Interstate</v>
      </c>
      <c r="C237" s="502">
        <f>IF('Cleanup TMS'!BE237="","",'Cleanup TMS'!BE237)</f>
        <v>0.23</v>
      </c>
      <c r="D237" s="502" t="str">
        <f>IF('Cleanup TMS'!BF237="","",'Cleanup TMS'!BF237)</f>
        <v>B</v>
      </c>
      <c r="E237" s="502">
        <f>IF('Cleanup TMS'!CH237="","",'Cleanup TMS'!CI237)</f>
        <v>0.24</v>
      </c>
      <c r="F237" s="502" t="str">
        <f>IF('Cleanup TMS'!CJ237="","",'Cleanup TMS'!CJ237)</f>
        <v>B</v>
      </c>
      <c r="G237" s="502" t="str">
        <f>IF('Cleanup TMS'!CP237="","",'Cleanup TMS'!CP237)</f>
        <v>NOT CONGESTED</v>
      </c>
      <c r="H237" s="503">
        <f>IF('Cleanup TMS'!L237="","",'Cleanup TMS'!L237)</f>
        <v>2</v>
      </c>
      <c r="I237" s="503">
        <f>IF('Cleanup TMS'!M237="","",'Cleanup TMS'!M237)</f>
        <v>2</v>
      </c>
      <c r="J237" s="503" t="str">
        <f>IF('Cleanup TMS'!Y237="","",'Cleanup TMS'!Y237)</f>
        <v>D</v>
      </c>
      <c r="K237">
        <v>0.23</v>
      </c>
    </row>
    <row r="238" spans="1:11">
      <c r="A238" s="501">
        <f>'Cleanup TMS'!A238</f>
        <v>40010001</v>
      </c>
      <c r="B238" t="str">
        <f>'Cleanup TMS'!Z238</f>
        <v>Other CMP Network Roadways</v>
      </c>
      <c r="C238" s="502">
        <f>IF('Cleanup TMS'!BE238="","",'Cleanup TMS'!BE238)</f>
        <v>0.12</v>
      </c>
      <c r="D238" s="502" t="str">
        <f>IF('Cleanup TMS'!BF238="","",'Cleanup TMS'!BF238)</f>
        <v>C</v>
      </c>
      <c r="E238" s="502">
        <f>IF('Cleanup TMS'!CH238="","",'Cleanup TMS'!CI238)</f>
        <v>0.14000000000000001</v>
      </c>
      <c r="F238" s="502" t="str">
        <f>IF('Cleanup TMS'!CJ238="","",'Cleanup TMS'!CJ238)</f>
        <v>C</v>
      </c>
      <c r="G238" s="502" t="str">
        <f>IF('Cleanup TMS'!CP238="","",'Cleanup TMS'!CP238)</f>
        <v>NOT CONGESTED</v>
      </c>
      <c r="H238" s="503">
        <f>IF('Cleanup TMS'!L238="","",'Cleanup TMS'!L238)</f>
        <v>4</v>
      </c>
      <c r="I238" s="503">
        <f>IF('Cleanup TMS'!M238="","",'Cleanup TMS'!M238)</f>
        <v>4</v>
      </c>
      <c r="J238" s="503" t="str">
        <f>IF('Cleanup TMS'!Y238="","",'Cleanup TMS'!Y238)</f>
        <v>D</v>
      </c>
      <c r="K238">
        <v>0.12</v>
      </c>
    </row>
    <row r="239" spans="1:11">
      <c r="A239" s="501">
        <f>'Cleanup TMS'!A239</f>
        <v>40090001</v>
      </c>
      <c r="B239" t="str">
        <f>'Cleanup TMS'!Z239</f>
        <v>Other CMP Network Roadways</v>
      </c>
      <c r="C239" s="502">
        <f>IF('Cleanup TMS'!BE239="","",'Cleanup TMS'!BE239)</f>
        <v>0.43</v>
      </c>
      <c r="D239" s="502" t="str">
        <f>IF('Cleanup TMS'!BF239="","",'Cleanup TMS'!BF239)</f>
        <v>B</v>
      </c>
      <c r="E239" s="502">
        <f>IF('Cleanup TMS'!CH239="","",'Cleanup TMS'!CI239)</f>
        <v>0.25</v>
      </c>
      <c r="F239" s="502" t="str">
        <f>IF('Cleanup TMS'!CJ239="","",'Cleanup TMS'!CJ239)</f>
        <v>C</v>
      </c>
      <c r="G239" s="502" t="str">
        <f>IF('Cleanup TMS'!CP239="","",'Cleanup TMS'!CP239)</f>
        <v>NOT CONGESTED</v>
      </c>
      <c r="H239" s="503">
        <f>IF('Cleanup TMS'!L239="","",'Cleanup TMS'!L239)</f>
        <v>2</v>
      </c>
      <c r="I239" s="503">
        <f>IF('Cleanup TMS'!M239="","",'Cleanup TMS'!M239)</f>
        <v>2</v>
      </c>
      <c r="J239" s="503" t="str">
        <f>IF('Cleanup TMS'!Y239="","",'Cleanup TMS'!Y239)</f>
        <v>D</v>
      </c>
      <c r="K239">
        <v>0.43</v>
      </c>
    </row>
    <row r="240" spans="1:11">
      <c r="A240" s="501">
        <f>'Cleanup TMS'!A240</f>
        <v>40090002</v>
      </c>
      <c r="B240" t="str">
        <f>'Cleanup TMS'!Z240</f>
        <v>Other CMP Network Roadways</v>
      </c>
      <c r="C240" s="502">
        <f>IF('Cleanup TMS'!BE240="","",'Cleanup TMS'!BE240)</f>
        <v>0.28999999999999998</v>
      </c>
      <c r="D240" s="502" t="str">
        <f>IF('Cleanup TMS'!BF240="","",'Cleanup TMS'!BF240)</f>
        <v>C</v>
      </c>
      <c r="E240" s="502">
        <f>IF('Cleanup TMS'!CH240="","",'Cleanup TMS'!CI240)</f>
        <v>0.43</v>
      </c>
      <c r="F240" s="502" t="str">
        <f>IF('Cleanup TMS'!CJ240="","",'Cleanup TMS'!CJ240)</f>
        <v>C</v>
      </c>
      <c r="G240" s="502" t="str">
        <f>IF('Cleanup TMS'!CP240="","",'Cleanup TMS'!CP240)</f>
        <v>NOT CONGESTED</v>
      </c>
      <c r="H240" s="503">
        <f>IF('Cleanup TMS'!L240="","",'Cleanup TMS'!L240)</f>
        <v>4</v>
      </c>
      <c r="I240" s="503">
        <f>IF('Cleanup TMS'!M240="","",'Cleanup TMS'!M240)</f>
        <v>4</v>
      </c>
      <c r="J240" s="503" t="str">
        <f>IF('Cleanup TMS'!Y240="","",'Cleanup TMS'!Y240)</f>
        <v>D</v>
      </c>
      <c r="K240">
        <v>0.28999999999999998</v>
      </c>
    </row>
    <row r="241" spans="1:11">
      <c r="A241" s="501">
        <f>'Cleanup TMS'!A241</f>
        <v>40090003</v>
      </c>
      <c r="B241" t="str">
        <f>'Cleanup TMS'!Z241</f>
        <v>Other CMP Network Roadways</v>
      </c>
      <c r="C241" s="502">
        <f>IF('Cleanup TMS'!BE241="","",'Cleanup TMS'!BE241)</f>
        <v>0.61</v>
      </c>
      <c r="D241" s="502" t="str">
        <f>IF('Cleanup TMS'!BF241="","",'Cleanup TMS'!BF241)</f>
        <v>D</v>
      </c>
      <c r="E241" s="502">
        <f>IF('Cleanup TMS'!CH241="","",'Cleanup TMS'!CI241)</f>
        <v>0.78</v>
      </c>
      <c r="F241" s="502" t="str">
        <f>IF('Cleanup TMS'!CJ241="","",'Cleanup TMS'!CJ241)</f>
        <v>D</v>
      </c>
      <c r="G241" s="502" t="str">
        <f>IF('Cleanup TMS'!CP241="","",'Cleanup TMS'!CP241)</f>
        <v>NOT CONGESTED</v>
      </c>
      <c r="H241" s="503">
        <f>IF('Cleanup TMS'!L241="","",'Cleanup TMS'!L241)</f>
        <v>2</v>
      </c>
      <c r="I241" s="503">
        <f>IF('Cleanup TMS'!M241="","",'Cleanup TMS'!M241)</f>
        <v>2</v>
      </c>
      <c r="J241" s="503" t="str">
        <f>IF('Cleanup TMS'!Y241="","",'Cleanup TMS'!Y241)</f>
        <v>D</v>
      </c>
      <c r="K241">
        <v>0.61</v>
      </c>
    </row>
    <row r="242" spans="1:11">
      <c r="A242" s="501">
        <f>'Cleanup TMS'!A242</f>
        <v>50000101</v>
      </c>
      <c r="B242" t="str">
        <f>'Cleanup TMS'!Z242</f>
        <v>Other CMP Network Roadways</v>
      </c>
      <c r="C242" s="502">
        <f>IF('Cleanup TMS'!BE242="","",'Cleanup TMS'!BE242)</f>
        <v>0.55000000000000004</v>
      </c>
      <c r="D242" s="502" t="str">
        <f>IF('Cleanup TMS'!BF242="","",'Cleanup TMS'!BF242)</f>
        <v>D</v>
      </c>
      <c r="E242" s="502">
        <f>IF('Cleanup TMS'!CH242="","",'Cleanup TMS'!CI242)</f>
        <v>0.57999999999999996</v>
      </c>
      <c r="F242" s="502" t="str">
        <f>IF('Cleanup TMS'!CJ242="","",'Cleanup TMS'!CJ242)</f>
        <v>D</v>
      </c>
      <c r="G242" s="502" t="str">
        <f>IF('Cleanup TMS'!CP242="","",'Cleanup TMS'!CP242)</f>
        <v>NOT CONGESTED</v>
      </c>
      <c r="H242" s="503">
        <f>IF('Cleanup TMS'!L242="","",'Cleanup TMS'!L242)</f>
        <v>4</v>
      </c>
      <c r="I242" s="503">
        <f>IF('Cleanup TMS'!M242="","",'Cleanup TMS'!M242)</f>
        <v>4</v>
      </c>
      <c r="J242" s="503" t="str">
        <f>IF('Cleanup TMS'!Y242="","",'Cleanup TMS'!Y242)</f>
        <v>D</v>
      </c>
      <c r="K242">
        <v>0.55000000000000004</v>
      </c>
    </row>
    <row r="243" spans="1:11">
      <c r="A243" s="501">
        <f>'Cleanup TMS'!A243</f>
        <v>50000102</v>
      </c>
      <c r="B243" t="str">
        <f>'Cleanup TMS'!Z243</f>
        <v>Other CMP Network Roadways</v>
      </c>
      <c r="C243" s="502">
        <f>IF('Cleanup TMS'!BE243="","",'Cleanup TMS'!BE243)</f>
        <v>0.61</v>
      </c>
      <c r="D243" s="502" t="str">
        <f>IF('Cleanup TMS'!BF243="","",'Cleanup TMS'!BF243)</f>
        <v>D</v>
      </c>
      <c r="E243" s="502">
        <f>IF('Cleanup TMS'!CH243="","",'Cleanup TMS'!CI243)</f>
        <v>0.64</v>
      </c>
      <c r="F243" s="502" t="str">
        <f>IF('Cleanup TMS'!CJ243="","",'Cleanup TMS'!CJ243)</f>
        <v>D</v>
      </c>
      <c r="G243" s="502" t="str">
        <f>IF('Cleanup TMS'!CP243="","",'Cleanup TMS'!CP243)</f>
        <v>NOT CONGESTED</v>
      </c>
      <c r="H243" s="503">
        <f>IF('Cleanup TMS'!L243="","",'Cleanup TMS'!L243)</f>
        <v>4</v>
      </c>
      <c r="I243" s="503">
        <f>IF('Cleanup TMS'!M243="","",'Cleanup TMS'!M243)</f>
        <v>4</v>
      </c>
      <c r="J243" s="503" t="str">
        <f>IF('Cleanup TMS'!Y243="","",'Cleanup TMS'!Y243)</f>
        <v>D</v>
      </c>
      <c r="K243">
        <v>0.61</v>
      </c>
    </row>
    <row r="244" spans="1:11">
      <c r="A244" s="501">
        <f>'Cleanup TMS'!A244</f>
        <v>59999951</v>
      </c>
      <c r="B244" t="str">
        <f>'Cleanup TMS'!Z244</f>
        <v>Other CMP Network Roadways</v>
      </c>
      <c r="C244" s="502">
        <f>IF('Cleanup TMS'!BE244="","",'Cleanup TMS'!BE244)</f>
        <v>0.77</v>
      </c>
      <c r="D244" s="502" t="str">
        <f>IF('Cleanup TMS'!BF244="","",'Cleanup TMS'!BF244)</f>
        <v>D</v>
      </c>
      <c r="E244" s="502">
        <f>IF('Cleanup TMS'!CH244="","",'Cleanup TMS'!CI244)</f>
        <v>0.81</v>
      </c>
      <c r="F244" s="502" t="str">
        <f>IF('Cleanup TMS'!CJ244="","",'Cleanup TMS'!CJ244)</f>
        <v>D</v>
      </c>
      <c r="G244" s="502" t="str">
        <f>IF('Cleanup TMS'!CP244="","",'Cleanup TMS'!CP244)</f>
        <v>NOT CONGESTED</v>
      </c>
      <c r="H244" s="503">
        <f>IF('Cleanup TMS'!L244="","",'Cleanup TMS'!L244)</f>
        <v>4</v>
      </c>
      <c r="I244" s="503">
        <f>IF('Cleanup TMS'!M244="","",'Cleanup TMS'!M244)</f>
        <v>4</v>
      </c>
      <c r="J244" s="503" t="str">
        <f>IF('Cleanup TMS'!Y244="","",'Cleanup TMS'!Y244)</f>
        <v>D</v>
      </c>
      <c r="K244">
        <v>0.77</v>
      </c>
    </row>
    <row r="245" spans="1:11">
      <c r="A245" s="501">
        <f>'Cleanup TMS'!A245</f>
        <v>59999952</v>
      </c>
      <c r="B245" t="str">
        <f>'Cleanup TMS'!Z245</f>
        <v>Other CMP Network Roadways</v>
      </c>
      <c r="C245" s="502">
        <f>IF('Cleanup TMS'!BE245="","",'Cleanup TMS'!BE245)</f>
        <v>0.5</v>
      </c>
      <c r="D245" s="502" t="str">
        <f>IF('Cleanup TMS'!BF245="","",'Cleanup TMS'!BF245)</f>
        <v>D</v>
      </c>
      <c r="E245" s="502">
        <f>IF('Cleanup TMS'!CH245="","",'Cleanup TMS'!CI245)</f>
        <v>0.52</v>
      </c>
      <c r="F245" s="502" t="str">
        <f>IF('Cleanup TMS'!CJ245="","",'Cleanup TMS'!CJ245)</f>
        <v>D</v>
      </c>
      <c r="G245" s="502" t="str">
        <f>IF('Cleanup TMS'!CP245="","",'Cleanup TMS'!CP245)</f>
        <v>NOT CONGESTED</v>
      </c>
      <c r="H245" s="503">
        <f>IF('Cleanup TMS'!L245="","",'Cleanup TMS'!L245)</f>
        <v>4</v>
      </c>
      <c r="I245" s="503">
        <f>IF('Cleanup TMS'!M245="","",'Cleanup TMS'!M245)</f>
        <v>4</v>
      </c>
      <c r="J245" s="503" t="str">
        <f>IF('Cleanup TMS'!Y245="","",'Cleanup TMS'!Y245)</f>
        <v>D</v>
      </c>
      <c r="K245">
        <v>0.5</v>
      </c>
    </row>
    <row r="246" spans="1:11">
      <c r="A246" s="501">
        <f>'Cleanup TMS'!A246</f>
        <v>59999953</v>
      </c>
      <c r="B246" t="str">
        <f>'Cleanup TMS'!Z246</f>
        <v>Other CMP Network Roadways</v>
      </c>
      <c r="C246" s="502">
        <f>IF('Cleanup TMS'!BE246="","",'Cleanup TMS'!BE246)</f>
        <v>0.42</v>
      </c>
      <c r="D246" s="502" t="str">
        <f>IF('Cleanup TMS'!BF246="","",'Cleanup TMS'!BF246)</f>
        <v>C</v>
      </c>
      <c r="E246" s="502">
        <f>IF('Cleanup TMS'!CH246="","",'Cleanup TMS'!CI246)</f>
        <v>0.44</v>
      </c>
      <c r="F246" s="502" t="str">
        <f>IF('Cleanup TMS'!CJ246="","",'Cleanup TMS'!CJ246)</f>
        <v>C</v>
      </c>
      <c r="G246" s="502" t="str">
        <f>IF('Cleanup TMS'!CP246="","",'Cleanup TMS'!CP246)</f>
        <v>NOT CONGESTED</v>
      </c>
      <c r="H246" s="503">
        <f>IF('Cleanup TMS'!L246="","",'Cleanup TMS'!L246)</f>
        <v>4</v>
      </c>
      <c r="I246" s="503">
        <f>IF('Cleanup TMS'!M246="","",'Cleanup TMS'!M246)</f>
        <v>4</v>
      </c>
      <c r="J246" s="503" t="str">
        <f>IF('Cleanup TMS'!Y246="","",'Cleanup TMS'!Y246)</f>
        <v>D</v>
      </c>
      <c r="K246">
        <v>0.42</v>
      </c>
    </row>
    <row r="247" spans="1:11">
      <c r="A247" s="501">
        <f>'Cleanup TMS'!A247</f>
        <v>59999954</v>
      </c>
      <c r="B247" t="str">
        <f>'Cleanup TMS'!Z247</f>
        <v>Other CMP Network Roadways</v>
      </c>
      <c r="C247" s="502">
        <f>IF('Cleanup TMS'!BE247="","",'Cleanup TMS'!BE247)</f>
        <v>0.51</v>
      </c>
      <c r="D247" s="502" t="str">
        <f>IF('Cleanup TMS'!BF247="","",'Cleanup TMS'!BF247)</f>
        <v>D</v>
      </c>
      <c r="E247" s="502">
        <f>IF('Cleanup TMS'!CH247="","",'Cleanup TMS'!CI247)</f>
        <v>0.53</v>
      </c>
      <c r="F247" s="502" t="str">
        <f>IF('Cleanup TMS'!CJ247="","",'Cleanup TMS'!CJ247)</f>
        <v>D</v>
      </c>
      <c r="G247" s="502" t="str">
        <f>IF('Cleanup TMS'!CP247="","",'Cleanup TMS'!CP247)</f>
        <v>NOT CONGESTED</v>
      </c>
      <c r="H247" s="503">
        <f>IF('Cleanup TMS'!L247="","",'Cleanup TMS'!L247)</f>
        <v>4</v>
      </c>
      <c r="I247" s="503">
        <f>IF('Cleanup TMS'!M247="","",'Cleanup TMS'!M247)</f>
        <v>4</v>
      </c>
      <c r="J247" s="503" t="str">
        <f>IF('Cleanup TMS'!Y247="","",'Cleanup TMS'!Y247)</f>
        <v>D</v>
      </c>
      <c r="K247">
        <v>0.51</v>
      </c>
    </row>
    <row r="248" spans="1:11">
      <c r="A248" s="501">
        <f>'Cleanup TMS'!A248</f>
        <v>59999955</v>
      </c>
      <c r="B248" t="str">
        <f>'Cleanup TMS'!Z248</f>
        <v>Other CMP Network Roadways</v>
      </c>
      <c r="C248" s="502">
        <f>IF('Cleanup TMS'!BE248="","",'Cleanup TMS'!BE248)</f>
        <v>0.75</v>
      </c>
      <c r="D248" s="502" t="str">
        <f>IF('Cleanup TMS'!BF248="","",'Cleanup TMS'!BF248)</f>
        <v>D</v>
      </c>
      <c r="E248" s="502">
        <f>IF('Cleanup TMS'!CH248="","",'Cleanup TMS'!CI248)</f>
        <v>0.79</v>
      </c>
      <c r="F248" s="502" t="str">
        <f>IF('Cleanup TMS'!CJ248="","",'Cleanup TMS'!CJ248)</f>
        <v>D</v>
      </c>
      <c r="G248" s="502" t="str">
        <f>IF('Cleanup TMS'!CP248="","",'Cleanup TMS'!CP248)</f>
        <v>NOT CONGESTED</v>
      </c>
      <c r="H248" s="503">
        <f>IF('Cleanup TMS'!L248="","",'Cleanup TMS'!L248)</f>
        <v>4</v>
      </c>
      <c r="I248" s="503">
        <f>IF('Cleanup TMS'!M248="","",'Cleanup TMS'!M248)</f>
        <v>4</v>
      </c>
      <c r="J248" s="503" t="str">
        <f>IF('Cleanup TMS'!Y248="","",'Cleanup TMS'!Y248)</f>
        <v>D</v>
      </c>
      <c r="K248">
        <v>0.75</v>
      </c>
    </row>
    <row r="249" spans="1:11">
      <c r="A249" s="501">
        <f>'Cleanup TMS'!A249</f>
        <v>60000051</v>
      </c>
      <c r="B249" t="str">
        <f>'Cleanup TMS'!Z249</f>
        <v>Other CMP Network Roadways</v>
      </c>
      <c r="C249" s="502">
        <f>IF('Cleanup TMS'!BE249="","",'Cleanup TMS'!BE249)</f>
        <v>0.53</v>
      </c>
      <c r="D249" s="502" t="str">
        <f>IF('Cleanup TMS'!BF249="","",'Cleanup TMS'!BF249)</f>
        <v>D</v>
      </c>
      <c r="E249" s="502">
        <f>IF('Cleanup TMS'!CH249="","",'Cleanup TMS'!CI249)</f>
        <v>0.55000000000000004</v>
      </c>
      <c r="F249" s="502" t="str">
        <f>IF('Cleanup TMS'!CJ249="","",'Cleanup TMS'!CJ249)</f>
        <v>D</v>
      </c>
      <c r="G249" s="502" t="str">
        <f>IF('Cleanup TMS'!CP249="","",'Cleanup TMS'!CP249)</f>
        <v>NOT CONGESTED</v>
      </c>
      <c r="H249" s="503">
        <f>IF('Cleanup TMS'!L249="","",'Cleanup TMS'!L249)</f>
        <v>4</v>
      </c>
      <c r="I249" s="503">
        <f>IF('Cleanup TMS'!M249="","",'Cleanup TMS'!M249)</f>
        <v>4</v>
      </c>
      <c r="J249" s="503" t="str">
        <f>IF('Cleanup TMS'!Y249="","",'Cleanup TMS'!Y249)</f>
        <v>D</v>
      </c>
      <c r="K249">
        <v>0.53</v>
      </c>
    </row>
    <row r="250" spans="1:11">
      <c r="A250" s="501">
        <f>'Cleanup TMS'!A250</f>
        <v>60000052</v>
      </c>
      <c r="B250" t="str">
        <f>'Cleanup TMS'!Z250</f>
        <v>Other CMP Network Roadways</v>
      </c>
      <c r="C250" s="502">
        <f>IF('Cleanup TMS'!BE250="","",'Cleanup TMS'!BE250)</f>
        <v>0.44</v>
      </c>
      <c r="D250" s="502" t="str">
        <f>IF('Cleanup TMS'!BF250="","",'Cleanup TMS'!BF250)</f>
        <v>C</v>
      </c>
      <c r="E250" s="502">
        <f>IF('Cleanup TMS'!CH250="","",'Cleanup TMS'!CI250)</f>
        <v>0.46</v>
      </c>
      <c r="F250" s="502" t="str">
        <f>IF('Cleanup TMS'!CJ250="","",'Cleanup TMS'!CJ250)</f>
        <v>D</v>
      </c>
      <c r="G250" s="502" t="str">
        <f>IF('Cleanup TMS'!CP250="","",'Cleanup TMS'!CP250)</f>
        <v>NOT CONGESTED</v>
      </c>
      <c r="H250" s="503">
        <f>IF('Cleanup TMS'!L250="","",'Cleanup TMS'!L250)</f>
        <v>4</v>
      </c>
      <c r="I250" s="503">
        <f>IF('Cleanup TMS'!M250="","",'Cleanup TMS'!M250)</f>
        <v>4</v>
      </c>
      <c r="J250" s="503" t="str">
        <f>IF('Cleanup TMS'!Y250="","",'Cleanup TMS'!Y250)</f>
        <v>D</v>
      </c>
      <c r="K250">
        <v>0.44</v>
      </c>
    </row>
    <row r="251" spans="1:11">
      <c r="A251" s="501">
        <f>'Cleanup TMS'!A251</f>
        <v>60000053</v>
      </c>
      <c r="B251" t="str">
        <f>'Cleanup TMS'!Z251</f>
        <v>Other CMP Network Roadways</v>
      </c>
      <c r="C251" s="502">
        <f>IF('Cleanup TMS'!BE251="","",'Cleanup TMS'!BE251)</f>
        <v>0.48</v>
      </c>
      <c r="D251" s="502" t="str">
        <f>IF('Cleanup TMS'!BF251="","",'Cleanup TMS'!BF251)</f>
        <v>D</v>
      </c>
      <c r="E251" s="502">
        <f>IF('Cleanup TMS'!CH251="","",'Cleanup TMS'!CI251)</f>
        <v>0.5</v>
      </c>
      <c r="F251" s="502" t="str">
        <f>IF('Cleanup TMS'!CJ251="","",'Cleanup TMS'!CJ251)</f>
        <v>D</v>
      </c>
      <c r="G251" s="502" t="str">
        <f>IF('Cleanup TMS'!CP251="","",'Cleanup TMS'!CP251)</f>
        <v>NOT CONGESTED</v>
      </c>
      <c r="H251" s="503">
        <f>IF('Cleanup TMS'!L251="","",'Cleanup TMS'!L251)</f>
        <v>4</v>
      </c>
      <c r="I251" s="503">
        <f>IF('Cleanup TMS'!M251="","",'Cleanup TMS'!M251)</f>
        <v>4</v>
      </c>
      <c r="J251" s="503" t="str">
        <f>IF('Cleanup TMS'!Y251="","",'Cleanup TMS'!Y251)</f>
        <v>D</v>
      </c>
      <c r="K251">
        <v>0.48</v>
      </c>
    </row>
    <row r="252" spans="1:11">
      <c r="A252" s="501">
        <f>'Cleanup TMS'!A252</f>
        <v>60000054</v>
      </c>
      <c r="B252" t="str">
        <f>'Cleanup TMS'!Z252</f>
        <v>Other CMP Network Roadways</v>
      </c>
      <c r="C252" s="502">
        <f>IF('Cleanup TMS'!BE252="","",'Cleanup TMS'!BE252)</f>
        <v>0.73</v>
      </c>
      <c r="D252" s="502" t="str">
        <f>IF('Cleanup TMS'!BF252="","",'Cleanup TMS'!BF252)</f>
        <v>D</v>
      </c>
      <c r="E252" s="502">
        <f>IF('Cleanup TMS'!CH252="","",'Cleanup TMS'!CI252)</f>
        <v>0.77</v>
      </c>
      <c r="F252" s="502" t="str">
        <f>IF('Cleanup TMS'!CJ252="","",'Cleanup TMS'!CJ252)</f>
        <v>D</v>
      </c>
      <c r="G252" s="502" t="str">
        <f>IF('Cleanup TMS'!CP252="","",'Cleanup TMS'!CP252)</f>
        <v>NOT CONGESTED</v>
      </c>
      <c r="H252" s="503">
        <f>IF('Cleanup TMS'!L252="","",'Cleanup TMS'!L252)</f>
        <v>4</v>
      </c>
      <c r="I252" s="503">
        <f>IF('Cleanup TMS'!M252="","",'Cleanup TMS'!M252)</f>
        <v>4</v>
      </c>
      <c r="J252" s="503" t="str">
        <f>IF('Cleanup TMS'!Y252="","",'Cleanup TMS'!Y252)</f>
        <v>D</v>
      </c>
      <c r="K252">
        <v>0.73</v>
      </c>
    </row>
    <row r="253" spans="1:11">
      <c r="A253" s="501">
        <f>'Cleanup TMS'!A253</f>
        <v>60000055</v>
      </c>
      <c r="B253" t="str">
        <f>'Cleanup TMS'!Z253</f>
        <v>Other CMP Network Roadways</v>
      </c>
      <c r="C253" s="502">
        <f>IF('Cleanup TMS'!BE253="","",'Cleanup TMS'!BE253)</f>
        <v>0.62</v>
      </c>
      <c r="D253" s="502" t="str">
        <f>IF('Cleanup TMS'!BF253="","",'Cleanup TMS'!BF253)</f>
        <v>D</v>
      </c>
      <c r="E253" s="502">
        <f>IF('Cleanup TMS'!CH253="","",'Cleanup TMS'!CI253)</f>
        <v>0.65</v>
      </c>
      <c r="F253" s="502" t="str">
        <f>IF('Cleanup TMS'!CJ253="","",'Cleanup TMS'!CJ253)</f>
        <v>D</v>
      </c>
      <c r="G253" s="502" t="str">
        <f>IF('Cleanup TMS'!CP253="","",'Cleanup TMS'!CP253)</f>
        <v>NOT CONGESTED</v>
      </c>
      <c r="H253" s="503">
        <f>IF('Cleanup TMS'!L253="","",'Cleanup TMS'!L253)</f>
        <v>4</v>
      </c>
      <c r="I253" s="503">
        <f>IF('Cleanup TMS'!M253="","",'Cleanup TMS'!M253)</f>
        <v>4</v>
      </c>
      <c r="J253" s="503" t="str">
        <f>IF('Cleanup TMS'!Y253="","",'Cleanup TMS'!Y253)</f>
        <v>D</v>
      </c>
      <c r="K253">
        <v>0.62</v>
      </c>
    </row>
    <row r="254" spans="1:11">
      <c r="A254" s="501">
        <f>'Cleanup TMS'!A254</f>
        <v>60000056</v>
      </c>
      <c r="B254" t="str">
        <f>'Cleanup TMS'!Z254</f>
        <v>Other CMP Network Roadways</v>
      </c>
      <c r="C254" s="502">
        <f>IF('Cleanup TMS'!BE254="","",'Cleanup TMS'!BE254)</f>
        <v>0.68</v>
      </c>
      <c r="D254" s="502" t="str">
        <f>IF('Cleanup TMS'!BF254="","",'Cleanup TMS'!BF254)</f>
        <v>D</v>
      </c>
      <c r="E254" s="502">
        <f>IF('Cleanup TMS'!CH254="","",'Cleanup TMS'!CI254)</f>
        <v>0.72</v>
      </c>
      <c r="F254" s="502" t="str">
        <f>IF('Cleanup TMS'!CJ254="","",'Cleanup TMS'!CJ254)</f>
        <v>D</v>
      </c>
      <c r="G254" s="502" t="str">
        <f>IF('Cleanup TMS'!CP254="","",'Cleanup TMS'!CP254)</f>
        <v>NOT CONGESTED</v>
      </c>
      <c r="H254" s="503">
        <f>IF('Cleanup TMS'!L254="","",'Cleanup TMS'!L254)</f>
        <v>4</v>
      </c>
      <c r="I254" s="503">
        <f>IF('Cleanup TMS'!M254="","",'Cleanup TMS'!M254)</f>
        <v>4</v>
      </c>
      <c r="J254" s="503" t="str">
        <f>IF('Cleanup TMS'!Y254="","",'Cleanup TMS'!Y254)</f>
        <v>D</v>
      </c>
      <c r="K254">
        <v>0.68</v>
      </c>
    </row>
    <row r="255" spans="1:11">
      <c r="A255" s="501">
        <f>'Cleanup TMS'!A255</f>
        <v>60000201</v>
      </c>
      <c r="B255" t="str">
        <f>'Cleanup TMS'!Z255</f>
        <v>Other CMP Network Roadways</v>
      </c>
      <c r="C255" s="502" t="str">
        <f>IF('Cleanup TMS'!BE255="","",'Cleanup TMS'!BE255)</f>
        <v/>
      </c>
      <c r="D255" s="502"/>
      <c r="E255" s="502"/>
      <c r="F255" s="502"/>
      <c r="G255" s="502"/>
      <c r="H255" s="503">
        <f>IF('Cleanup TMS'!L255="","",'Cleanup TMS'!L255)</f>
        <v>2</v>
      </c>
      <c r="I255" s="503">
        <f>IF('Cleanup TMS'!M255="","",'Cleanup TMS'!M255)</f>
        <v>2</v>
      </c>
      <c r="J255" s="503" t="str">
        <f>IF('Cleanup TMS'!Y255="","",'Cleanup TMS'!Y255)</f>
        <v>D</v>
      </c>
      <c r="K255" t="s">
        <v>547</v>
      </c>
    </row>
    <row r="256" spans="1:11">
      <c r="A256" s="501">
        <f>'Cleanup TMS'!A256</f>
        <v>60000801</v>
      </c>
      <c r="B256" t="str">
        <f>'Cleanup TMS'!Z256</f>
        <v>Other CMP Network Roadways</v>
      </c>
      <c r="C256" s="502">
        <f>IF('Cleanup TMS'!BE256="","",'Cleanup TMS'!BE256)</f>
        <v>0.13</v>
      </c>
      <c r="D256" s="502" t="str">
        <f>IF('Cleanup TMS'!BF256="","",'Cleanup TMS'!BF256)</f>
        <v>C</v>
      </c>
      <c r="E256" s="502">
        <f>IF('Cleanup TMS'!CH256="","",'Cleanup TMS'!CI256)</f>
        <v>0.13</v>
      </c>
      <c r="F256" s="502" t="str">
        <f>IF('Cleanup TMS'!CJ256="","",'Cleanup TMS'!CJ256)</f>
        <v>C</v>
      </c>
      <c r="G256" s="502" t="str">
        <f>IF('Cleanup TMS'!CP256="","",'Cleanup TMS'!CP256)</f>
        <v>NOT CONGESTED</v>
      </c>
      <c r="H256" s="503">
        <f>IF('Cleanup TMS'!L256="","",'Cleanup TMS'!L256)</f>
        <v>2</v>
      </c>
      <c r="I256" s="503">
        <f>IF('Cleanup TMS'!M256="","",'Cleanup TMS'!M256)</f>
        <v>2</v>
      </c>
      <c r="J256" s="503" t="str">
        <f>IF('Cleanup TMS'!Y256="","",'Cleanup TMS'!Y256)</f>
        <v>D</v>
      </c>
      <c r="K256">
        <v>0.13</v>
      </c>
    </row>
    <row r="257" spans="1:11">
      <c r="A257" s="501">
        <f>'Cleanup TMS'!A257</f>
        <v>60001001</v>
      </c>
      <c r="B257" t="str">
        <f>'Cleanup TMS'!Z257</f>
        <v>Other CMP Network Roadways</v>
      </c>
      <c r="C257" s="502">
        <f>IF('Cleanup TMS'!BE257="","",'Cleanup TMS'!BE257)</f>
        <v>0.54</v>
      </c>
      <c r="D257" s="502" t="str">
        <f>IF('Cleanup TMS'!BF257="","",'Cleanup TMS'!BF257)</f>
        <v>D</v>
      </c>
      <c r="E257" s="502">
        <f>IF('Cleanup TMS'!CH257="","",'Cleanup TMS'!CI257)</f>
        <v>0.56999999999999995</v>
      </c>
      <c r="F257" s="502" t="str">
        <f>IF('Cleanup TMS'!CJ257="","",'Cleanup TMS'!CJ257)</f>
        <v>D</v>
      </c>
      <c r="G257" s="502" t="str">
        <f>IF('Cleanup TMS'!CP257="","",'Cleanup TMS'!CP257)</f>
        <v>NOT CONGESTED</v>
      </c>
      <c r="H257" s="503">
        <f>IF('Cleanup TMS'!L257="","",'Cleanup TMS'!L257)</f>
        <v>2</v>
      </c>
      <c r="I257" s="503">
        <f>IF('Cleanup TMS'!M257="","",'Cleanup TMS'!M257)</f>
        <v>2</v>
      </c>
      <c r="J257" s="503" t="str">
        <f>IF('Cleanup TMS'!Y257="","",'Cleanup TMS'!Y257)</f>
        <v>D</v>
      </c>
      <c r="K257">
        <v>0.54</v>
      </c>
    </row>
    <row r="258" spans="1:11">
      <c r="A258" s="501">
        <f>'Cleanup TMS'!A258</f>
        <v>60001051</v>
      </c>
      <c r="B258" t="str">
        <f>'Cleanup TMS'!Z258</f>
        <v>Other CMP Network Roadways</v>
      </c>
      <c r="C258" s="502">
        <f>IF('Cleanup TMS'!BE258="","",'Cleanup TMS'!BE258)</f>
        <v>0.65</v>
      </c>
      <c r="D258" s="502" t="str">
        <f>IF('Cleanup TMS'!BF258="","",'Cleanup TMS'!BF258)</f>
        <v>D</v>
      </c>
      <c r="E258" s="502">
        <f>IF('Cleanup TMS'!CH258="","",'Cleanup TMS'!CI258)</f>
        <v>0.69</v>
      </c>
      <c r="F258" s="502" t="str">
        <f>IF('Cleanup TMS'!CJ258="","",'Cleanup TMS'!CJ258)</f>
        <v>D</v>
      </c>
      <c r="G258" s="502" t="str">
        <f>IF('Cleanup TMS'!CP258="","",'Cleanup TMS'!CP258)</f>
        <v>NOT CONGESTED</v>
      </c>
      <c r="H258" s="503">
        <f>IF('Cleanup TMS'!L258="","",'Cleanup TMS'!L258)</f>
        <v>2</v>
      </c>
      <c r="I258" s="503">
        <f>IF('Cleanup TMS'!M258="","",'Cleanup TMS'!M258)</f>
        <v>2</v>
      </c>
      <c r="J258" s="503" t="str">
        <f>IF('Cleanup TMS'!Y258="","",'Cleanup TMS'!Y258)</f>
        <v>D</v>
      </c>
      <c r="K258">
        <v>0.65</v>
      </c>
    </row>
    <row r="259" spans="1:11">
      <c r="A259" s="501">
        <f>'Cleanup TMS'!A259</f>
        <v>355113021</v>
      </c>
      <c r="B259" t="str">
        <f>'Cleanup TMS'!Z259</f>
        <v>NHS Non-Interstate</v>
      </c>
      <c r="C259" s="502">
        <f>IF('Cleanup TMS'!BE259="","",'Cleanup TMS'!BE259)</f>
        <v>0.52</v>
      </c>
      <c r="D259" s="502" t="str">
        <f>IF('Cleanup TMS'!BF259="","",'Cleanup TMS'!BF259)</f>
        <v>C</v>
      </c>
      <c r="E259" s="502">
        <f>IF('Cleanup TMS'!CH259="","",'Cleanup TMS'!CI259)</f>
        <v>0.56000000000000005</v>
      </c>
      <c r="F259" s="502" t="str">
        <f>IF('Cleanup TMS'!CJ259="","",'Cleanup TMS'!CJ259)</f>
        <v>C</v>
      </c>
      <c r="G259" s="502" t="str">
        <f>IF('Cleanup TMS'!CP259="","",'Cleanup TMS'!CP259)</f>
        <v>NOT CONGESTED</v>
      </c>
      <c r="H259" s="503">
        <f>IF('Cleanup TMS'!L259="","",'Cleanup TMS'!L259)</f>
        <v>4</v>
      </c>
      <c r="I259" s="503">
        <f>IF('Cleanup TMS'!M259="","",'Cleanup TMS'!M259)</f>
        <v>4</v>
      </c>
      <c r="J259" s="503" t="str">
        <f>IF('Cleanup TMS'!Y259="","",'Cleanup TMS'!Y259)</f>
        <v>D</v>
      </c>
      <c r="K259">
        <v>0.52</v>
      </c>
    </row>
    <row r="260" spans="1:11">
      <c r="A260" s="501">
        <f>'Cleanup TMS'!A260</f>
        <v>400100012</v>
      </c>
      <c r="B260" t="str">
        <f>'Cleanup TMS'!Z260</f>
        <v>Other CMP Network Roadways</v>
      </c>
      <c r="C260" s="502">
        <f>IF('Cleanup TMS'!BE260="","",'Cleanup TMS'!BE260)</f>
        <v>0.37</v>
      </c>
      <c r="D260" s="502" t="str">
        <f>IF('Cleanup TMS'!BF260="","",'Cleanup TMS'!BF260)</f>
        <v>C</v>
      </c>
      <c r="E260" s="502">
        <f>IF('Cleanup TMS'!CH260="","",'Cleanup TMS'!CI260)</f>
        <v>0.42</v>
      </c>
      <c r="F260" s="502" t="str">
        <f>IF('Cleanup TMS'!CJ260="","",'Cleanup TMS'!CJ260)</f>
        <v>C</v>
      </c>
      <c r="G260" s="502" t="str">
        <f>IF('Cleanup TMS'!CP260="","",'Cleanup TMS'!CP260)</f>
        <v>NOT CONGESTED</v>
      </c>
      <c r="H260" s="503">
        <f>IF('Cleanup TMS'!L260="","",'Cleanup TMS'!L260)</f>
        <v>2</v>
      </c>
      <c r="I260" s="503">
        <f>IF('Cleanup TMS'!M260="","",'Cleanup TMS'!M260)</f>
        <v>2</v>
      </c>
      <c r="J260" s="503" t="str">
        <f>IF('Cleanup TMS'!Y260="","",'Cleanup TMS'!Y260)</f>
        <v>D</v>
      </c>
      <c r="K260">
        <v>0.37</v>
      </c>
    </row>
  </sheetData>
  <autoFilter ref="A1:J260" xr:uid="{97C27184-9B4F-4377-8B66-D9B0A1BE7B82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D73D52737F924396646CF1C866A41D" ma:contentTypeVersion="15" ma:contentTypeDescription="Create a new document." ma:contentTypeScope="" ma:versionID="d945354f4ec19f0c141f702b8956ada6">
  <xsd:schema xmlns:xsd="http://www.w3.org/2001/XMLSchema" xmlns:xs="http://www.w3.org/2001/XMLSchema" xmlns:p="http://schemas.microsoft.com/office/2006/metadata/properties" xmlns:ns1="http://schemas.microsoft.com/sharepoint/v3" xmlns:ns3="60b7f7db-2a1b-44a1-83d7-495dcbe7663d" xmlns:ns4="c18e8617-fc0f-4dda-a87a-c0ec120ddf92" xmlns:ns5="c0218e59-9d79-4c79-bab0-9a5a7dbf3f39" targetNamespace="http://schemas.microsoft.com/office/2006/metadata/properties" ma:root="true" ma:fieldsID="5fe9dee7c80c3fec8b217444e2a8e47b" ns1:_="" ns3:_="" ns4:_="" ns5:_="">
    <xsd:import namespace="http://schemas.microsoft.com/sharepoint/v3"/>
    <xsd:import namespace="60b7f7db-2a1b-44a1-83d7-495dcbe7663d"/>
    <xsd:import namespace="c18e8617-fc0f-4dda-a87a-c0ec120ddf92"/>
    <xsd:import namespace="c0218e59-9d79-4c79-bab0-9a5a7dbf3f3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_dlc_DocId" minOccurs="0"/>
                <xsd:element ref="ns4:_dlc_DocIdUrl" minOccurs="0"/>
                <xsd:element ref="ns4:_dlc_DocIdPersistId" minOccurs="0"/>
                <xsd:element ref="ns5:MediaServiceMetadata" minOccurs="0"/>
                <xsd:element ref="ns5:MediaServiceFastMetadata" minOccurs="0"/>
                <xsd:element ref="ns5:MediaServiceAutoTags" minOccurs="0"/>
                <xsd:element ref="ns5:MediaServiceOCR" minOccurs="0"/>
                <xsd:element ref="ns5:MediaServiceEventHashCode" minOccurs="0"/>
                <xsd:element ref="ns5:MediaServiceGenerationTime" minOccurs="0"/>
                <xsd:element ref="ns5:MediaServiceDateTaken" minOccurs="0"/>
                <xsd:element ref="ns5:MediaServiceLocation" minOccurs="0"/>
                <xsd:element ref="ns1:_ip_UnifiedCompliancePolicyProperties" minOccurs="0"/>
                <xsd:element ref="ns1:_ip_UnifiedCompliancePolicyUIAction" minOccurs="0"/>
                <xsd:element ref="ns5:MediaServiceAutoKeyPoints" minOccurs="0"/>
                <xsd:element ref="ns5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b7f7db-2a1b-44a1-83d7-495dcbe7663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8e8617-fc0f-4dda-a87a-c0ec120ddf92" elementFormDefault="qualified">
    <xsd:import namespace="http://schemas.microsoft.com/office/2006/documentManagement/types"/>
    <xsd:import namespace="http://schemas.microsoft.com/office/infopath/2007/PartnerControls"/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218e59-9d79-4c79-bab0-9a5a7dbf3f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6" nillable="true" ma:displayName="MediaServiceAutoTags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x m l n s = " h t t p : / / s c h e m a s . m i c r o s o f t . c o m / D a t a M a s h u p " > A A A A A E Q E A A B Q S w M E F A A C A A g A 2 X N 6 T x 0 0 L D K n A A A A + Q A A A B I A H A B D b 2 5 m a W c v U G F j a 2 F n Z S 5 4 b W w g o h g A K K A U A A A A A A A A A A A A A A A A A A A A A A A A A A A A h Y 9 N D o I w G E S v Q r q n f 0 S j 5 K M s 3 E p i Q j R u G 6 j Q C M X Q Y r m b C 4 / k F S R R 1 J 3 L m b x J 3 j x u d 0 j H t g m u q r e 6 M w l i m K J A m a I r t a k S N L h T u E K p g J 0 s z r J S w Q Q b G 4 9 W J 6 h 2 7 h I T 4 r 3 H P s J d X x F O K S P H b J s X t W p l q I 1 1 0 h Q K f V b l / x U S c H j J C I 6 X D C / Y m m M W U Q Z k 7 i H T 5 s v w S R l T I D 8 l b I b G D b 0 S y o T 7 H M g c g b x v i C d Q S w M E F A A C A A g A 2 X N 6 T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l z e k + p q D T F O w E A A O 8 B A A A T A B w A R m 9 y b X V s Y X M v U 2 V j d G l v b j E u b S C i G A A o o B Q A A A A A A A A A A A A A A A A A A A A A A A A A A A B t T 1 1 r w j A U f S / 0 P 4 T u p U J W 0 H 0 8 T P o w W p 0 y O 9 2 i T 3 Z I b O 9 s I L 2 R J J U N 8 b 8 v r o I y v C + 5 O e d w 7 j k G C i s U E t a + 3 b 7 v + Z 6 p u I a S Z N l s x R b Z f P B B Y i L B + h 5 x w 1 S j C 3 B I Y n Z R q o q m B r T h U E i I E o X W f U w Y J E / 5 w o A 2 + U 5 g 4 a D I b H m l 8 y l C q s U O y C 1 5 H e X T g k u e T 1 g 2 m + Y v Y 5 a f 7 0 X 2 2 w Y d u k x B i l p Y 0 H F A A 0 o S J Z s a T X x H y Q A L V Q r c x N 3 e Q 4 + S 9 0 Z Z Y P Z H Q n x e o z e F 8 N m h b e 6 b Y K Z V 7 b i S j I C X L l z g S s z 5 2 g l P z A k P 2 4 q U L E / 4 s 5 T s m F W b 2 O r m 0 j K p O G 6 c 4 / x n C 2 e 7 u e Z o v p S u 2 8 B H 0 o R X 7 t P 9 P h i O U 9 d s j P b x P j o K D 5 T s A 1 b x L a w m g B t b O d Y 6 n G B T r 0 H / 0 Q n a 1 T / J h c G h 4 3 s C r y b s / w J Q S w E C L Q A U A A I A C A D Z c 3 p P H T Q s M q c A A A D 5 A A A A E g A A A A A A A A A A A A A A A A A A A A A A Q 2 9 u Z m l n L 1 B h Y 2 t h Z 2 U u e G 1 s U E s B A i 0 A F A A C A A g A 2 X N 6 T w / K 6 a u k A A A A 6 Q A A A B M A A A A A A A A A A A A A A A A A 8 w A A A F t D b 2 5 0 Z W 5 0 X 1 R 5 c G V z X S 5 4 b W x Q S w E C L Q A U A A I A C A D Z c 3 p P q a g 0 x T s B A A D v A Q A A E w A A A A A A A A A A A A A A A A D k A Q A A R m 9 y b X V s Y X M v U 2 V j d G l v b j E u b V B L B Q Y A A A A A A w A D A M I A A A B s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P C Q A A A A A A A C 0 J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U 1 Q X 1 N V T V R F U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5 L T E w L T I 5 V D E 3 O j A 1 O j U z L j Y x N D Y 0 M j l a I i A v P j x F b n R y e S B U e X B l P S J G a W x s Q 2 9 s d W 1 u V H l w Z X M i I F Z h b H V l P S J z Q X d V R C I g L z 4 8 R W 5 0 c n k g V H l w Z T 0 i R m l s b E N v b H V t b k 5 h b W V z I i B W Y W x 1 Z T 0 i c 1 s m c X V v d D t G S U Q m c X V v d D s s J n F 1 b 3 Q 7 U 2 h h c G V f T G V u Z 3 R o J n F 1 b 3 Q 7 L C Z x d W 9 0 O 0 N u d F 9 T a G F w Z V 9 M Z W 5 n d G g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T V B f U 1 V N V E V S L 0 N o Y W 5 n Z W Q g V H l w Z S 5 7 R k l E L D B 9 J n F 1 b 3 Q 7 L C Z x d W 9 0 O 1 N l Y 3 R p b 2 4 x L 0 1 N U F 9 T V U 1 U R V I v Q 2 h h b m d l Z C B U e X B l L n t T a G F w Z V 9 M Z W 5 n d G g s M X 0 m c X V v d D s s J n F 1 b 3 Q 7 U 2 V j d G l v b j E v T U 1 Q X 1 N V T V R F U i 9 D a G F u Z 2 V k I F R 5 c G U u e 0 N u d F 9 T a G F w Z V 9 M Z W 5 n d G g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T U 1 Q X 1 N V T V R F U i 9 D a G F u Z 2 V k I F R 5 c G U u e 0 Z J R C w w f S Z x d W 9 0 O y w m c X V v d D t T Z W N 0 a W 9 u M S 9 N T V B f U 1 V N V E V S L 0 N o Y W 5 n Z W Q g V H l w Z S 5 7 U 2 h h c G V f T G V u Z 3 R o L D F 9 J n F 1 b 3 Q 7 L C Z x d W 9 0 O 1 N l Y 3 R p b 2 4 x L 0 1 N U F 9 T V U 1 U R V I v Q 2 h h b m d l Z C B U e X B l L n t D b n R f U 2 h h c G V f T G V u Z 3 R o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N T V B f U 1 V N V E V S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N U F 9 T V U 1 U R V I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U 1 Q X 1 N V T V R F U i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z E a 2 B w f C a S J r V 0 J V t J 2 w F A A A A A A I A A A A A A A N m A A D A A A A A E A A A A A Q t 7 h H d q 2 l / k c Q 7 8 E j B a t Q A A A A A B I A A A K A A A A A Q A A A A A K M f t + K a R V G g r Z O P t o f V a l A A A A D q W 3 7 1 m m 1 1 I A W s g j U Z A j O h M q y A l / Z 7 u N c J y l s h A t E P h X L P 9 E K N 9 g j X c F h J 5 e i E z Q a + 1 i 3 p C s e j H T F Z r S l X C C 3 m k I v C A X w R X 2 N o 7 K B d I q / t i h Q A A A D y N 8 M a D H s k R / v x V R C 2 v v k S 3 n 8 u 9 g = = < / D a t a M a s h u p > 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haredContentType xmlns="Microsoft.SharePoint.Taxonomy.ContentTypeSync" SourceId="781a52b0-d0f4-44f0-98bb-0d102f5fd161" ContentTypeId="0x0101" PreviousValue="false"/>
</file>

<file path=customXml/itemProps1.xml><?xml version="1.0" encoding="utf-8"?>
<ds:datastoreItem xmlns:ds="http://schemas.openxmlformats.org/officeDocument/2006/customXml" ds:itemID="{0A92DDBE-C81C-41D2-B492-79119E0E1A6D}">
  <ds:schemaRefs>
    <ds:schemaRef ds:uri="http://schemas.microsoft.com/office/2006/documentManagement/types"/>
    <ds:schemaRef ds:uri="c18e8617-fc0f-4dda-a87a-c0ec120ddf92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infopath/2007/PartnerControls"/>
    <ds:schemaRef ds:uri="http://schemas.microsoft.com/sharepoint/v3"/>
    <ds:schemaRef ds:uri="http://www.w3.org/XML/1998/namespace"/>
    <ds:schemaRef ds:uri="c0218e59-9d79-4c79-bab0-9a5a7dbf3f39"/>
    <ds:schemaRef ds:uri="60b7f7db-2a1b-44a1-83d7-495dcbe7663d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B0354C5-6460-479A-A16D-C00FA1C3EF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0b7f7db-2a1b-44a1-83d7-495dcbe7663d"/>
    <ds:schemaRef ds:uri="c18e8617-fc0f-4dda-a87a-c0ec120ddf92"/>
    <ds:schemaRef ds:uri="c0218e59-9d79-4c79-bab0-9a5a7dbf3f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A498592-3BC0-4DC9-93E5-6F285C6C5324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67748A00-89F2-4980-A7E6-305DE6BEEA91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DCEF3A96-16CA-48BD-8672-98FB023AC301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5</vt:i4>
      </vt:variant>
    </vt:vector>
  </HeadingPairs>
  <TitlesOfParts>
    <vt:vector size="18" baseType="lpstr">
      <vt:lpstr>2022 counts</vt:lpstr>
      <vt:lpstr>2022 Count Table</vt:lpstr>
      <vt:lpstr>2020_CapacityTable</vt:lpstr>
      <vt:lpstr>Cleanup TMS</vt:lpstr>
      <vt:lpstr>2021 Congestions</vt:lpstr>
      <vt:lpstr>21-22 Congestion Changes</vt:lpstr>
      <vt:lpstr>21-22ForReport</vt:lpstr>
      <vt:lpstr>SW&amp;BL</vt:lpstr>
      <vt:lpstr>2022 Sumter County GIS</vt:lpstr>
      <vt:lpstr>station changes (20-21)</vt:lpstr>
      <vt:lpstr>CSV-stations</vt:lpstr>
      <vt:lpstr>State of the System - Sumter Co</vt:lpstr>
      <vt:lpstr>2022 count comparison</vt:lpstr>
      <vt:lpstr>'Cleanup TMS'!Print_Area</vt:lpstr>
      <vt:lpstr>'2022 Count Table'!Print_Titles</vt:lpstr>
      <vt:lpstr>'2022 counts'!Print_Titles</vt:lpstr>
      <vt:lpstr>'Cleanup TMS'!Print_Titles</vt:lpstr>
      <vt:lpstr>'State of the System - Sumter Co'!Print_Titles</vt:lpstr>
    </vt:vector>
  </TitlesOfParts>
  <Company>LCBCC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LCBCC</dc:creator>
  <cp:lastModifiedBy>Reed, Caleb</cp:lastModifiedBy>
  <cp:lastPrinted>2022-08-01T16:51:23Z</cp:lastPrinted>
  <dcterms:created xsi:type="dcterms:W3CDTF">2013-03-05T20:31:59Z</dcterms:created>
  <dcterms:modified xsi:type="dcterms:W3CDTF">2022-08-02T21:12:25Z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0x010100E4D73D52737F924396646CF1C866A41D</vt:lpwstr>
  </property>
</Properties>
</file>